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7"/>
  <workbookPr defaultThemeVersion="124226"/>
  <mc:AlternateContent xmlns:mc="http://schemas.openxmlformats.org/markup-compatibility/2006">
    <mc:Choice Requires="x15">
      <x15ac:absPath xmlns:x15ac="http://schemas.microsoft.com/office/spreadsheetml/2010/11/ac" url="C:\Users\laxma\Downloads\VETALL-18881\"/>
    </mc:Choice>
  </mc:AlternateContent>
  <xr:revisionPtr revIDLastSave="0" documentId="13_ncr:1_{1579C955-51FC-45DF-B03F-810F6EE44907}"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76" i="1" l="1"/>
  <c r="B1876" i="1"/>
  <c r="C1875" i="1"/>
  <c r="B1875" i="1"/>
  <c r="C1874" i="1"/>
  <c r="B1874" i="1"/>
  <c r="C1873" i="1"/>
  <c r="B1873" i="1"/>
  <c r="C1872" i="1"/>
  <c r="B1872" i="1"/>
  <c r="C1871" i="1"/>
  <c r="B1871" i="1"/>
  <c r="C1870" i="1"/>
  <c r="B1870" i="1"/>
  <c r="C1869" i="1"/>
  <c r="B1869" i="1"/>
  <c r="C1868" i="1"/>
  <c r="B1868" i="1"/>
  <c r="C1867" i="1"/>
  <c r="B1867" i="1"/>
  <c r="C1866" i="1"/>
  <c r="B1866" i="1"/>
  <c r="C1865" i="1"/>
  <c r="B1865" i="1"/>
  <c r="C1864" i="1"/>
  <c r="B1864" i="1"/>
  <c r="C1863" i="1"/>
  <c r="B1863" i="1"/>
  <c r="C1862" i="1"/>
  <c r="B1862" i="1"/>
  <c r="C1861" i="1"/>
  <c r="B1861" i="1"/>
  <c r="C1860" i="1"/>
  <c r="B1860" i="1"/>
  <c r="C1859" i="1"/>
  <c r="B1859" i="1"/>
  <c r="C1858" i="1"/>
  <c r="B1858" i="1"/>
  <c r="C1857" i="1"/>
  <c r="B1857" i="1"/>
  <c r="C1856" i="1"/>
  <c r="B1856" i="1"/>
  <c r="C1855" i="1"/>
  <c r="B1855" i="1"/>
  <c r="C1854" i="1"/>
  <c r="B1854" i="1"/>
  <c r="C1853" i="1"/>
  <c r="B1853" i="1"/>
  <c r="C1852" i="1"/>
  <c r="B1852" i="1"/>
  <c r="C1851" i="1"/>
  <c r="B1851" i="1"/>
  <c r="C1850" i="1"/>
  <c r="B1850" i="1"/>
  <c r="C1849" i="1"/>
  <c r="B1849" i="1"/>
  <c r="C1848" i="1"/>
  <c r="B1848" i="1"/>
  <c r="C1847" i="1"/>
  <c r="B1847" i="1"/>
  <c r="C1846" i="1"/>
  <c r="B1846" i="1"/>
  <c r="C1845" i="1"/>
  <c r="B1845" i="1"/>
  <c r="C1844" i="1"/>
  <c r="B1844" i="1"/>
  <c r="C1843" i="1"/>
  <c r="B1843" i="1"/>
  <c r="C1842" i="1"/>
  <c r="B1842" i="1"/>
  <c r="C1841" i="1"/>
  <c r="B1841" i="1"/>
  <c r="C1840" i="1"/>
  <c r="B1840" i="1"/>
  <c r="C1839" i="1"/>
  <c r="B1839" i="1"/>
  <c r="C1838" i="1"/>
  <c r="B1838" i="1"/>
  <c r="C1837" i="1"/>
  <c r="B1837" i="1"/>
  <c r="C1836" i="1"/>
  <c r="B1836" i="1"/>
  <c r="C1835" i="1"/>
  <c r="B1835" i="1"/>
  <c r="C1834" i="1"/>
  <c r="B1834" i="1"/>
  <c r="C1833" i="1"/>
  <c r="B1833" i="1"/>
  <c r="C1832" i="1"/>
  <c r="B1832" i="1"/>
  <c r="C1831" i="1"/>
  <c r="B1831" i="1"/>
  <c r="C1830" i="1"/>
  <c r="B1830" i="1"/>
  <c r="C1829" i="1"/>
  <c r="B1829" i="1"/>
  <c r="C1828" i="1"/>
  <c r="B1828" i="1"/>
  <c r="C1827" i="1"/>
  <c r="B1827" i="1"/>
  <c r="C1826" i="1"/>
  <c r="B1826" i="1"/>
  <c r="C1825" i="1"/>
  <c r="B1825" i="1"/>
  <c r="C1824" i="1"/>
  <c r="B1824" i="1"/>
  <c r="C1823" i="1"/>
  <c r="B1823" i="1"/>
  <c r="C1822" i="1"/>
  <c r="B1822" i="1"/>
  <c r="C1821" i="1"/>
  <c r="B1821" i="1"/>
  <c r="C1820" i="1"/>
  <c r="B1820" i="1"/>
  <c r="C1819" i="1"/>
  <c r="B1819" i="1"/>
  <c r="C1818" i="1"/>
  <c r="B1818" i="1"/>
  <c r="C1817" i="1"/>
  <c r="B1817" i="1"/>
  <c r="C1816" i="1"/>
  <c r="B1816" i="1"/>
  <c r="C1815" i="1"/>
  <c r="B1815" i="1"/>
  <c r="C1814" i="1"/>
  <c r="B1814" i="1"/>
  <c r="C1813" i="1"/>
  <c r="B1813" i="1"/>
  <c r="C1812" i="1"/>
  <c r="B1812" i="1"/>
  <c r="C1811" i="1"/>
  <c r="B1811" i="1"/>
  <c r="C1810" i="1"/>
  <c r="B1810" i="1"/>
  <c r="C1809" i="1"/>
  <c r="B1809" i="1"/>
  <c r="C1808" i="1"/>
  <c r="B1808" i="1"/>
  <c r="C1807" i="1"/>
  <c r="B1807" i="1"/>
  <c r="C1806" i="1"/>
  <c r="B1806" i="1"/>
  <c r="C1805" i="1"/>
  <c r="B1805" i="1"/>
  <c r="C1804" i="1"/>
  <c r="B1804" i="1"/>
  <c r="C1803" i="1"/>
  <c r="B1803" i="1"/>
  <c r="C1802" i="1"/>
  <c r="B1802" i="1"/>
  <c r="C1801" i="1"/>
  <c r="B1801" i="1"/>
  <c r="C1800" i="1"/>
  <c r="B1800" i="1"/>
  <c r="C1799" i="1"/>
  <c r="B1799" i="1"/>
  <c r="C1798" i="1"/>
  <c r="B1798" i="1"/>
  <c r="C1797" i="1"/>
  <c r="B1797" i="1"/>
  <c r="C1796" i="1"/>
  <c r="B1796" i="1"/>
  <c r="C1795" i="1"/>
  <c r="B1795" i="1"/>
  <c r="C1794" i="1"/>
  <c r="B1794" i="1"/>
  <c r="C1793" i="1"/>
  <c r="B1793" i="1"/>
  <c r="C1792" i="1"/>
  <c r="B1792" i="1"/>
  <c r="C1791" i="1"/>
  <c r="B1791" i="1"/>
  <c r="C1790" i="1"/>
  <c r="B1790" i="1"/>
  <c r="C1789" i="1"/>
  <c r="B1789" i="1"/>
  <c r="C1788" i="1"/>
  <c r="B1788" i="1"/>
  <c r="C1787" i="1"/>
  <c r="B1787" i="1"/>
  <c r="C1786" i="1"/>
  <c r="B1786" i="1"/>
  <c r="C1785" i="1"/>
  <c r="B1785" i="1"/>
  <c r="C1784" i="1"/>
  <c r="B1784" i="1"/>
  <c r="C1783" i="1"/>
  <c r="B1783" i="1"/>
  <c r="C1782" i="1"/>
  <c r="B1782" i="1"/>
  <c r="C1781" i="1"/>
  <c r="B1781" i="1"/>
  <c r="C1780" i="1"/>
  <c r="B1780" i="1"/>
  <c r="C1779" i="1"/>
  <c r="B1779" i="1"/>
  <c r="C1778" i="1"/>
  <c r="B1778" i="1"/>
  <c r="C1777" i="1"/>
  <c r="B1777" i="1"/>
  <c r="C1776" i="1"/>
  <c r="B1776" i="1"/>
  <c r="C1775" i="1"/>
  <c r="B1775" i="1"/>
  <c r="C1774" i="1"/>
  <c r="B1774" i="1"/>
  <c r="C1773" i="1"/>
  <c r="B1773" i="1"/>
  <c r="C1772" i="1"/>
  <c r="B1772" i="1"/>
  <c r="C1771" i="1"/>
  <c r="B1771" i="1"/>
  <c r="C1770" i="1"/>
  <c r="B1770" i="1"/>
  <c r="C1769" i="1"/>
  <c r="B1769" i="1"/>
  <c r="C1768" i="1"/>
  <c r="B1768" i="1"/>
  <c r="C1767" i="1"/>
  <c r="B1767" i="1"/>
  <c r="C1766" i="1"/>
  <c r="B1766" i="1"/>
  <c r="C1765" i="1"/>
  <c r="B1765" i="1"/>
  <c r="C1764" i="1"/>
  <c r="B1764" i="1"/>
  <c r="C1763" i="1"/>
  <c r="B1763" i="1"/>
  <c r="C1762" i="1"/>
  <c r="B1762" i="1"/>
  <c r="C1761" i="1"/>
  <c r="B1761" i="1"/>
  <c r="C1760" i="1"/>
  <c r="B1760" i="1"/>
  <c r="C1759" i="1"/>
  <c r="B1759" i="1"/>
  <c r="C1758" i="1"/>
  <c r="B1758" i="1"/>
  <c r="C1757" i="1"/>
  <c r="B1757" i="1"/>
  <c r="C1756" i="1"/>
  <c r="B1756" i="1"/>
  <c r="C1755" i="1"/>
  <c r="B1755" i="1"/>
  <c r="C1754" i="1"/>
  <c r="B1754" i="1"/>
  <c r="C1753" i="1"/>
  <c r="B1753" i="1"/>
  <c r="C1752" i="1"/>
  <c r="B1752" i="1"/>
  <c r="C1751" i="1"/>
  <c r="B1751" i="1"/>
  <c r="C1750" i="1"/>
  <c r="B1750" i="1"/>
  <c r="C1749" i="1"/>
  <c r="B1749" i="1"/>
  <c r="C1748" i="1"/>
  <c r="B1748" i="1"/>
  <c r="C1747" i="1"/>
  <c r="B1747" i="1"/>
  <c r="C1746" i="1"/>
  <c r="B1746" i="1"/>
  <c r="C1745" i="1"/>
  <c r="B1745" i="1"/>
  <c r="C1744" i="1"/>
  <c r="B1744" i="1"/>
  <c r="C1743" i="1"/>
  <c r="B1743" i="1"/>
  <c r="C1742" i="1"/>
  <c r="B1742" i="1"/>
  <c r="C1741" i="1"/>
  <c r="B1741" i="1"/>
  <c r="C1740" i="1"/>
  <c r="B1740" i="1"/>
  <c r="C1739" i="1"/>
  <c r="B1739" i="1"/>
  <c r="C1738" i="1"/>
  <c r="B1738" i="1"/>
  <c r="C1737" i="1"/>
  <c r="B1737" i="1"/>
  <c r="C1736" i="1"/>
  <c r="B1736" i="1"/>
  <c r="C1735" i="1"/>
  <c r="B1735" i="1"/>
  <c r="C1734" i="1"/>
  <c r="B1734" i="1"/>
  <c r="C1733" i="1"/>
  <c r="B1733" i="1"/>
  <c r="C1732" i="1"/>
  <c r="B1732" i="1"/>
  <c r="C1731" i="1"/>
  <c r="B1731" i="1"/>
  <c r="C1730" i="1"/>
  <c r="B1730" i="1"/>
  <c r="C1729" i="1"/>
  <c r="B1729" i="1"/>
  <c r="C1728" i="1"/>
  <c r="B1728" i="1"/>
  <c r="C1727" i="1"/>
  <c r="B1727" i="1"/>
  <c r="C1726" i="1"/>
  <c r="B1726" i="1"/>
  <c r="C1725" i="1"/>
  <c r="B1725" i="1"/>
  <c r="C1724" i="1"/>
  <c r="B1724" i="1"/>
  <c r="C1723" i="1"/>
  <c r="B1723" i="1"/>
  <c r="C1722" i="1"/>
  <c r="B1722" i="1"/>
  <c r="C1721" i="1"/>
  <c r="B1721" i="1"/>
  <c r="C1720" i="1"/>
  <c r="B1720" i="1"/>
  <c r="C1719" i="1"/>
  <c r="B1719" i="1"/>
  <c r="C1718" i="1"/>
  <c r="B1718" i="1"/>
  <c r="C1717" i="1"/>
  <c r="B1717" i="1"/>
  <c r="C1716" i="1"/>
  <c r="B1716" i="1"/>
  <c r="C1715" i="1"/>
  <c r="B1715" i="1"/>
  <c r="C1714" i="1"/>
  <c r="B1714" i="1"/>
  <c r="C1713" i="1"/>
  <c r="B1713" i="1"/>
  <c r="C1712" i="1"/>
  <c r="B1712" i="1"/>
  <c r="C1711" i="1"/>
  <c r="B1711" i="1"/>
  <c r="C1710" i="1"/>
  <c r="B1710" i="1"/>
  <c r="C1709" i="1"/>
  <c r="B1709" i="1"/>
  <c r="C1708" i="1"/>
  <c r="B1708" i="1"/>
  <c r="C1707" i="1"/>
  <c r="B1707" i="1"/>
  <c r="C1706" i="1"/>
  <c r="B1706" i="1"/>
  <c r="C1705" i="1"/>
  <c r="B1705" i="1"/>
  <c r="C1704" i="1"/>
  <c r="B1704" i="1"/>
  <c r="C1703" i="1"/>
  <c r="B1703" i="1"/>
  <c r="C1702" i="1"/>
  <c r="B1702" i="1"/>
  <c r="C1701" i="1"/>
  <c r="B1701" i="1"/>
  <c r="C1700" i="1"/>
  <c r="B1700" i="1"/>
  <c r="C1699" i="1"/>
  <c r="B1699" i="1"/>
  <c r="C1698" i="1"/>
  <c r="B1698" i="1"/>
  <c r="C1697" i="1"/>
  <c r="B1697" i="1"/>
  <c r="C1696" i="1"/>
  <c r="B1696" i="1"/>
  <c r="C1695" i="1"/>
  <c r="B1695" i="1"/>
  <c r="C1694" i="1"/>
  <c r="B1694" i="1"/>
  <c r="C1693" i="1"/>
  <c r="B1693" i="1"/>
  <c r="C1692" i="1"/>
  <c r="B1692" i="1"/>
  <c r="C1691" i="1"/>
  <c r="B1691" i="1"/>
  <c r="C1690" i="1"/>
  <c r="B1690" i="1"/>
  <c r="C1689" i="1"/>
  <c r="B1689" i="1"/>
  <c r="C1688" i="1"/>
  <c r="B1688" i="1"/>
  <c r="C1687" i="1"/>
  <c r="B1687" i="1"/>
  <c r="C1686" i="1"/>
  <c r="B1686" i="1"/>
  <c r="C1685" i="1"/>
  <c r="B1685" i="1"/>
  <c r="C1684" i="1"/>
  <c r="B1684" i="1"/>
  <c r="C1683" i="1"/>
  <c r="B1683" i="1"/>
  <c r="C1682" i="1"/>
  <c r="B1682" i="1"/>
  <c r="C1681" i="1"/>
  <c r="B1681" i="1"/>
  <c r="C1680" i="1"/>
  <c r="B1680" i="1"/>
  <c r="C1679" i="1"/>
  <c r="B1679" i="1"/>
  <c r="C1678" i="1"/>
  <c r="B1678" i="1"/>
  <c r="C1677" i="1"/>
  <c r="B1677" i="1"/>
  <c r="C1676" i="1"/>
  <c r="B1676" i="1"/>
  <c r="C1675" i="1"/>
  <c r="B1675" i="1"/>
  <c r="C1674" i="1"/>
  <c r="B1674" i="1"/>
  <c r="C1673" i="1"/>
  <c r="B1673" i="1"/>
  <c r="C1672" i="1"/>
  <c r="B1672" i="1"/>
  <c r="C1671" i="1"/>
  <c r="B1671" i="1"/>
  <c r="C1670" i="1"/>
  <c r="B1670" i="1"/>
  <c r="C1669" i="1"/>
  <c r="B1669" i="1"/>
  <c r="C1668" i="1"/>
  <c r="B1668" i="1"/>
  <c r="C1667" i="1"/>
  <c r="B1667" i="1"/>
  <c r="C1666" i="1"/>
  <c r="B1666" i="1"/>
  <c r="C1665" i="1"/>
  <c r="B1665" i="1"/>
  <c r="C1664" i="1"/>
  <c r="B1664" i="1"/>
  <c r="C1663" i="1"/>
  <c r="B1663" i="1"/>
  <c r="C1662" i="1"/>
  <c r="B1662" i="1"/>
  <c r="C1661" i="1"/>
  <c r="B1661" i="1"/>
  <c r="C1660" i="1"/>
  <c r="B1660" i="1"/>
  <c r="C1659" i="1"/>
  <c r="B1659" i="1"/>
  <c r="C1658" i="1"/>
  <c r="B1658" i="1"/>
  <c r="C1657" i="1"/>
  <c r="B1657" i="1"/>
  <c r="C1656" i="1"/>
  <c r="B1656" i="1"/>
  <c r="C1655" i="1"/>
  <c r="B1655" i="1"/>
  <c r="C1654" i="1"/>
  <c r="B1654" i="1"/>
  <c r="C1653" i="1"/>
  <c r="B1653" i="1"/>
  <c r="C1652" i="1"/>
  <c r="B1652" i="1"/>
  <c r="C1651" i="1"/>
  <c r="B1651" i="1"/>
  <c r="C1650" i="1"/>
  <c r="B1650" i="1"/>
  <c r="C1649" i="1"/>
  <c r="B1649" i="1"/>
  <c r="C1648" i="1"/>
  <c r="B1648" i="1"/>
  <c r="C1647" i="1"/>
  <c r="B1647" i="1"/>
  <c r="C1646" i="1"/>
  <c r="B1646" i="1"/>
  <c r="C1645" i="1"/>
  <c r="B1645" i="1"/>
  <c r="C1644" i="1"/>
  <c r="B1644" i="1"/>
  <c r="C1643" i="1"/>
  <c r="B1643" i="1"/>
  <c r="C1642" i="1"/>
  <c r="B1642" i="1"/>
  <c r="C1641" i="1"/>
  <c r="B1641" i="1"/>
  <c r="C1640" i="1"/>
  <c r="B1640" i="1"/>
  <c r="C1639" i="1"/>
  <c r="B1639" i="1"/>
  <c r="C1638" i="1"/>
  <c r="B1638" i="1"/>
  <c r="C1637" i="1"/>
  <c r="B1637" i="1"/>
  <c r="C1636" i="1"/>
  <c r="B1636" i="1"/>
  <c r="C1635" i="1"/>
  <c r="B1635" i="1"/>
  <c r="C1634" i="1"/>
  <c r="B1634" i="1"/>
  <c r="C1633" i="1"/>
  <c r="B1633" i="1"/>
  <c r="C1632" i="1"/>
  <c r="B1632" i="1"/>
  <c r="C1631" i="1"/>
  <c r="B1631" i="1"/>
  <c r="C1630" i="1"/>
  <c r="B1630" i="1"/>
  <c r="C1629" i="1"/>
  <c r="B1629" i="1"/>
  <c r="C1628" i="1"/>
  <c r="B1628" i="1"/>
  <c r="C1627" i="1"/>
  <c r="B1627" i="1"/>
  <c r="C1626" i="1"/>
  <c r="B1626" i="1"/>
  <c r="C1625" i="1"/>
  <c r="B1625" i="1"/>
  <c r="C1624" i="1"/>
  <c r="B1624" i="1"/>
  <c r="C1623" i="1"/>
  <c r="B1623" i="1"/>
  <c r="C1622" i="1"/>
  <c r="B1622" i="1"/>
  <c r="C1621" i="1"/>
  <c r="B1621" i="1"/>
  <c r="C1620" i="1"/>
  <c r="B1620" i="1"/>
  <c r="C1619" i="1"/>
  <c r="B1619" i="1"/>
  <c r="C1618" i="1"/>
  <c r="B1618" i="1"/>
  <c r="C1617" i="1"/>
  <c r="B1617" i="1"/>
  <c r="C1616" i="1"/>
  <c r="B1616" i="1"/>
  <c r="C1615" i="1"/>
  <c r="B1615" i="1"/>
  <c r="C1614" i="1"/>
  <c r="B1614" i="1"/>
  <c r="C1613" i="1"/>
  <c r="B1613" i="1"/>
  <c r="C1612" i="1"/>
  <c r="B1612" i="1"/>
  <c r="C1611" i="1"/>
  <c r="B1611" i="1"/>
  <c r="C1610" i="1"/>
  <c r="B1610" i="1"/>
  <c r="C1609" i="1"/>
  <c r="B1609" i="1"/>
  <c r="C1608" i="1"/>
  <c r="B1608" i="1"/>
  <c r="C1607" i="1"/>
  <c r="B1607" i="1"/>
  <c r="C1606" i="1"/>
  <c r="B1606" i="1"/>
  <c r="C1605" i="1"/>
  <c r="B1605" i="1"/>
  <c r="C1604" i="1"/>
  <c r="B1604" i="1"/>
  <c r="C1603" i="1"/>
  <c r="B1603" i="1"/>
  <c r="C1602" i="1"/>
  <c r="B1602" i="1"/>
  <c r="C1601" i="1"/>
  <c r="B1601" i="1"/>
  <c r="C1600" i="1"/>
  <c r="B1600" i="1"/>
  <c r="C1599" i="1"/>
  <c r="B1599" i="1"/>
  <c r="C1598" i="1"/>
  <c r="B1598" i="1"/>
  <c r="C1597" i="1"/>
  <c r="B1597" i="1"/>
  <c r="C1596" i="1"/>
  <c r="B1596" i="1"/>
  <c r="C1595" i="1"/>
  <c r="B1595" i="1"/>
  <c r="C1594" i="1"/>
  <c r="B1594" i="1"/>
  <c r="C1593" i="1"/>
  <c r="B1593" i="1"/>
  <c r="C1592" i="1"/>
  <c r="B1592" i="1"/>
  <c r="C1591" i="1"/>
  <c r="B1591" i="1"/>
  <c r="C1590" i="1"/>
  <c r="B1590" i="1"/>
  <c r="C1589" i="1"/>
  <c r="B1589" i="1"/>
  <c r="C1588" i="1"/>
  <c r="B1588" i="1"/>
  <c r="C1587" i="1"/>
  <c r="B1587" i="1"/>
  <c r="C1586" i="1"/>
  <c r="B1586" i="1"/>
  <c r="C1585" i="1"/>
  <c r="B1585" i="1"/>
  <c r="C1584" i="1"/>
  <c r="B1584" i="1"/>
  <c r="C1583" i="1"/>
  <c r="B1583" i="1"/>
  <c r="C1582" i="1"/>
  <c r="B1582" i="1"/>
  <c r="C1581" i="1"/>
  <c r="B1581" i="1"/>
  <c r="C1580" i="1"/>
  <c r="B1580" i="1"/>
  <c r="C1579" i="1"/>
  <c r="B1579" i="1"/>
  <c r="C1578" i="1"/>
  <c r="B1578" i="1"/>
  <c r="C1577" i="1"/>
  <c r="B1577" i="1"/>
  <c r="C1576" i="1"/>
  <c r="B1576" i="1"/>
  <c r="C1575" i="1"/>
  <c r="B1575" i="1"/>
  <c r="C1574" i="1"/>
  <c r="B1574" i="1"/>
  <c r="C1573" i="1"/>
  <c r="B1573" i="1"/>
  <c r="C1572" i="1"/>
  <c r="B1572" i="1"/>
  <c r="C1571" i="1"/>
  <c r="B1571" i="1"/>
  <c r="C1570" i="1"/>
  <c r="B1570" i="1"/>
  <c r="C1569" i="1"/>
  <c r="B1569" i="1"/>
  <c r="C1568" i="1"/>
  <c r="B1568" i="1"/>
  <c r="C1567" i="1"/>
  <c r="B1567" i="1"/>
  <c r="C1566" i="1"/>
  <c r="B1566" i="1"/>
  <c r="C1565" i="1"/>
  <c r="B1565" i="1"/>
  <c r="C1564" i="1"/>
  <c r="B1564" i="1"/>
  <c r="C1563" i="1"/>
  <c r="B1563" i="1"/>
  <c r="C1562" i="1"/>
  <c r="B1562" i="1"/>
  <c r="C1561" i="1"/>
  <c r="B1561" i="1"/>
  <c r="C1560" i="1"/>
  <c r="B1560" i="1"/>
  <c r="C1559" i="1"/>
  <c r="B1559" i="1"/>
  <c r="C1558" i="1"/>
  <c r="B1558" i="1"/>
  <c r="C1557" i="1"/>
  <c r="B1557" i="1"/>
  <c r="C1556" i="1"/>
  <c r="B1556" i="1"/>
  <c r="C1555" i="1"/>
  <c r="B1555" i="1"/>
  <c r="C1554" i="1"/>
  <c r="B1554" i="1"/>
  <c r="C1553" i="1"/>
  <c r="B1553" i="1"/>
  <c r="C1552" i="1"/>
  <c r="B1552" i="1"/>
  <c r="C1551" i="1"/>
  <c r="B1551" i="1"/>
  <c r="C1550" i="1"/>
  <c r="B1550" i="1"/>
  <c r="C1549" i="1"/>
  <c r="B1549" i="1"/>
  <c r="C1548" i="1"/>
  <c r="B1548" i="1"/>
  <c r="C1547" i="1"/>
  <c r="B1547" i="1"/>
  <c r="C1546" i="1"/>
  <c r="B1546" i="1"/>
  <c r="C1545" i="1"/>
  <c r="B1545" i="1"/>
  <c r="C1544" i="1"/>
  <c r="B1544" i="1"/>
  <c r="C1543" i="1"/>
  <c r="B1543" i="1"/>
  <c r="C1542" i="1"/>
  <c r="B1542" i="1"/>
  <c r="C1541" i="1"/>
  <c r="B1541" i="1"/>
  <c r="C1540" i="1"/>
  <c r="B1540" i="1"/>
  <c r="C1539" i="1"/>
  <c r="B1539" i="1"/>
  <c r="C1538" i="1"/>
  <c r="B1538" i="1"/>
  <c r="C1537" i="1"/>
  <c r="B1537" i="1"/>
  <c r="C1536" i="1"/>
  <c r="B1536" i="1"/>
  <c r="C1535" i="1"/>
  <c r="B1535" i="1"/>
  <c r="C1534" i="1"/>
  <c r="B1534" i="1"/>
  <c r="C1533" i="1"/>
  <c r="B1533" i="1"/>
  <c r="C1532" i="1"/>
  <c r="B1532" i="1"/>
  <c r="C1531" i="1"/>
  <c r="B1531" i="1"/>
  <c r="C1530" i="1"/>
  <c r="B1530" i="1"/>
  <c r="C1529" i="1"/>
  <c r="B1529" i="1"/>
  <c r="C1528" i="1"/>
  <c r="B1528" i="1"/>
  <c r="C1527" i="1"/>
  <c r="B1527" i="1"/>
  <c r="C1526" i="1"/>
  <c r="B1526" i="1"/>
  <c r="C1525" i="1"/>
  <c r="B1525" i="1"/>
  <c r="C1524" i="1"/>
  <c r="B1524" i="1"/>
  <c r="C1523" i="1"/>
  <c r="B1523" i="1"/>
  <c r="C1522" i="1"/>
  <c r="B1522" i="1"/>
  <c r="C1521" i="1"/>
  <c r="B1521" i="1"/>
  <c r="C1520" i="1"/>
  <c r="B1520" i="1"/>
  <c r="C1519" i="1"/>
  <c r="B1519" i="1"/>
  <c r="C1518" i="1"/>
  <c r="B1518" i="1"/>
  <c r="C1517" i="1"/>
  <c r="B1517" i="1"/>
  <c r="C1516" i="1"/>
  <c r="B1516" i="1"/>
  <c r="C1515" i="1"/>
  <c r="B1515" i="1"/>
  <c r="C1514" i="1"/>
  <c r="B1514" i="1"/>
  <c r="C1513" i="1"/>
  <c r="B1513" i="1"/>
  <c r="C1512" i="1"/>
  <c r="B1512" i="1"/>
  <c r="C1511" i="1"/>
  <c r="B1511" i="1"/>
  <c r="C1510" i="1"/>
  <c r="B1510" i="1"/>
  <c r="C1509" i="1"/>
  <c r="B1509" i="1"/>
  <c r="C1508" i="1"/>
  <c r="B1508" i="1"/>
  <c r="C1507" i="1"/>
  <c r="B1507" i="1"/>
  <c r="C1506" i="1"/>
  <c r="B1506" i="1"/>
  <c r="C1505" i="1"/>
  <c r="B1505" i="1"/>
  <c r="C1504" i="1"/>
  <c r="B1504" i="1"/>
  <c r="C1503" i="1"/>
  <c r="B1503" i="1"/>
  <c r="C1502" i="1"/>
  <c r="B1502" i="1"/>
  <c r="C1501" i="1"/>
  <c r="B1501" i="1"/>
  <c r="C1500" i="1"/>
  <c r="B1500" i="1"/>
  <c r="C1499" i="1"/>
  <c r="B1499" i="1"/>
  <c r="C1498" i="1"/>
  <c r="B1498" i="1"/>
  <c r="C1497" i="1"/>
  <c r="B1497" i="1"/>
  <c r="C1496" i="1"/>
  <c r="B1496" i="1"/>
  <c r="C1495" i="1"/>
  <c r="B1495" i="1"/>
  <c r="C1494" i="1"/>
  <c r="B1494" i="1"/>
  <c r="C1493" i="1"/>
  <c r="B1493" i="1"/>
  <c r="C1492" i="1"/>
  <c r="B1492" i="1"/>
  <c r="C1491" i="1"/>
  <c r="B1491" i="1"/>
  <c r="C1490" i="1"/>
  <c r="B1490" i="1"/>
  <c r="C1489" i="1"/>
  <c r="B1489" i="1"/>
  <c r="C1488" i="1"/>
  <c r="B1488" i="1"/>
  <c r="C1487" i="1"/>
  <c r="B1487" i="1"/>
  <c r="C1486" i="1"/>
  <c r="B1486" i="1"/>
  <c r="C1485" i="1"/>
  <c r="B1485" i="1"/>
  <c r="C1484" i="1"/>
  <c r="B1484" i="1"/>
  <c r="C1483" i="1"/>
  <c r="B1483" i="1"/>
  <c r="C1482" i="1"/>
  <c r="B1482" i="1"/>
  <c r="C1481" i="1"/>
  <c r="B1481" i="1"/>
  <c r="C1480" i="1"/>
  <c r="B1480" i="1"/>
  <c r="C1479" i="1"/>
  <c r="B1479" i="1"/>
  <c r="C1478" i="1"/>
  <c r="B1478" i="1"/>
  <c r="C1477" i="1"/>
  <c r="B1477" i="1"/>
  <c r="C1476" i="1"/>
  <c r="B1476" i="1"/>
  <c r="C1475" i="1"/>
  <c r="B1475" i="1"/>
  <c r="C1474" i="1"/>
  <c r="B1474" i="1"/>
  <c r="C1473" i="1"/>
  <c r="B1473" i="1"/>
  <c r="C1472" i="1"/>
  <c r="B1472" i="1"/>
  <c r="C1471" i="1"/>
  <c r="B1471" i="1"/>
  <c r="C1470" i="1"/>
  <c r="B1470" i="1"/>
  <c r="C1469" i="1"/>
  <c r="B1469" i="1"/>
  <c r="C1468" i="1"/>
  <c r="B1468" i="1"/>
  <c r="C1467" i="1"/>
  <c r="B1467" i="1"/>
  <c r="C1466" i="1"/>
  <c r="B1466" i="1"/>
  <c r="C1465" i="1"/>
  <c r="B1465" i="1"/>
  <c r="C1464" i="1"/>
  <c r="B1464" i="1"/>
  <c r="C1463" i="1"/>
  <c r="B1463" i="1"/>
  <c r="C1462" i="1"/>
  <c r="B1462" i="1"/>
  <c r="C1461" i="1"/>
  <c r="B1461" i="1"/>
  <c r="C1460" i="1"/>
  <c r="B1460" i="1"/>
  <c r="C1459" i="1"/>
  <c r="B1459" i="1"/>
  <c r="C1458" i="1"/>
  <c r="B1458" i="1"/>
  <c r="C1457" i="1"/>
  <c r="B1457" i="1"/>
  <c r="C1456" i="1"/>
  <c r="B1456" i="1"/>
  <c r="C1455" i="1"/>
  <c r="B1455" i="1"/>
  <c r="C1454" i="1"/>
  <c r="B1454" i="1"/>
  <c r="C1453" i="1"/>
  <c r="B1453" i="1"/>
  <c r="C1452" i="1"/>
  <c r="B1452" i="1"/>
  <c r="C1451" i="1"/>
  <c r="B1451" i="1"/>
  <c r="C1450" i="1"/>
  <c r="B1450" i="1"/>
  <c r="C1449" i="1"/>
  <c r="B1449" i="1"/>
  <c r="C1448" i="1"/>
  <c r="B1448" i="1"/>
  <c r="C1447" i="1"/>
  <c r="B1447" i="1"/>
  <c r="C1446" i="1"/>
  <c r="B1446" i="1"/>
  <c r="C1445" i="1"/>
  <c r="B1445" i="1"/>
  <c r="C1444" i="1"/>
  <c r="B1444" i="1"/>
  <c r="C1443" i="1"/>
  <c r="B1443" i="1"/>
  <c r="C1442" i="1"/>
  <c r="B1442" i="1"/>
  <c r="C1441" i="1"/>
  <c r="B1441" i="1"/>
  <c r="C1440" i="1"/>
  <c r="B1440" i="1"/>
  <c r="C1439" i="1"/>
  <c r="B1439" i="1"/>
  <c r="C1438" i="1"/>
  <c r="B1438" i="1"/>
  <c r="C1437" i="1"/>
  <c r="B1437" i="1"/>
  <c r="C1436" i="1"/>
  <c r="B1436" i="1"/>
  <c r="C1435" i="1"/>
  <c r="B1435" i="1"/>
  <c r="C1434" i="1"/>
  <c r="B1434" i="1"/>
  <c r="C1433" i="1"/>
  <c r="B1433" i="1"/>
  <c r="C1432" i="1"/>
  <c r="B1432" i="1"/>
  <c r="C1431" i="1"/>
  <c r="B1431" i="1"/>
  <c r="C1430" i="1"/>
  <c r="B1430" i="1"/>
  <c r="C1429" i="1"/>
  <c r="B1429" i="1"/>
  <c r="C1428" i="1"/>
  <c r="B1428" i="1"/>
  <c r="C1427" i="1"/>
  <c r="B1427" i="1"/>
  <c r="C1426" i="1"/>
  <c r="B1426" i="1"/>
  <c r="C1425" i="1"/>
  <c r="B1425" i="1"/>
  <c r="C1424" i="1"/>
  <c r="B1424" i="1"/>
  <c r="C1423" i="1"/>
  <c r="B1423" i="1"/>
  <c r="C1422" i="1"/>
  <c r="B1422" i="1"/>
  <c r="C1421" i="1"/>
  <c r="B1421" i="1"/>
  <c r="C1420" i="1"/>
  <c r="B1420" i="1"/>
  <c r="C1419" i="1"/>
  <c r="B1419" i="1"/>
  <c r="C1418" i="1"/>
  <c r="B1418" i="1"/>
  <c r="C1417" i="1"/>
  <c r="B1417" i="1"/>
  <c r="C1416" i="1"/>
  <c r="B1416" i="1"/>
  <c r="C1415" i="1"/>
  <c r="B1415" i="1"/>
  <c r="C1414" i="1"/>
  <c r="B1414" i="1"/>
  <c r="C1413" i="1"/>
  <c r="B1413" i="1"/>
  <c r="C1412" i="1"/>
  <c r="B1412" i="1"/>
  <c r="C1411" i="1"/>
  <c r="B1411" i="1"/>
  <c r="C1410" i="1"/>
  <c r="B1410" i="1"/>
  <c r="C1409" i="1"/>
  <c r="B1409" i="1"/>
  <c r="C1408" i="1"/>
  <c r="B1408" i="1"/>
  <c r="C1407" i="1"/>
  <c r="B1407" i="1"/>
  <c r="C1406" i="1"/>
  <c r="B1406" i="1"/>
  <c r="C1405" i="1"/>
  <c r="B1405" i="1"/>
  <c r="C1404" i="1"/>
  <c r="B1404" i="1"/>
  <c r="C1403" i="1"/>
  <c r="B1403" i="1"/>
  <c r="C1402" i="1"/>
  <c r="B1402" i="1"/>
  <c r="C1401" i="1"/>
  <c r="B1401" i="1"/>
  <c r="C1400" i="1"/>
  <c r="B1400" i="1"/>
  <c r="C1399" i="1"/>
  <c r="B1399" i="1"/>
  <c r="C1398" i="1"/>
  <c r="B1398" i="1"/>
  <c r="C1397" i="1"/>
  <c r="B1397" i="1"/>
  <c r="C1396" i="1"/>
  <c r="B1396" i="1"/>
  <c r="C1395" i="1"/>
  <c r="B1395" i="1"/>
  <c r="C1394" i="1"/>
  <c r="B1394" i="1"/>
  <c r="C1393" i="1"/>
  <c r="B1393" i="1"/>
  <c r="C1392" i="1"/>
  <c r="B1392" i="1"/>
  <c r="C1391" i="1"/>
  <c r="B1391" i="1"/>
  <c r="C1390" i="1"/>
  <c r="B1390" i="1"/>
  <c r="C1389" i="1"/>
  <c r="B1389" i="1"/>
  <c r="C1388" i="1"/>
  <c r="B1388" i="1"/>
  <c r="C1387" i="1"/>
  <c r="B1387" i="1"/>
  <c r="C1386" i="1"/>
  <c r="B1386" i="1"/>
  <c r="C1385" i="1"/>
  <c r="B1385" i="1"/>
  <c r="C1384" i="1"/>
  <c r="B1384" i="1"/>
  <c r="C1383" i="1"/>
  <c r="B1383" i="1"/>
  <c r="C1382" i="1"/>
  <c r="B1382" i="1"/>
  <c r="C1381" i="1"/>
  <c r="B1381" i="1"/>
  <c r="C1380" i="1"/>
  <c r="B1380" i="1"/>
  <c r="C1379" i="1"/>
  <c r="B1379" i="1"/>
  <c r="C1378" i="1"/>
  <c r="B1378" i="1"/>
  <c r="C1377" i="1"/>
  <c r="B1377" i="1"/>
  <c r="C1376" i="1"/>
  <c r="B1376" i="1"/>
  <c r="C1375" i="1"/>
  <c r="B1375" i="1"/>
  <c r="C1374" i="1"/>
  <c r="B1374" i="1"/>
  <c r="C1373" i="1"/>
  <c r="B1373" i="1"/>
  <c r="C1372" i="1"/>
  <c r="B1372" i="1"/>
  <c r="C1371" i="1"/>
  <c r="B1371" i="1"/>
  <c r="C1370" i="1"/>
  <c r="B1370" i="1"/>
  <c r="C1369" i="1"/>
  <c r="B1369" i="1"/>
  <c r="C1368" i="1"/>
  <c r="B1368" i="1"/>
  <c r="C1367" i="1"/>
  <c r="B1367" i="1"/>
  <c r="C1366" i="1"/>
  <c r="B1366" i="1"/>
  <c r="C1365" i="1"/>
  <c r="B1365" i="1"/>
  <c r="C1364" i="1"/>
  <c r="B1364" i="1"/>
  <c r="C1363" i="1"/>
  <c r="B1363" i="1"/>
  <c r="C1362" i="1"/>
  <c r="B1362" i="1"/>
  <c r="C1361" i="1"/>
  <c r="B1361" i="1"/>
  <c r="C1360" i="1"/>
  <c r="B1360" i="1"/>
  <c r="C1359" i="1"/>
  <c r="B1359" i="1"/>
  <c r="C1358" i="1"/>
  <c r="B1358" i="1"/>
  <c r="C1357" i="1"/>
  <c r="B1357" i="1"/>
  <c r="C1356" i="1"/>
  <c r="B1356" i="1"/>
  <c r="C1355" i="1"/>
  <c r="B1355" i="1"/>
  <c r="C1354" i="1"/>
  <c r="B1354" i="1"/>
  <c r="C1353" i="1"/>
  <c r="B1353" i="1"/>
  <c r="C1352" i="1"/>
  <c r="B1352" i="1"/>
  <c r="C1351" i="1"/>
  <c r="B1351" i="1"/>
  <c r="C1350" i="1"/>
  <c r="B1350" i="1"/>
  <c r="C1349" i="1"/>
  <c r="B1349" i="1"/>
  <c r="C1348" i="1"/>
  <c r="B1348" i="1"/>
  <c r="C1347" i="1"/>
  <c r="B1347" i="1"/>
  <c r="C1346" i="1"/>
  <c r="B1346" i="1"/>
  <c r="C1345" i="1"/>
  <c r="B1345" i="1"/>
  <c r="C1344" i="1"/>
  <c r="B1344" i="1"/>
  <c r="C1343" i="1"/>
  <c r="B1343" i="1"/>
  <c r="C1342" i="1"/>
  <c r="B1342" i="1"/>
  <c r="C1341" i="1"/>
  <c r="B1341" i="1"/>
  <c r="C1340" i="1"/>
  <c r="B1340" i="1"/>
  <c r="C1339" i="1"/>
  <c r="B1339" i="1"/>
  <c r="C1338" i="1"/>
  <c r="B1338" i="1"/>
  <c r="C1337" i="1"/>
  <c r="B1337" i="1"/>
  <c r="C1336" i="1"/>
  <c r="B1336" i="1"/>
  <c r="C1335" i="1"/>
  <c r="B1335" i="1"/>
  <c r="C1334" i="1"/>
  <c r="B1334" i="1"/>
  <c r="C1333" i="1"/>
  <c r="B1333" i="1"/>
  <c r="C1332" i="1"/>
  <c r="B1332" i="1"/>
  <c r="C1331" i="1"/>
  <c r="B1331" i="1"/>
  <c r="C1330" i="1"/>
  <c r="B1330" i="1"/>
  <c r="C1329" i="1"/>
  <c r="B1329" i="1"/>
  <c r="C1328" i="1"/>
  <c r="B1328" i="1"/>
  <c r="C1327" i="1"/>
  <c r="B1327" i="1"/>
  <c r="C1326" i="1"/>
  <c r="B1326" i="1"/>
  <c r="C1325" i="1"/>
  <c r="B1325" i="1"/>
  <c r="C1324" i="1"/>
  <c r="B1324" i="1"/>
  <c r="C1323" i="1"/>
  <c r="B1323" i="1"/>
  <c r="C1322" i="1"/>
  <c r="B1322" i="1"/>
  <c r="C1321" i="1"/>
  <c r="B1321" i="1"/>
  <c r="C1320" i="1"/>
  <c r="B1320" i="1"/>
  <c r="C1319" i="1"/>
  <c r="B1319" i="1"/>
  <c r="C1318" i="1"/>
  <c r="B1318" i="1"/>
  <c r="C1317" i="1"/>
  <c r="B1317" i="1"/>
  <c r="C1316" i="1"/>
  <c r="B1316" i="1"/>
  <c r="C1315" i="1"/>
  <c r="B1315" i="1"/>
  <c r="C1314" i="1"/>
  <c r="B1314" i="1"/>
  <c r="C1313" i="1"/>
  <c r="B1313" i="1"/>
  <c r="C1312" i="1"/>
  <c r="B1312" i="1"/>
  <c r="C1311" i="1"/>
  <c r="B1311" i="1"/>
  <c r="C1310" i="1"/>
  <c r="B1310" i="1"/>
  <c r="C1309" i="1"/>
  <c r="B1309" i="1"/>
  <c r="C1308" i="1"/>
  <c r="B1308" i="1"/>
  <c r="C1307" i="1"/>
  <c r="B1307" i="1"/>
  <c r="C1306" i="1"/>
  <c r="B1306" i="1"/>
  <c r="C1305" i="1"/>
  <c r="B1305" i="1"/>
  <c r="C1304" i="1"/>
  <c r="B1304" i="1"/>
  <c r="C1303" i="1"/>
  <c r="B1303" i="1"/>
  <c r="C1302" i="1"/>
  <c r="B1302" i="1"/>
  <c r="C1301" i="1"/>
  <c r="B1301" i="1"/>
  <c r="C1300" i="1"/>
  <c r="B1300" i="1"/>
  <c r="C1299" i="1"/>
  <c r="B1299" i="1"/>
  <c r="C1298" i="1"/>
  <c r="B1298" i="1"/>
  <c r="C1297" i="1"/>
  <c r="B1297" i="1"/>
  <c r="C1296" i="1"/>
  <c r="B1296" i="1"/>
  <c r="C1295" i="1"/>
  <c r="B1295" i="1"/>
  <c r="C1294" i="1"/>
  <c r="B1294" i="1"/>
  <c r="C1293" i="1"/>
  <c r="B1293" i="1"/>
  <c r="C1292" i="1"/>
  <c r="B1292" i="1"/>
  <c r="C1291" i="1"/>
  <c r="B1291" i="1"/>
  <c r="C1290" i="1"/>
  <c r="B1290" i="1"/>
  <c r="C1289" i="1"/>
  <c r="B1289" i="1"/>
  <c r="C1288" i="1"/>
  <c r="B1288" i="1"/>
  <c r="C1287" i="1"/>
  <c r="B1287" i="1"/>
  <c r="C1286" i="1"/>
  <c r="B1286" i="1"/>
  <c r="C1285" i="1"/>
  <c r="B1285" i="1"/>
  <c r="C1284" i="1"/>
  <c r="B1284" i="1"/>
  <c r="C1283" i="1"/>
  <c r="B1283" i="1"/>
  <c r="C1282" i="1"/>
  <c r="B1282" i="1"/>
  <c r="C1281" i="1"/>
  <c r="B1281" i="1"/>
  <c r="C1280" i="1"/>
  <c r="B1280" i="1"/>
  <c r="C1279" i="1"/>
  <c r="B1279" i="1"/>
  <c r="C1278" i="1"/>
  <c r="B1278" i="1"/>
  <c r="C1277" i="1"/>
  <c r="B1277" i="1"/>
  <c r="C1276" i="1"/>
  <c r="B1276" i="1"/>
  <c r="C1275" i="1"/>
  <c r="B1275" i="1"/>
  <c r="C1274" i="1"/>
  <c r="B1274" i="1"/>
  <c r="C1273" i="1"/>
  <c r="B1273" i="1"/>
  <c r="C1272" i="1"/>
  <c r="B1272" i="1"/>
  <c r="C1271" i="1"/>
  <c r="B1271" i="1"/>
  <c r="C1270" i="1"/>
  <c r="B1270" i="1"/>
  <c r="C1269" i="1"/>
  <c r="B1269" i="1"/>
  <c r="C1268" i="1"/>
  <c r="B1268" i="1"/>
  <c r="C1267" i="1"/>
  <c r="B1267" i="1"/>
  <c r="C1266" i="1"/>
  <c r="B1266" i="1"/>
  <c r="C1265" i="1"/>
  <c r="B1265" i="1"/>
  <c r="C1264" i="1"/>
  <c r="B1264" i="1"/>
  <c r="C1263" i="1"/>
  <c r="B1263" i="1"/>
  <c r="C1262" i="1"/>
  <c r="B1262" i="1"/>
  <c r="C1261" i="1"/>
  <c r="B1261" i="1"/>
  <c r="C1260" i="1"/>
  <c r="B1260" i="1"/>
  <c r="C1259" i="1"/>
  <c r="B1259" i="1"/>
  <c r="C1258" i="1"/>
  <c r="B1258" i="1"/>
  <c r="C1257" i="1"/>
  <c r="B1257" i="1"/>
  <c r="C1256" i="1"/>
  <c r="B1256" i="1"/>
  <c r="C1255" i="1"/>
  <c r="B1255" i="1"/>
  <c r="C1254" i="1"/>
  <c r="B1254" i="1"/>
  <c r="C1253" i="1"/>
  <c r="B1253" i="1"/>
  <c r="C1252" i="1"/>
  <c r="B1252" i="1"/>
  <c r="C1251" i="1"/>
  <c r="B1251" i="1"/>
  <c r="C1250" i="1"/>
  <c r="B1250" i="1"/>
  <c r="C1249" i="1"/>
  <c r="B1249" i="1"/>
  <c r="C1248" i="1"/>
  <c r="B1248" i="1"/>
  <c r="C1247" i="1"/>
  <c r="B1247" i="1"/>
  <c r="C1246" i="1"/>
  <c r="B1246" i="1"/>
  <c r="C1245" i="1"/>
  <c r="B1245" i="1"/>
  <c r="C1244" i="1"/>
  <c r="B1244" i="1"/>
  <c r="C1243" i="1"/>
  <c r="B1243" i="1"/>
  <c r="C1242" i="1"/>
  <c r="B1242" i="1"/>
  <c r="C1241" i="1"/>
  <c r="B1241" i="1"/>
  <c r="C1240" i="1"/>
  <c r="B1240" i="1"/>
  <c r="C1239" i="1"/>
  <c r="B1239" i="1"/>
  <c r="C1238" i="1"/>
  <c r="B1238" i="1"/>
  <c r="C1237" i="1"/>
  <c r="B1237" i="1"/>
  <c r="C1236" i="1"/>
  <c r="B1236" i="1"/>
  <c r="C1235" i="1"/>
  <c r="B1235" i="1"/>
  <c r="C1234" i="1"/>
  <c r="B1234" i="1"/>
  <c r="C1233" i="1"/>
  <c r="B1233" i="1"/>
  <c r="C1232" i="1"/>
  <c r="B1232" i="1"/>
  <c r="C1231" i="1"/>
  <c r="B1231" i="1"/>
  <c r="C1230" i="1"/>
  <c r="B1230" i="1"/>
  <c r="C1229" i="1"/>
  <c r="B1229" i="1"/>
  <c r="C1228" i="1"/>
  <c r="B1228" i="1"/>
  <c r="C1227" i="1"/>
  <c r="B1227" i="1"/>
  <c r="C1226" i="1"/>
  <c r="B1226" i="1"/>
  <c r="C1225" i="1"/>
  <c r="B1225" i="1"/>
  <c r="C1224" i="1"/>
  <c r="B1224" i="1"/>
  <c r="C1223" i="1"/>
  <c r="B1223" i="1"/>
  <c r="C1222" i="1"/>
  <c r="B1222" i="1"/>
  <c r="C1221" i="1"/>
  <c r="B1221" i="1"/>
  <c r="C1220" i="1"/>
  <c r="B1220" i="1"/>
  <c r="C1219" i="1"/>
  <c r="B1219" i="1"/>
  <c r="C1218" i="1"/>
  <c r="B1218" i="1"/>
  <c r="C1217" i="1"/>
  <c r="B1217" i="1"/>
  <c r="C1216" i="1"/>
  <c r="B1216" i="1"/>
  <c r="C1215" i="1"/>
  <c r="B1215" i="1"/>
  <c r="C1214" i="1"/>
  <c r="B1214" i="1"/>
  <c r="C1213" i="1"/>
  <c r="B1213" i="1"/>
  <c r="C1212" i="1"/>
  <c r="B1212" i="1"/>
  <c r="C1211" i="1"/>
  <c r="B1211" i="1"/>
  <c r="C1210" i="1"/>
  <c r="B1210" i="1"/>
  <c r="C1209" i="1"/>
  <c r="B1209" i="1"/>
  <c r="C1208" i="1"/>
  <c r="B1208" i="1"/>
  <c r="C1207" i="1"/>
  <c r="B1207" i="1"/>
  <c r="C1206" i="1"/>
  <c r="B1206" i="1"/>
  <c r="C1205" i="1"/>
  <c r="B1205" i="1"/>
  <c r="C1204" i="1"/>
  <c r="B1204" i="1"/>
  <c r="C1203" i="1"/>
  <c r="B1203" i="1"/>
  <c r="C1202" i="1"/>
  <c r="B1202" i="1"/>
  <c r="C1201" i="1"/>
  <c r="B1201" i="1"/>
  <c r="C1200" i="1"/>
  <c r="B1200" i="1"/>
  <c r="C1199" i="1"/>
  <c r="B1199" i="1"/>
  <c r="C1198" i="1"/>
  <c r="B1198" i="1"/>
  <c r="C1197" i="1"/>
  <c r="B1197" i="1"/>
  <c r="C1196" i="1"/>
  <c r="B1196" i="1"/>
  <c r="C1195" i="1"/>
  <c r="B1195" i="1"/>
  <c r="C1194" i="1"/>
  <c r="B1194" i="1"/>
  <c r="C1193" i="1"/>
  <c r="B1193" i="1"/>
  <c r="C1192" i="1"/>
  <c r="B1192" i="1"/>
  <c r="C1191" i="1"/>
  <c r="B1191" i="1"/>
  <c r="C1190" i="1"/>
  <c r="B1190" i="1"/>
  <c r="C1189" i="1"/>
  <c r="B1189" i="1"/>
  <c r="C1188" i="1"/>
  <c r="B1188" i="1"/>
  <c r="C1187" i="1"/>
  <c r="B1187" i="1"/>
  <c r="C1186" i="1"/>
  <c r="B1186" i="1"/>
  <c r="C1185" i="1"/>
  <c r="B1185" i="1"/>
  <c r="C1184" i="1"/>
  <c r="B1184" i="1"/>
  <c r="C1183" i="1"/>
  <c r="B1183" i="1"/>
  <c r="C1182" i="1"/>
  <c r="B1182" i="1"/>
  <c r="C1181" i="1"/>
  <c r="B1181" i="1"/>
  <c r="C1180" i="1"/>
  <c r="B1180" i="1"/>
  <c r="C1179" i="1"/>
  <c r="B1179" i="1"/>
  <c r="C1178" i="1"/>
  <c r="B1178" i="1"/>
  <c r="C1177" i="1"/>
  <c r="B1177" i="1"/>
  <c r="C1176" i="1"/>
  <c r="B1176" i="1"/>
  <c r="C1175" i="1"/>
  <c r="B1175" i="1"/>
  <c r="C1174" i="1"/>
  <c r="B1174" i="1"/>
  <c r="C1173" i="1"/>
  <c r="B1173" i="1"/>
  <c r="C1172" i="1"/>
  <c r="B1172" i="1"/>
  <c r="C1171" i="1"/>
  <c r="B1171" i="1"/>
  <c r="C1170" i="1"/>
  <c r="B1170" i="1"/>
  <c r="C1169" i="1"/>
  <c r="B1169" i="1"/>
  <c r="C1168" i="1"/>
  <c r="B1168" i="1"/>
  <c r="C1167" i="1"/>
  <c r="B1167" i="1"/>
  <c r="C1166" i="1"/>
  <c r="B1166" i="1"/>
  <c r="C1165" i="1"/>
  <c r="B1165" i="1"/>
  <c r="C1164" i="1"/>
  <c r="B1164" i="1"/>
  <c r="C1163" i="1"/>
  <c r="B1163" i="1"/>
  <c r="C1162" i="1"/>
  <c r="B1162" i="1"/>
  <c r="C1161" i="1"/>
  <c r="B1161" i="1"/>
  <c r="C1160" i="1"/>
  <c r="B1160" i="1"/>
  <c r="C1159" i="1"/>
  <c r="B1159" i="1"/>
  <c r="C1158" i="1"/>
  <c r="B1158" i="1"/>
  <c r="C1157" i="1"/>
  <c r="B1157" i="1"/>
  <c r="C1156" i="1"/>
  <c r="B1156" i="1"/>
  <c r="C1155" i="1"/>
  <c r="B1155" i="1"/>
  <c r="C1154" i="1"/>
  <c r="B1154" i="1"/>
  <c r="C1153" i="1"/>
  <c r="B1153" i="1"/>
  <c r="C1152" i="1"/>
  <c r="B1152" i="1"/>
  <c r="C1151" i="1"/>
  <c r="B1151" i="1"/>
  <c r="C1150" i="1"/>
  <c r="B1150" i="1"/>
  <c r="C1149" i="1"/>
  <c r="B1149" i="1"/>
  <c r="C1148" i="1"/>
  <c r="B1148" i="1"/>
  <c r="C1147" i="1"/>
  <c r="B1147" i="1"/>
  <c r="C1146" i="1"/>
  <c r="B1146" i="1"/>
  <c r="C1145" i="1"/>
  <c r="B1145" i="1"/>
  <c r="C1144" i="1"/>
  <c r="B1144" i="1"/>
  <c r="C1143" i="1"/>
  <c r="B1143" i="1"/>
  <c r="C1142" i="1"/>
  <c r="B1142" i="1"/>
  <c r="C1141" i="1"/>
  <c r="B1141" i="1"/>
  <c r="C1140" i="1"/>
  <c r="B1140" i="1"/>
  <c r="C1139" i="1"/>
  <c r="B1139" i="1"/>
  <c r="C1138" i="1"/>
  <c r="B1138" i="1"/>
  <c r="C1137" i="1"/>
  <c r="B1137" i="1"/>
  <c r="C1136" i="1"/>
  <c r="B1136" i="1"/>
  <c r="C1135" i="1"/>
  <c r="B1135" i="1"/>
  <c r="C1134" i="1"/>
  <c r="B1134" i="1"/>
  <c r="C1133" i="1"/>
  <c r="B1133" i="1"/>
  <c r="C1132" i="1"/>
  <c r="B1132" i="1"/>
  <c r="C1131" i="1"/>
  <c r="B1131" i="1"/>
  <c r="C1130" i="1"/>
  <c r="B1130" i="1"/>
  <c r="C1129" i="1"/>
  <c r="B1129" i="1"/>
  <c r="C1128" i="1"/>
  <c r="B1128" i="1"/>
  <c r="C1127" i="1"/>
  <c r="B1127" i="1"/>
  <c r="C1126" i="1"/>
  <c r="B1126" i="1"/>
  <c r="C1125" i="1"/>
  <c r="B1125" i="1"/>
  <c r="C1124" i="1"/>
  <c r="B1124" i="1"/>
  <c r="C1123" i="1"/>
  <c r="B1123" i="1"/>
  <c r="C1122" i="1"/>
  <c r="B1122" i="1"/>
  <c r="C1121" i="1"/>
  <c r="B1121" i="1"/>
  <c r="C1120" i="1"/>
  <c r="B1120" i="1"/>
  <c r="C1119" i="1"/>
  <c r="B1119" i="1"/>
  <c r="C1118" i="1"/>
  <c r="B1118" i="1"/>
  <c r="C1117" i="1"/>
  <c r="B1117" i="1"/>
  <c r="C1116" i="1"/>
  <c r="B1116" i="1"/>
  <c r="C1115" i="1"/>
  <c r="B1115" i="1"/>
  <c r="C1114" i="1"/>
  <c r="B1114" i="1"/>
  <c r="C1113" i="1"/>
  <c r="B1113" i="1"/>
  <c r="C1112" i="1"/>
  <c r="B1112" i="1"/>
  <c r="C1111" i="1"/>
  <c r="B1111" i="1"/>
  <c r="C1110" i="1"/>
  <c r="B1110" i="1"/>
  <c r="C1109" i="1"/>
  <c r="B1109" i="1"/>
  <c r="C1108" i="1"/>
  <c r="B1108" i="1"/>
  <c r="C1107" i="1"/>
  <c r="B1107" i="1"/>
  <c r="C1106" i="1"/>
  <c r="B1106" i="1"/>
  <c r="C1105" i="1"/>
  <c r="B1105" i="1"/>
  <c r="C1104" i="1"/>
  <c r="B1104" i="1"/>
  <c r="C1103" i="1"/>
  <c r="B1103" i="1"/>
  <c r="C1102" i="1"/>
  <c r="B1102" i="1"/>
  <c r="C1101" i="1"/>
  <c r="B1101" i="1"/>
  <c r="C1100" i="1"/>
  <c r="B1100" i="1"/>
  <c r="C1099" i="1"/>
  <c r="B1099" i="1"/>
  <c r="C1098" i="1"/>
  <c r="B1098" i="1"/>
  <c r="C1097" i="1"/>
  <c r="B1097" i="1"/>
  <c r="C1096" i="1"/>
  <c r="B1096" i="1"/>
  <c r="C1095" i="1"/>
  <c r="B1095" i="1"/>
  <c r="C1094" i="1"/>
  <c r="B1094" i="1"/>
  <c r="C1093" i="1"/>
  <c r="B1093" i="1"/>
  <c r="C1092" i="1"/>
  <c r="B1092" i="1"/>
  <c r="C1091" i="1"/>
  <c r="B1091" i="1"/>
  <c r="C1090" i="1"/>
  <c r="B1090" i="1"/>
  <c r="C1089" i="1"/>
  <c r="B1089" i="1"/>
  <c r="C1088" i="1"/>
  <c r="B1088" i="1"/>
  <c r="C1087" i="1"/>
  <c r="B1087" i="1"/>
  <c r="C1086" i="1"/>
  <c r="B1086" i="1"/>
  <c r="C1085" i="1"/>
  <c r="B1085" i="1"/>
  <c r="C1084" i="1"/>
  <c r="B1084" i="1"/>
  <c r="C1083" i="1"/>
  <c r="B1083" i="1"/>
  <c r="C1082" i="1"/>
  <c r="B1082" i="1"/>
  <c r="C1081" i="1"/>
  <c r="B1081" i="1"/>
  <c r="C1080" i="1"/>
  <c r="B1080" i="1"/>
  <c r="C1079" i="1"/>
  <c r="B1079" i="1"/>
  <c r="C1078" i="1"/>
  <c r="B1078" i="1"/>
  <c r="C1077" i="1"/>
  <c r="B1077" i="1"/>
  <c r="C1076" i="1"/>
  <c r="B1076" i="1"/>
  <c r="C1075" i="1"/>
  <c r="B1075" i="1"/>
  <c r="C1074" i="1"/>
  <c r="B1074" i="1"/>
  <c r="C1073" i="1"/>
  <c r="B1073" i="1"/>
  <c r="C1072" i="1"/>
  <c r="B1072" i="1"/>
  <c r="C1071" i="1"/>
  <c r="B1071" i="1"/>
  <c r="C1070" i="1"/>
  <c r="B1070" i="1"/>
  <c r="C1069" i="1"/>
  <c r="B1069" i="1"/>
  <c r="C1068" i="1"/>
  <c r="B1068" i="1"/>
  <c r="C1067" i="1"/>
  <c r="B1067" i="1"/>
  <c r="C1066" i="1"/>
  <c r="B1066" i="1"/>
  <c r="C1065" i="1"/>
  <c r="B1065" i="1"/>
  <c r="C1064" i="1"/>
  <c r="B1064" i="1"/>
  <c r="C1063" i="1"/>
  <c r="B1063" i="1"/>
  <c r="C1062" i="1"/>
  <c r="B1062" i="1"/>
  <c r="C1061" i="1"/>
  <c r="B1061" i="1"/>
  <c r="C1060" i="1"/>
  <c r="B1060" i="1"/>
  <c r="C1059" i="1"/>
  <c r="B1059" i="1"/>
  <c r="C1058" i="1"/>
  <c r="B1058" i="1"/>
  <c r="C1057" i="1"/>
  <c r="B1057" i="1"/>
  <c r="C1056" i="1"/>
  <c r="B1056" i="1"/>
  <c r="C1055" i="1"/>
  <c r="B1055" i="1"/>
  <c r="C1054" i="1"/>
  <c r="B1054" i="1"/>
  <c r="C1053" i="1"/>
  <c r="B1053" i="1"/>
  <c r="C1052" i="1"/>
  <c r="B1052" i="1"/>
  <c r="C1051" i="1"/>
  <c r="B1051" i="1"/>
  <c r="C1050" i="1"/>
  <c r="B1050" i="1"/>
  <c r="C1049" i="1"/>
  <c r="B1049" i="1"/>
  <c r="C1048" i="1"/>
  <c r="B1048" i="1"/>
  <c r="C1047" i="1"/>
  <c r="B1047" i="1"/>
  <c r="C1046" i="1"/>
  <c r="B1046" i="1"/>
  <c r="C1045" i="1"/>
  <c r="B1045" i="1"/>
  <c r="C1044" i="1"/>
  <c r="B1044" i="1"/>
  <c r="C1043" i="1"/>
  <c r="B1043" i="1"/>
  <c r="C1042" i="1"/>
  <c r="B1042" i="1"/>
  <c r="C1041" i="1"/>
  <c r="B1041" i="1"/>
  <c r="C1040" i="1"/>
  <c r="B1040" i="1"/>
  <c r="C1039" i="1"/>
  <c r="B1039" i="1"/>
  <c r="C1038" i="1"/>
  <c r="B1038" i="1"/>
  <c r="C1037" i="1"/>
  <c r="B1037" i="1"/>
  <c r="C1036" i="1"/>
  <c r="B1036" i="1"/>
  <c r="C1035" i="1"/>
  <c r="B1035" i="1"/>
  <c r="C1034" i="1"/>
  <c r="B1034" i="1"/>
  <c r="C1033" i="1"/>
  <c r="B1033" i="1"/>
  <c r="C1032" i="1"/>
  <c r="B1032" i="1"/>
  <c r="C1031" i="1"/>
  <c r="B1031" i="1"/>
  <c r="C1030" i="1"/>
  <c r="B1030" i="1"/>
  <c r="C1029" i="1"/>
  <c r="B1029" i="1"/>
  <c r="C1028" i="1"/>
  <c r="B1028" i="1"/>
  <c r="C1027" i="1"/>
  <c r="B1027" i="1"/>
  <c r="C1026" i="1"/>
  <c r="B1026" i="1"/>
  <c r="C1025" i="1"/>
  <c r="B1025" i="1"/>
  <c r="C1024" i="1"/>
  <c r="B1024" i="1"/>
  <c r="C1023" i="1"/>
  <c r="B1023" i="1"/>
  <c r="C1022" i="1"/>
  <c r="B1022" i="1"/>
  <c r="C1021" i="1"/>
  <c r="B1021" i="1"/>
  <c r="C1020" i="1"/>
  <c r="B1020" i="1"/>
  <c r="C1019" i="1"/>
  <c r="B1019" i="1"/>
  <c r="C1018" i="1"/>
  <c r="B1018" i="1"/>
  <c r="C1017" i="1"/>
  <c r="B1017" i="1"/>
  <c r="C1016" i="1"/>
  <c r="B1016" i="1"/>
  <c r="C1015" i="1"/>
  <c r="B1015" i="1"/>
  <c r="C1014" i="1"/>
  <c r="B1014" i="1"/>
  <c r="C1013" i="1"/>
  <c r="B1013" i="1"/>
  <c r="C1012" i="1"/>
  <c r="B1012" i="1"/>
  <c r="C1011" i="1"/>
  <c r="B1011" i="1"/>
  <c r="C1010" i="1"/>
  <c r="B1010" i="1"/>
  <c r="C1009" i="1"/>
  <c r="B1009" i="1"/>
  <c r="C1008" i="1"/>
  <c r="B1008" i="1"/>
  <c r="C1007" i="1"/>
  <c r="B1007" i="1"/>
  <c r="C1006" i="1"/>
  <c r="B1006" i="1"/>
  <c r="C1005" i="1"/>
  <c r="B1005" i="1"/>
  <c r="C1004" i="1"/>
  <c r="B1004" i="1"/>
  <c r="C1003" i="1"/>
  <c r="B1003" i="1"/>
  <c r="C1002" i="1"/>
  <c r="B1002" i="1"/>
  <c r="C1001" i="1"/>
  <c r="B1001" i="1"/>
  <c r="C1000" i="1"/>
  <c r="B1000" i="1"/>
  <c r="C999" i="1"/>
  <c r="B999" i="1"/>
  <c r="C998" i="1"/>
  <c r="B998" i="1"/>
  <c r="C997" i="1"/>
  <c r="B997" i="1"/>
  <c r="C996" i="1"/>
  <c r="B996" i="1"/>
  <c r="C995" i="1"/>
  <c r="B995" i="1"/>
  <c r="C994" i="1"/>
  <c r="B994" i="1"/>
  <c r="C993" i="1"/>
  <c r="B993" i="1"/>
  <c r="C992" i="1"/>
  <c r="B992" i="1"/>
  <c r="C991" i="1"/>
  <c r="B991" i="1"/>
  <c r="C990" i="1"/>
  <c r="B990" i="1"/>
  <c r="C989" i="1"/>
  <c r="B989" i="1"/>
  <c r="C988" i="1"/>
  <c r="B988" i="1"/>
  <c r="C987" i="1"/>
  <c r="B987" i="1"/>
  <c r="C986" i="1"/>
  <c r="B986" i="1"/>
  <c r="C985" i="1"/>
  <c r="B985" i="1"/>
  <c r="C984" i="1"/>
  <c r="B984" i="1"/>
  <c r="C983" i="1"/>
  <c r="B983" i="1"/>
  <c r="C982" i="1"/>
  <c r="B982" i="1"/>
  <c r="C981" i="1"/>
  <c r="B981" i="1"/>
  <c r="C980" i="1"/>
  <c r="B980" i="1"/>
  <c r="C979" i="1"/>
  <c r="B979" i="1"/>
  <c r="C978" i="1"/>
  <c r="B978" i="1"/>
  <c r="C977" i="1"/>
  <c r="B977" i="1"/>
  <c r="C976" i="1"/>
  <c r="B976" i="1"/>
  <c r="C975" i="1"/>
  <c r="B975" i="1"/>
  <c r="C974" i="1"/>
  <c r="B974" i="1"/>
  <c r="C973" i="1"/>
  <c r="B973" i="1"/>
  <c r="C972" i="1"/>
  <c r="B972" i="1"/>
  <c r="C971" i="1"/>
  <c r="B971" i="1"/>
  <c r="C970" i="1"/>
  <c r="B970" i="1"/>
  <c r="C969" i="1"/>
  <c r="B969" i="1"/>
  <c r="C968" i="1"/>
  <c r="B968" i="1"/>
  <c r="C967" i="1"/>
  <c r="B967" i="1"/>
  <c r="C966" i="1"/>
  <c r="B966" i="1"/>
  <c r="C965" i="1"/>
  <c r="B965" i="1"/>
  <c r="C964" i="1"/>
  <c r="B964" i="1"/>
  <c r="C963" i="1"/>
  <c r="B963" i="1"/>
  <c r="C962" i="1"/>
  <c r="B962" i="1"/>
  <c r="C961" i="1"/>
  <c r="B961" i="1"/>
  <c r="C960" i="1"/>
  <c r="B960" i="1"/>
  <c r="C959" i="1"/>
  <c r="B959" i="1"/>
  <c r="C958" i="1"/>
  <c r="B958" i="1"/>
  <c r="C957" i="1"/>
  <c r="B957" i="1"/>
  <c r="C956" i="1"/>
  <c r="B956" i="1"/>
  <c r="C955" i="1"/>
  <c r="B955" i="1"/>
  <c r="C954" i="1"/>
  <c r="B954" i="1"/>
  <c r="C953" i="1"/>
  <c r="B953" i="1"/>
  <c r="C952" i="1"/>
  <c r="B952" i="1"/>
  <c r="C951" i="1"/>
  <c r="B951" i="1"/>
  <c r="C950" i="1"/>
  <c r="B950" i="1"/>
  <c r="C949" i="1"/>
  <c r="B949" i="1"/>
  <c r="C948" i="1"/>
  <c r="B948" i="1"/>
  <c r="C947" i="1"/>
  <c r="B947" i="1"/>
  <c r="C946" i="1"/>
  <c r="B946" i="1"/>
  <c r="C945" i="1"/>
  <c r="B945" i="1"/>
  <c r="C944" i="1"/>
  <c r="B944" i="1"/>
  <c r="C943" i="1"/>
  <c r="B943" i="1"/>
  <c r="C942" i="1"/>
  <c r="B942" i="1"/>
  <c r="C941" i="1"/>
  <c r="B941" i="1"/>
  <c r="C940" i="1"/>
  <c r="B940" i="1"/>
  <c r="C939" i="1"/>
  <c r="B939" i="1"/>
  <c r="C938" i="1"/>
  <c r="B938" i="1"/>
  <c r="C937" i="1"/>
  <c r="B937" i="1"/>
  <c r="C936" i="1"/>
  <c r="B936" i="1"/>
  <c r="C935" i="1"/>
  <c r="B935" i="1"/>
  <c r="C934" i="1"/>
  <c r="B934" i="1"/>
  <c r="C933" i="1"/>
  <c r="B933" i="1"/>
  <c r="C932" i="1"/>
  <c r="B932" i="1"/>
  <c r="C931" i="1"/>
  <c r="B931" i="1"/>
  <c r="C930" i="1"/>
  <c r="B930" i="1"/>
  <c r="C929" i="1"/>
  <c r="B929" i="1"/>
  <c r="C928" i="1"/>
  <c r="B928" i="1"/>
  <c r="C927" i="1"/>
  <c r="B927" i="1"/>
  <c r="C926" i="1"/>
  <c r="B926" i="1"/>
  <c r="C925" i="1"/>
  <c r="B925" i="1"/>
  <c r="C924" i="1"/>
  <c r="B924" i="1"/>
  <c r="C923" i="1"/>
  <c r="B923" i="1"/>
  <c r="C922" i="1"/>
  <c r="B922" i="1"/>
  <c r="C921" i="1"/>
  <c r="B921" i="1"/>
  <c r="C920" i="1"/>
  <c r="B920" i="1"/>
  <c r="C919" i="1"/>
  <c r="B919" i="1"/>
  <c r="C918" i="1"/>
  <c r="B918" i="1"/>
  <c r="C917" i="1"/>
  <c r="B917" i="1"/>
  <c r="C916" i="1"/>
  <c r="B916" i="1"/>
  <c r="C915" i="1"/>
  <c r="B915" i="1"/>
  <c r="C914" i="1"/>
  <c r="B914" i="1"/>
  <c r="C913" i="1"/>
  <c r="B913" i="1"/>
  <c r="C912" i="1"/>
  <c r="B912" i="1"/>
  <c r="C911" i="1"/>
  <c r="B911" i="1"/>
  <c r="C910" i="1"/>
  <c r="B910" i="1"/>
  <c r="C909" i="1"/>
  <c r="B909" i="1"/>
  <c r="C908" i="1"/>
  <c r="B908" i="1"/>
  <c r="C907" i="1"/>
  <c r="B907" i="1"/>
  <c r="C906" i="1"/>
  <c r="B906" i="1"/>
  <c r="C905" i="1"/>
  <c r="B905" i="1"/>
  <c r="C904" i="1"/>
  <c r="B904" i="1"/>
  <c r="C903" i="1"/>
  <c r="B903" i="1"/>
  <c r="C902" i="1"/>
  <c r="B902" i="1"/>
  <c r="C901" i="1"/>
  <c r="B901" i="1"/>
  <c r="C900" i="1"/>
  <c r="B900" i="1"/>
  <c r="C899" i="1"/>
  <c r="B899" i="1"/>
  <c r="C898" i="1"/>
  <c r="B898" i="1"/>
  <c r="C897" i="1"/>
  <c r="B897" i="1"/>
  <c r="C896" i="1"/>
  <c r="B896" i="1"/>
  <c r="C895" i="1"/>
  <c r="B895" i="1"/>
  <c r="C894" i="1"/>
  <c r="B894" i="1"/>
  <c r="C893" i="1"/>
  <c r="B893" i="1"/>
  <c r="C892" i="1"/>
  <c r="B892" i="1"/>
  <c r="C891" i="1"/>
  <c r="B891" i="1"/>
  <c r="C890" i="1"/>
  <c r="B890" i="1"/>
  <c r="C889" i="1"/>
  <c r="B889" i="1"/>
  <c r="C888" i="1"/>
  <c r="B888" i="1"/>
  <c r="C887" i="1"/>
  <c r="B887" i="1"/>
  <c r="C886" i="1"/>
  <c r="B886" i="1"/>
  <c r="C885" i="1"/>
  <c r="B885" i="1"/>
  <c r="C884" i="1"/>
  <c r="B884" i="1"/>
  <c r="C883" i="1"/>
  <c r="B883" i="1"/>
  <c r="C882" i="1"/>
  <c r="B882" i="1"/>
  <c r="C881" i="1"/>
  <c r="B881" i="1"/>
  <c r="C880" i="1"/>
  <c r="B880" i="1"/>
  <c r="C879" i="1"/>
  <c r="B879" i="1"/>
  <c r="C878" i="1"/>
  <c r="B878" i="1"/>
  <c r="C877" i="1"/>
  <c r="B877" i="1"/>
  <c r="C876" i="1"/>
  <c r="B876" i="1"/>
  <c r="C875" i="1"/>
  <c r="B875" i="1"/>
  <c r="C874" i="1"/>
  <c r="B874" i="1"/>
  <c r="C873" i="1"/>
  <c r="B873" i="1"/>
  <c r="C872" i="1"/>
  <c r="B872" i="1"/>
  <c r="C871" i="1"/>
  <c r="B871" i="1"/>
  <c r="C870" i="1"/>
  <c r="B870" i="1"/>
  <c r="C869" i="1"/>
  <c r="B869" i="1"/>
  <c r="C868" i="1"/>
  <c r="B868" i="1"/>
  <c r="C867" i="1"/>
  <c r="B867" i="1"/>
  <c r="C866" i="1"/>
  <c r="B866" i="1"/>
  <c r="C865" i="1"/>
  <c r="B865" i="1"/>
  <c r="C864" i="1"/>
  <c r="B864" i="1"/>
  <c r="C863" i="1"/>
  <c r="B863" i="1"/>
  <c r="C862" i="1"/>
  <c r="B862" i="1"/>
  <c r="C861" i="1"/>
  <c r="B861" i="1"/>
  <c r="C860" i="1"/>
  <c r="B860" i="1"/>
  <c r="C859" i="1"/>
  <c r="B859" i="1"/>
  <c r="C858" i="1"/>
  <c r="B858" i="1"/>
  <c r="C857" i="1"/>
  <c r="B857" i="1"/>
  <c r="C856" i="1"/>
  <c r="B856" i="1"/>
  <c r="C855" i="1"/>
  <c r="B855" i="1"/>
  <c r="C854" i="1"/>
  <c r="B854" i="1"/>
  <c r="C853" i="1"/>
  <c r="B853" i="1"/>
  <c r="C852" i="1"/>
  <c r="B852" i="1"/>
  <c r="C851" i="1"/>
  <c r="B851" i="1"/>
  <c r="C850" i="1"/>
  <c r="B850" i="1"/>
  <c r="C849" i="1"/>
  <c r="B849" i="1"/>
  <c r="C848" i="1"/>
  <c r="B848" i="1"/>
  <c r="C847" i="1"/>
  <c r="B847" i="1"/>
  <c r="C846" i="1"/>
  <c r="B846" i="1"/>
  <c r="C845" i="1"/>
  <c r="B845" i="1"/>
  <c r="C844" i="1"/>
  <c r="B844" i="1"/>
  <c r="C843" i="1"/>
  <c r="B843" i="1"/>
  <c r="C842" i="1"/>
  <c r="B842" i="1"/>
  <c r="C841" i="1"/>
  <c r="B841" i="1"/>
  <c r="C840" i="1"/>
  <c r="B840" i="1"/>
  <c r="C839" i="1"/>
  <c r="B839" i="1"/>
  <c r="C838" i="1"/>
  <c r="B838" i="1"/>
  <c r="C837" i="1"/>
  <c r="B837" i="1"/>
  <c r="C836" i="1"/>
  <c r="B836" i="1"/>
  <c r="C835" i="1"/>
  <c r="B835" i="1"/>
  <c r="C834" i="1"/>
  <c r="B834" i="1"/>
  <c r="C833" i="1"/>
  <c r="B833" i="1"/>
  <c r="C832" i="1"/>
  <c r="B832" i="1"/>
  <c r="C831" i="1"/>
  <c r="B831" i="1"/>
  <c r="C830" i="1"/>
  <c r="B830" i="1"/>
  <c r="C829" i="1"/>
  <c r="B829" i="1"/>
  <c r="C828" i="1"/>
  <c r="B828" i="1"/>
  <c r="C827" i="1"/>
  <c r="B827" i="1"/>
  <c r="C826" i="1"/>
  <c r="B826" i="1"/>
  <c r="C825" i="1"/>
  <c r="B825" i="1"/>
  <c r="C824" i="1"/>
  <c r="B824" i="1"/>
  <c r="C823" i="1"/>
  <c r="B823" i="1"/>
  <c r="C822" i="1"/>
  <c r="B822" i="1"/>
  <c r="C821" i="1"/>
  <c r="B821" i="1"/>
  <c r="C820" i="1"/>
  <c r="B820" i="1"/>
  <c r="C819" i="1"/>
  <c r="B819" i="1"/>
  <c r="C818" i="1"/>
  <c r="B818" i="1"/>
  <c r="C817" i="1"/>
  <c r="B817" i="1"/>
  <c r="C816" i="1"/>
  <c r="B816" i="1"/>
  <c r="C815" i="1"/>
  <c r="B815" i="1"/>
  <c r="C814" i="1"/>
  <c r="B814" i="1"/>
  <c r="C813" i="1"/>
  <c r="B813" i="1"/>
  <c r="C812" i="1"/>
  <c r="B812" i="1"/>
  <c r="C811" i="1"/>
  <c r="B811" i="1"/>
  <c r="C810" i="1"/>
  <c r="B810" i="1"/>
  <c r="C809" i="1"/>
  <c r="B809" i="1"/>
  <c r="C808" i="1"/>
  <c r="B808" i="1"/>
  <c r="C807" i="1"/>
  <c r="B807" i="1"/>
  <c r="C806" i="1"/>
  <c r="B806" i="1"/>
  <c r="C805" i="1"/>
  <c r="B805" i="1"/>
  <c r="C804" i="1"/>
  <c r="B804" i="1"/>
  <c r="C803" i="1"/>
  <c r="B803" i="1"/>
  <c r="C802" i="1"/>
  <c r="B802" i="1"/>
  <c r="C801" i="1"/>
  <c r="B801"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C737"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sharedStrings.xml><?xml version="1.0" encoding="utf-8"?>
<sst xmlns="http://schemas.openxmlformats.org/spreadsheetml/2006/main" count="51958" uniqueCount="5276">
  <si>
    <t>CaseID</t>
  </si>
  <si>
    <t>Link to AI report</t>
  </si>
  <si>
    <t>Link to Rad report</t>
  </si>
  <si>
    <t>Findings (original radiologist report)</t>
  </si>
  <si>
    <t>Conclusions (original radiologist report)</t>
  </si>
  <si>
    <t>Recommendations (original radiologist report)</t>
  </si>
  <si>
    <t>Original Radiologist</t>
  </si>
  <si>
    <t>Findings (AI report)</t>
  </si>
  <si>
    <t>Conclusions (AI report)</t>
  </si>
  <si>
    <t>Recommendations (AI report)</t>
  </si>
  <si>
    <t>pulmonary_nodules</t>
  </si>
  <si>
    <t>esophagitis</t>
  </si>
  <si>
    <t>pneumonia</t>
  </si>
  <si>
    <t>bronchitis</t>
  </si>
  <si>
    <t>interstitial</t>
  </si>
  <si>
    <t>diseased_lungs</t>
  </si>
  <si>
    <t>hypo_plastic_trachea</t>
  </si>
  <si>
    <t>cardiomegaly</t>
  </si>
  <si>
    <t>pleural_effusion</t>
  </si>
  <si>
    <t>perihilar_infiltrate</t>
  </si>
  <si>
    <t>rtm</t>
  </si>
  <si>
    <t>focal_caudodorsal_lung</t>
  </si>
  <si>
    <t>right_sided_cardiomegaly</t>
  </si>
  <si>
    <t>focal_perihilar</t>
  </si>
  <si>
    <t>left_sided_cardiomegaly</t>
  </si>
  <si>
    <t>bronchiectasis</t>
  </si>
  <si>
    <t>pulmonary_vessel_enlargement</t>
  </si>
  <si>
    <t>thoracic_lymphadenopathy</t>
  </si>
  <si>
    <t>pulmonary_hypoinflation</t>
  </si>
  <si>
    <t>pericardial_effusion</t>
  </si>
  <si>
    <t>Fe_Alveolar</t>
  </si>
  <si>
    <t>Patient Name : Ledoux Gaudet, Date of study: Sep 28, 2024
2 images are provided for review
Previous images dated [09/27/2024 Case#2771488] are available for comparison.
Liver: The liver is subjectively normal in size.
Spleen: The spleen is enlarged with a undulant dorsal margin in the lateral image, and extends into the mid-ventral abdomen.
Kidneys: The kidneys are normal in size and shape without obvious mineral.
Retroperitoneum: Retroperitoneal detail is adequate.
Urinary bladder/Urethra: The urinary bladder is normal in size, homogeneous soft tissue, and smoothly marginated.
Peritoneum: Mild peritoneal fluid is suspected over the spleen.
Gastrointestinal tract: The stomach contains a mild fluid or is empty.   The stomach is within normal limits for size.
The small intestine contains mild gas and minimal fluid or is empty with a subjectively uniform population for size.  The small intestine is caudally displaced by the spleen.
The colon contains mild heterogeneous soft tissue material and gas.  The colon is within normal limits for size.  
Musculoskeletal: The included musculoskeletal structures are normal.</t>
  </si>
  <si>
    <t xml:space="preserve">1. Progressive, mild-moderate splenomegaly due to splenitis (FIP versus other), extramedullary hematopoiesis, lymphoid hyperplasia, or unlikely neoplasia or ther.
2. Scant peritoneal fluid such as from evolving splenic disease versus artifact.
3. Non-specific gastrointestinal tract appearance such as from enteritis/colitis versus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t>
  </si>
  <si>
    <t xml:space="preserve">Consider abdominal ultrasonography for further evaluation of the spleen, possible peritoneal fluid, and especially given reported history, further evaluation of the small intestine.  Coagulation testing and tissue sampling and/or abdominocentesis with fluid analysis depending on results of additional imaging.  Empirical therapy and supportive care as needed in the interim for gastrointestinal clinical signs.  Thoracic imaging to screen for occult systemic disease may be contributory.  </t>
  </si>
  <si>
    <t>Andrew Fox</t>
  </si>
  <si>
    <t xml:space="preserve">
1.Uncommonly, this result detects a minimal to mild bronchial pulmonary pattern.
2.Rarely, this result detects a minimal to mild interstitial pulmonary pattern.
3.Rarely, this result detects a minimal alveolar pulmonary pattern.
4.Cardiac silhouette: Normal in most cases; rarely, minimal to mild generalized cardiomegaly is present.
5.Negative for pulmonary vasculature enlargement.
6.Negative for pleural fissure lines/pleural fluid.</t>
  </si>
  <si>
    <t>Most patients with this result demonstrate no or minimal radiographic cardiopulmonary abnormalities, especially when lacking clinical signs. If present, differential diagnoses for cardiomegaly include: hypertrophic or thyrotoxic cardiomyopathy in a mature or older patient, or congenital anomaly in a very young patient. If present, differential diagnoses for an alveolar pattern include: bronchial plugging (such as from concurrent immune-mediated or infectious lower airway disease), atelectasis (such as from recumbency).  Other differential diagnoses such as bronchopneumonia, are considered unlikely with this result. For patients with minimal to mild respiratory clinical signs,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</si>
  <si>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 xml:space="preserve">
If clinical impression differs from this result (e.g. suspicion of pulmonary nodules, or significant pulmonary pattern), consider a formal radiologist report._x000D_
Minimal or mild respiratory signs (e.g., coughing) warrant empirical therapy and supportive care for infectious and/or immune-mediated lower airway disease. Consider airway sampling, fecal analysis/deworming, and respiratory PCR panel._x000D_
If a cardiac murmur is identified, consider cardiologist consultation, echocardiography, ECG and blood pressure._x000D_
Routine blood work and thyroid function testing may be contributory if not recently performed, especially for mature or older patients.</t>
  </si>
  <si>
    <t>Normal</t>
  </si>
  <si>
    <t>Abnormal</t>
  </si>
  <si>
    <t>Patient Name : Emmy Britt, Date of study: Sep 28, 2024
3 images are provided for review
Prior ultrasonography images dated June 9, 2022, are available.
Liver: The liver is subjectively normal in size.
Spleen: The spleen is normal in size with smooth margins and homogeneous soft tissue.
Kidneys: The left kidney is at the lower limit of normal size.  The right kidney is subjectively normal.
Retroperitoneum: Retroperitoneal detail is adequate.
Urinary bladder/Urethra: The urinary bladder is normal in size, homogeneous soft tissue, and smoothly marginated.
Peritoneum: Peritoneal detail is adequate.
Gastrointestinal tract: The stomach contains a mild gas and fluid or is empty.   The stomach is within normal limits for size.
The small intestine contains minimal gas and mild fluid or is empty with a subjectively uniform population for size. 
The colon contains mild heterogeneous soft tissue material and moderate gas.  The colon is within normal limits for size.  
Musculoskeletal: The patient is thin with concave soft tissue between spinous processes.  The remaining included musculoskeletal structures are normal.</t>
  </si>
  <si>
    <t>1. Non-specific gastrointestinal tract appearance such as from gastritis, enteritis, colitis, or given reported history unlikely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2. Thin body condition consistent with reported weight loss.'
3. Equivocally small left kidney from chronic renal disease versus artifact/normal variation.</t>
  </si>
  <si>
    <t>Etiology of reported clinical signs are not definitively identified.  Consider repeat blood work with thyroid function testing, GI panel, fecal analysis/deworming for further evaluation.  Thoracic imaging may be contributory, with/without echocardiography depending on results (especially if a murmur is present).  Empirical therapy and supportive care in the interim as needed for possible inflammatory bowel disease flare up.  Consider abdominal ultrasonography, internist consultation and diet elimination trial if not previously performed.  Monitoring as directed or sooner if clinical signs acutely change, fail to improve or worsen.</t>
  </si>
  <si>
    <t xml:space="preserve">
1.This screening does not detect an abnormal bronchial, interstitial, or alveolar pulmonary pattern._x000D_
2.No significant pleural fluid detected._x000D_
3.No cardiomegaly detected.</t>
  </si>
  <si>
    <t>No abnormal pulmonary patterns, cardiomegaly, or significant pleural fluid detected (please see below for specifics).</t>
  </si>
  <si>
    <t>Patient Name : Artemis Wilson, Date of study: Sep 28, 2024
3 images are provided for review
Feline Thorax (3 Images) - 2 Lateral, 1 Vd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L1 is transitional with thin ribs bilaterally.  The remaining  included musculoskeletal structures are normal.</t>
  </si>
  <si>
    <t xml:space="preserve">1. Minimal-mild diffuse bronchial pulmonary pattern.
- Differential diagnoses include infectious/immune-mediated lower airway disease such as from feline asthma and/or bordetella spp., mycoplasma spp., parasitism, or inhaled allergen/irritant, fibrosis from prior disease, age-related changes, or unlikely other.
</t>
  </si>
  <si>
    <t>Etiology of reported signs is not definitively identified, and may be due to referred upper airway sounds.  Consider sedated laryngeal examination and/or respiratory PCR panel, airway sampling, and fecal analysis for further evaluation.  Routine blood work, urinalysis and abdominal imaging may be contributory to screen for occult systemic disease given reported vomiting episode.  Empirical therapy and supportive care as needed in the interim. Monitoring as directed or sooner if clinical signs acutely change, fail to improve or worsen.</t>
  </si>
  <si>
    <t xml:space="preserve">
1.This result detects mild to moderate cardiomegaly._x000D_
2.This result detects a minimal to moderate bronchial pulmonary pattern._x000D_
3.This result detects a minimal to mild interstitial pulmonary pattern._x000D_
4.This result does NOT detect an alveolar pulmonary pattern._x000D_
5.This result does NOT detect pleural fissure lines.</t>
  </si>
  <si>
    <t>The mixed interstitial and bronchial pulmonary patterns are NOT suspected to represent early left-sided congestive heart failure. For patients with mild respiratory clinical signs,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Differential diagnoses for minimal pleural fissure lines include: tangential beam artifact, pleural thickening/folding, chylous effusion, idiopathic, or rarely hemorrhage (especially if history of trauma), secondary to FIP or other systemic infection/inflammation, or unlikely other.</t>
  </si>
  <si>
    <t xml:space="preserve">
If respiratory clinical signs (e.g. coughing) are present, consider empirical therapy and supportive care for infectious and/or immune-mediated lower airway disease in the interim.  Consider also airway sampling, fecal analysis/empirical deworming, and respiratory PCR panel._x000D_
Consider cardiologist consultation, echocardiography. ECG and blood pressure._x000D_
Routine blood work and thyroid function testing may be contributory if not recently performed, especially for mature or older patients._x000D_
If your clinical impression of this patient does not match the content of this result, consider submitting the radiographs for a formal radiologist report.</t>
  </si>
  <si>
    <t>Patient Name : Tofu Valenza, Date of study: Sep 28, 2024
3 images are provided for review
Feline Thorax (3 Images) - 2 Lateral, 1 Vd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moderately generally enlarged and tall or widened in all images.
Mediastinum: The cranial mediastinum is normal.
Trachea: The trachea is normal.
Esophagus: The esophagus is not well-identified.
Pleural space: The pleural space is normal.
Musculoskeletal: No obvious vertebral changes in the caudal cervical/cranial thoracic region are identified.  The remaining included musculoskeletal structures are normal.</t>
  </si>
  <si>
    <t>1. Moderate generalized cardiomegaly.
- Differential diagnoses include mitral valve dysplasia and/or atrial/ventricular septal defect or less likely other given the young age of this patient.
- There is no current evidence of left-sided congestive heart failure.
2. Minimal to mild diffuse bronchial pulmonary pattern such as from fibrosis from prior disease, age-related changes, or less likely infectious/immune-mediated lower airway disease (feline asthma and/or mycoplasma spp., bordetella spp., parasitism such as lung worms, or inhaled allergen/irritant), or unlikely other.
- There is no current evidence of bronchopneumonia.</t>
  </si>
  <si>
    <t>Echocardiography, eCG and blood pressure for further evaluation.  Routine blood work and urinalysis if not recently performed.  Respiratory PCR panel, airway sampling, and fecal analysis/empirical deworming may be contributory.   Empirical therapy and supportive care in the interim as needed. Monitoring as directed or sooner if clinical signs acutely change, fail to improve or worsen.</t>
  </si>
  <si>
    <t xml:space="preserve">
1.This screening does not detect an abnormal bronchial, interstitial, or alveolar pulmonary pattern._x000D_
2.No cardiomegaly detected._x000D_
3.No significant pleural fluid detected.</t>
  </si>
  <si>
    <t>Four radiographs of the thorax and abdomen are provided. The head and neck are included on the VD projection. Nasal sinuses are symmetric in opacity. The tympanic bullae are thin-walled and air-filled. No abnormalities are appreciated in the laryngeal region on the lateral view. The cardiac silhouette is normal size and shape. Slight increased opacity cranial to the heart on the lateral view is due to mediastinal fat and superimposed thoracic limb tissue. The lungs are clear. No pleural effusion. No esophageal dilation. Tracheal diameter and position is normal. In the abdomen moderate volume formed feces fills the colon. The stomach and small bowel are minimally distended. There is no effusion. Normal size kidneys, spleen, liver. Osseous structures are age-appropriate.</t>
  </si>
  <si>
    <t>Normal thorax and abdomen. There is no evidence of esophageal foreign material, aspiration pneumonia, or gastrointestinal obstruction.</t>
  </si>
  <si>
    <t>Visual inspection of the pharyngeal/laryngeal region is recommended. If no abnormalities are identified, an esophagram study could be considered, utilizing different textures (liquid, canned food, dry food).</t>
  </si>
  <si>
    <t>Victoria McEwen</t>
  </si>
  <si>
    <t xml:space="preserve">
1.This result detects a minimal to moderate bronchial pulmonary pattern._x000D_
2.This result detects a minimal to mild interstitial pulmonary pattern._x000D_
3.This result does NOT detect an alveolar pulmonary pattern._x000D_
4.This result detects mild to moderate cardiomegaly._x000D_
5.This result does NOT detect pleural fissure lines.</t>
  </si>
  <si>
    <t>Four orthogonal thoracic radiographs dated 26th September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 A minimal amount of gas is present in the cervical oesophagus at the thoracic inlet._x000D_
_x000D_
Abdomen: No significant abnormalities are detected._x000D_
_x000D_
Musculoskeletal findings: No significant abnormalities are detected.</t>
  </si>
  <si>
    <t>Normal thorax. Mild lower airway allergic disease, or upper respiratory pathology such as a laryngitis, tracheatis is possible. There is no evidence for a megaoesophagus or aspiration pneumonia.</t>
  </si>
  <si>
    <t>Consider empiric management of reflux of oesophagitis. Consider endoscopic examination.</t>
  </si>
  <si>
    <t>Fred Pauwels</t>
  </si>
  <si>
    <t xml:space="preserve">
1.This result detects a minimal to mild interstitial pulmonary pattern.  _x000D_
2.This result detects a mild to moderate bronchial pulmonary pattern._x000D_
3.This result does not detect an alveolar pulmonary pattern._x000D_
4.This result does not detect pulmonary soft tissue nodules._x000D_
5.This result does not detect pleural fissure lines/fluid.  _x000D_
6.This result does not detect pulmonary vasculature enlargement._x000D_
7.This result detects equivocal/borderline to mild cardiomegaly. </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</si>
  <si>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equivocal cardiomegaly include: phase of the cardiopulmonary cycle, patient positioning/technique, individual variation of normal (especially in younger patients), or evolving cardiomyopathy (such as hypertrophic or thyrotoxic cardiomyopathy). </t>
  </si>
  <si>
    <t xml:space="preserve">
If the patient has clinical signs consistent with active infectious/inflammatory lower airway disease, then consider empirical therapy and supportive care in the interim as needed._x000D_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</si>
  <si>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3 views of the torso are submitted for review.  The cardiac silhouette is normal in size and shape.  The pulmonary vasculature is within normal limits.  Multiple small soft tissue opacity nodules are noted throughout the lung fields.  No pleural or mediastinal abnormalities are seen._x000D_
In the abdomen, the stomach contains a mild amount of ingesta.  The small bowel and colon are within normal limits.  The liver and spleen are normal in size and shape.  Mild diverticular mineralization is noted in the kidneys.  The urinary bladder is minimally distended.  Serosal detail is adequate._x000D_
No osseous abnormalities are noted.</t>
  </si>
  <si>
    <t>Multiple pulmonary nodules throughout the lung fields.  Primary consideration is given to metastatic neoplasia or possibly granulomas as with fungal disease._x000D_
The mineralization of the kidneys is consistent with chronic nonspecific nephritis and degenerative change, likely incidental.</t>
  </si>
  <si>
    <t>Correlation with blood work may be helpful.  An abdominal ultrasound could be considered for further evaluation for an underlying neoplastic process.  Fungal testing could also be considered.</t>
  </si>
  <si>
    <t>Aaron Feagin</t>
  </si>
  <si>
    <t xml:space="preserve">
1.No significant pleural fluid detected._x000D_
2.No cardiomegaly detected._x000D_
3.This screening does not detect an abnormal bronchial, interstitial, or alveolar pulmonary pattern.</t>
  </si>
  <si>
    <t>Seven orthogonal survey radiographs of the thorax and abdomen dated 26th September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 There is opacification of the caudal dorsal aspect of the thorax by a smoothly marginated fat opaque large mass. A soft issue opaque smoothly marginated kidney sized mass is visible in the most caudal dorsal aspect of the diaphragm at reflection. The most proximal aspect of the diaphragm is poorly visible. The caudal thoracic aorta is ventrally deviated but normal in outline._x000D_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As described above. The mass lesion may be mediastinal._x000D_
_x000D_
Abdomen: The hepatic silhouette is normal. There is mild loss of serosal detail in the cranial dorsal left aspect of the abdomen and medial to the spleen. The outline of the spleen is normal. The left kidney is visible and normal in shape and size. The right kidney is not visible. The stomach has a normal position and is mainly empty. The small intestines are distributed evenly and are within normal limits for shape, size and contents. The ascending, transverse and descending colon have a normal position and contain gradually more formed faeces. The urinary bladder is filled._x000D_
_x000D_
Musculoskeletal findings: See above.</t>
  </si>
  <si>
    <t>1. The findings are most consistent with a retroperitoneal proximal diaphragmatic hernia with herniation of the right kidney and retroperitoneal fat. This may or may not be an incidental finding. The loss of serosal detail may be a retroperitoneal secondary to the hernia. Alternatively, the left pancreatic lobe pancreatitis is possible. The hernia may or may not be clinically significant._x000D_
2. Radiographically normal heart. Early hypertrophic cardiomyopathy can be present without radiographic signs.</t>
  </si>
  <si>
    <t>Radiography is insensitive for early hypertrophic cardiomyopathy, therefore ECG, blood pressure measurements, and echocardiography may be considered for further evaluation, or baseline measurements. Consider T4 testing._x000D_
If clinically indicated, thoraco abdominal ultrasound, or CT may be considered to further evaluate the likely retroperitoneal diaphragmatic herniation.</t>
  </si>
  <si>
    <t>Patient Name : COCO MELLQUIST, Date of study: Sep 26, 2024
3 images are provided for review
Feline Thorax (3 Images) - 2 Lateral, 1 Vd
Prior echocardiography dated September 26, 2024 is available.
Pulmonary parenchyma: A minimal to mild diffuse bronchial pattern is present.
Pulmonary vasculature: The pulmonary vasculature is subjectively normal in size and tapers in the periphery of the lungs.
Cardiac silhouette: The cardiac silhouette is slightly tall with a reniform shape in the lateral images.  The cardiac silhouette has a slightly wide base in the ventrodorsal image.
Mediastinum: The cranial mediastinum is normal.
Trachea: The trachea is normal.
Esophagus: The esophagus is not well-identified.
Pleural space: The pleural space is normal.
Musculoskeletal: The included musculoskeletal structures are normal.</t>
  </si>
  <si>
    <t xml:space="preserve">1. Equivocal generalized cardiomegaly such as from evolving hypertrophic or thyrotoxic cardiomyopathy, consistent with prior echocardiography.
- There is no current evidence of left-sided congestive heart failure.
2. Minimal-mild diffuse bronchial pulmonary pattern such as from fibrosis from prior disease, age-related changes, or less likely infectious/immune-mediated lower airway disease, inhaled allergen/irritant, or unlikely other.
</t>
  </si>
  <si>
    <t>Empirical therapy and supportive care in the interim as needed for clinical signs, and continue with I-131 therapy planning as desired.  Monitoring as directed or sooner if clinical signs acutely change, fail to improve or worsen.</t>
  </si>
  <si>
    <t xml:space="preserve">
1.No cardiomegaly detected._x000D_
2.This screening does not detect an abnormal bronchial, interstitial, or alveolar pulmonary pattern._x000D_
3.No significant pleural fluid detected.</t>
  </si>
  <si>
    <t>Study:_x000D_
Thoracic and abdominal radiography: six images dated September 26,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abdominal serosal detail is normal. The stomach contains gas with the pylorus appropriately gas-filled on the left lateral image. The small intestines are mildly diffusely gas distended. The colon contains gas and formed fecal material with a normal diameter. The liver is normal in size and margin. The spleen appear is mildly to moderately enlarged in the left mid abdomen on the VD view. The renal silhouettes are normal in size and shape. The urinary bladder is normal in size and opacity. No skeletal abnormalities are present.</t>
  </si>
  <si>
    <t>1. The mild diffuse gas distention of the small intestines is suggestive of nonspecific functional ileus. There is no evidence of gastrointestinal foreign material or small intestinal mechanical obstruction. Abdominal sonography can be considered for further evaluation if clinical signs persist or worsen in spite of medical management._x000D_
2. The generalized splenomegaly is nonspecific. Rule out extramedullary hematopoiesis, lymphoid hyperplasia, splenitis, congestion (of high-priority if sedated for radiographs) or infiltrative neoplasia. Sonography can be considered for further evaluation._x000D_
3. The generalized bronchial pulmonary pattern may indicate allergic/inflammatory bronchitis (asthma). Infectious, parasitic and irritant bronchitis are also possible. Airway sampling, heartworm testing and Baermann fecal flotation can be considered for further evaluation.</t>
  </si>
  <si>
    <t>As above.</t>
  </si>
  <si>
    <t>Scott Gregorich</t>
  </si>
  <si>
    <t xml:space="preserve">
1.This result detects none, or equivocal/borderline to mild cardiomegaly. _x000D_
2.This result does not detect pulmonary vasculature enlargement._x000D_
3.Rarely, this result detects minimal pleural fissure lines/fluid.  _x000D_
4.This result detects a minimal to mild, or rarely moderate interstitial pulmonary pattern.  _x000D_
5.This result detects a minimal to mild bronchial pulmonary pattern._x000D_
6.This result does not detect an alveolar pulmonary pattern._x000D_
7.This result does not detect pulmonary soft tissue nodules.</t>
  </si>
  <si>
    <t xml:space="preserve">If the patient has respiratory clinical signs, then differential diagnoses for mixed interstitial and bronchial pulmonary patterns are immune-mediated lower airway disease (i.e. feline asthma) or infectious lower airway disease (such as mycoplasma spp., parasitism, viral, or other).  Additional differential diagnoses include evolving left-sided congestive heart failure, or less likely inhaled allergen/irritant.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The primary differential diagnosis for minimal pleural fissure lines is tangential beam artifact.  Scant pleural fluid (such as from evolving left-sided congestive heart failure, or less likely idiopathic or chylous effusions) is also considered.   Differential diagnoses for equivocal cardiomegaly include: phase of the cardiopulmonary cycle, patient positioning/technique, individual variation of normal (especially in younger patients), or evolving cardiomyopathy (such as hypertrophic or thyrotoxic cardiomyopathy). </t>
  </si>
  <si>
    <t xml:space="preserve">
If the patient has clinical signs consistent with active infectious/inflammatory lower airway disease, then consider empirical therapy and supportive care in the interim as needed._x000D_
If the patient becomes dyspneic in the face of empirical therapy for lower airway disease, consider instead therapy for left-sided congestive heart failure (diuretic trial and oxygen therapy).  Repeat thoracic radiographs after 4-6 hours to evaluate for improvement of changes, and monitor for clinical improvement._x000D_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</si>
  <si>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Study:_x000D_
Thoracic/abdominal radiography: three images dated September 26, 2024_x000D_
_x000D_
Findings:_x000D_
The cardiac silhouette is normal in size and shape. The pulmonary vasculature is normal in size. The pulmonary parenchyma is unremarkable. The pleural space is normal. There is no intrathoracic lymphadenopathy. The trachea is normal in diameter and course. The abdominal serosal detail is normal. The stomach contains minimal gas. The small intestines are normal in size, course and content. The colon contains formed fecal material with a normal diameter. The liver and spleen are normal in size and margin. Both renal silhouettes are on the lower limits of normal for size (approximately two times the length of L2 with smooth margination. The urinary bladder is normal in size and opacity. No skeletal abnormalities are present.</t>
  </si>
  <si>
    <t>1. The bilateral lower limits of normal renal size may be an individual normal variant or may indicate renal dysplasia or chronic kidney disease. Correlate with renal values, SDMA testing and urinalysis._x000D_
2. The gastrointestinal tract is unremarkable. There is no evidence of gastrointestinal foreign material or small intestinal mechanical obstruction. Abdominal sonography and a G.I. panel can be considered to further evaluate for an enteropathy._x000D_
3. Normal thorax. There is no radiographic evidence of cardiopulmonary disease.</t>
  </si>
  <si>
    <t xml:space="preserve">
1.This result detects a minimal to mild interstitial pulmonary pattern.  _x000D_
2.This result detects a minimal to mild, or rarely moderate bronchial pulmonary pattern._x000D_
3.Rarely, this result detects a minimal alveolar pulmonary pattern._x000D_
4.This result detects none, or equivocal/borderline to moderate cardiomegaly. _x000D_
5.This result does not detect pulmonary vasculature enlargement._x000D_
6.Rarely, this result detects minimal pleural fissure lines/fluid.  </t>
  </si>
  <si>
    <t xml:space="preserve">If the patient has respiratory clinical signs, then the primary differential diagnoses for mixed bronchial and interstitial pulmonary patterns are immune-mediated lower airway disease (i.e. feline asthma) or infectious lower airway disease (such as mycoplasma spp., parasitism, viral, or other).  Additional differential diagnoses include inhaled allergen/irritant.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evolving neoplasia, or unlikely other. The primary differential diagnosis for minimal pleural fissure lines is tangential beam artifact.  Scant pleural fluid (such as from idiopathic or chylous effusions) is considered unlikely.   Differential diagnoses for equivocal cardiomegaly include: phase of the cardiopulmonary cycle, patient positioning/technique, individual variation of normal (especially in younger patients), or evolving cardiomyopathy (such as hypertrophic or thyrotoxic cardiomyopathy). </t>
  </si>
  <si>
    <t>Orthogonal views of the thorax and abdomen are provided._x000D_
_x000D_
There is a moderate diffuse bronchial pulmonary pattern. No alveolar infiltrates or pleural effusion are identified. The heart is at the upper end of normal size range. Pulmonary vessels are normal._x000D_
_x000D_
The colon is moderately dilated with gas and a small quantity of soft appearing fecal material. The small intestine in the stomach are unremarkable. Serosal detail in the abdomen is normal. The other organs are within normal size and shape limits.</t>
  </si>
  <si>
    <t>1) There is a bronchial pattern compatible with lower airway disease such as bronchitis or asthma. Parasitic infection such as lungworms or heartworm disease should also be ruled out._x000D_
_x000D_
2) There is gas dilation of the colon. This is generally an equivocal finding of limited significance. No foreign bodies or obstructive pattern are identified. No evidence of neoplasia is seen._x000D_
Gastroenteritis is most likely. Infectious causes should be ruled out. Pancreatitis or other metabolic disease should also be ruled out.</t>
  </si>
  <si>
    <t>Supportive care and symptomatic therapy for the gastrointestinal signs is recommended._x000D_
_x000D_
Infectious causes of lower airway disease cannot be differentiated from asthma/reactive/allergic lower airway disease on the basis of appearance. CBC, heartworm testing, and Baermann fecal exam for lungworms is recommended._x000D_
Depending on the severity of clinical signs and response to empiric medical management, sampling from the lower airways via BAL/TTW may be indicated.</t>
  </si>
  <si>
    <t>Andrew Jones</t>
  </si>
  <si>
    <t xml:space="preserve">
1.This result detects none, or equivocal/borderline to moderate cardiomegaly. _x000D_
2.This result detects a minimal to mild interstitial pulmonary pattern.  _x000D_
3.This result detects a minimal to mild, or rarely moderate bronchial pulmonary pattern._x000D_
4.Rarely, this result detects a minimal alveolar pulmonary pattern._x000D_
5.This result does not detect pulmonary vasculature enlargement._x000D_
6.Rarely, this result detects minimal pleural fissure lines/fluid.  </t>
  </si>
  <si>
    <t>Patient Name : Nymphadora Pass, Date of study: Sep 25, 2024
7 images are provided for review
Feline Thorax (7 Images) - 3 Lateral, 4 Vd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moderately enlarged and tall with a rounded apex or slight reniform shape in the right lateral image.
Mediastinum: The cranial mediastinum is normal.
Trachea: The trachea is normal.
Esophagus: The esophagus is not well-identified.
Pleural space: The pleural space is normal.
Musculoskeletal: The included musculoskeletal structures are normal.</t>
  </si>
  <si>
    <t xml:space="preserve">1. Moderate generalized cardiomegaly such as from congenital anomaly (atrial/ventricular septal defect versus other), or unlikely acquired cardiomyopathy such as from hypertrophic or thyrotoxic cardiomyopathy, or less likely other.
- There is no current evidence of left-sided congestive heart failure.
2. Minimal-mild diffuse bronchial pulmonary pattern due to infectious/immune-mediated lower airway disease (mycoplasma spp., bordetella spp., parasitism such as lung worms, or inhaled allergen/irritant), fibrosis from prior disease, age-related changes, or less likely other.
</t>
  </si>
  <si>
    <t>Especially if a murmur is later identified, consider echocardiography,eCg and blood pressure for further evaluation.  Consider respiratory PCR panel, airway sampling and fecal analysis/deworming for further evaluation.  Empirical therapy and supportive care for coughing in the interim as needed.  Consider computed tomography of the head and rhinoscopy if signs of sneezing fail to improve or worsen.   Monitoring as directed or sooner if clinical signs acutely change, fail to improve or worsen.</t>
  </si>
  <si>
    <t>Three orthogonal survey radiographs of the thorax and abdomen dated 25th September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A large smoothly marginated soft tissue opacity of approximately 3 x 1.4 cm is visible dorsal to the second sternal segment._x000D_
_x000D_
Abdomen: There is diffuse severe loss of serosal detail. Irregular poorly marginated soft tissue opacities/nodular opacities are visible throughout the ventral abdomen. The hepatic silhouette is mildly enlarged. The kidneys are partially obscured by gastrointestinal contents, but the visible aspect are normal. The spleen is poorly visible. The stomach contains gas and has a normal axis. The small intestines are poorly visible. The transverse and descending colon contains poorly formed faeces. The urinary bladder is poorly visible._x000D_
_x000D_
Musculoskeletal findings: The animal is in a thin body condition.</t>
  </si>
  <si>
    <t>1. Differentials for the abdominal findings include carcinomatosis, FIP, less likely septic peritonitis. There is no evidence for free gas in the abdomen. The mild hepatomegaly may be positional, or secondary to hepatitis, metastatic disease, nodular hyperplasia, other._x000D_
2. Sternal lymphadomegaly likely secondary to the abdominal disease, increasing suspicion of neoplasia. Reactive lymphadomegaly is less likely.</t>
  </si>
  <si>
    <t>Complete bloodwork, thoracic CT or ultrasound with aspirates of the enlarged lymph node, and abdominal ultrasound with abdominocentesis and FNA of any mass lesions are recommended for further staging.</t>
  </si>
  <si>
    <t xml:space="preserve">
1.No airway or pulmonary abnormalities have been detected. The lung parenchyma appears normal with no interstitial, alveolar, or bronchial pattern identified. No definitive pulmonary nodules or other abnormalities are identified._x000D_
2.No cardiomegaly is detected._x000D_
3.No pleural fluid has been detected.</t>
  </si>
  <si>
    <t>Three radiographs of the thorax, and orthogonal views of the abdomen are provided. The cardiac silhouette and pulmonary vessels are normal size. On the VD projection there is a well-defined round 0.5 cm soft tissue opacity in the right 8th intercostal space. A smaller (0.3 cm) soft tissue nodular contour is seen in the lateral aspect of the left 6th and 8th intercostal spaces on the same projection. These contours are not definitively seen on the lateral views. No pleural effusion or intrathoracic lymphadenomegaly. Several small smoothly marginated ovoid mineral densities proximal to one of the tuber olecranon, incidental._x000D_
_x000D_
In the abdomen there is no effusion or organomegaly. The gastrointestinal tract is minimally filled. No radiopaque urolithiasis. The kidneys, spleen, and liver are normal size and shape.</t>
  </si>
  <si>
    <t>Small soft tissue densities overlying the thorax on the VD projection may represent superimposed superficial nipples/nodules or granulomas. Metastatic nodules is given lesser consideration since these are not seen on the other projections. Otherwise, the thorax and abdomen are normal.</t>
  </si>
  <si>
    <t>There is no contraindication for general anesthesia based on this study. Consider repeat thoracic radiographs in one month to determine if the suspected nodular contours are persistent. At that time, any superficial nipples or cutaneous nodules could be painted with small-volume barium paste prior to radiographs.</t>
  </si>
  <si>
    <t xml:space="preserve">
1.No significant pleural fluid detected._x000D_
2.This screening does not detect an abnormal bronchial, interstitial, or alveolar pulmonary pattern._x000D_
3.No cardiomegaly detected.</t>
  </si>
  <si>
    <t xml:space="preserve">
No specific recommendations at this time, clinical management as warranted.</t>
  </si>
  <si>
    <t>A three view thoracoabdominal study and a lateral view of the neck are provided._x000D_
_x000D_
No laryngeal/pharyngeal or tracheal abnormalities are identified._x000D_
There is fairly homogenous soft tissue opacity obscuring most of the right hemithorax. Gas pocketing in the right side of the thorax is still present near midline caudally, in the area of the accessory lung lobe. The remaining aerated lung has a moderate to severe bronchial pattern._x000D_
There is also a discrete nodular shadow in the caudal ventral thorax suspected to be involving the right caudal ventral lung that has rounded shape and measures approximately 13 mm. There is also a more subtle small nodular shadow in the cranioventral lung at the first intercostal space that measures approximately 5 mm. There is ill defined increased opacity around the tracheal bifurcation that causes narrowing and ventral displacement of the carina. The heart appears to be within normal size and shape limits._x000D_
_x000D_
No mass lesions or organomegaly are seen in the abdomen. There is a mild increase in intestinal gas overall and a few short segments of small intestine are mildly gas dilated. Serosal detail is normal.</t>
  </si>
  <si>
    <t>There is pulmonary consolidation obscuring most of the right side lung fields, as well as a discrete 13 mm nodule and a 5 mm nodule. Neoplasia would be the most likely explanation for these findings. The ill-defined mass effect dorsal to the carina is probably related._x000D_
The bronchial pattern is probably due to pre-existing lower airway disease such as asthma._x000D_
_x000D_
An alternative differential would be that the changes described are actually due to atypical granulomatous infectious disease such as fungal or protozoal disease with extensive granuloma formation._x000D_
_x000D_
The gassy appearance of the intestine is probably due to secondary aerophagia from the respiratory disease.</t>
  </si>
  <si>
    <t>Fine needle aspiration of the abnormal pulmonary infiltrates in the right lung should be possible with ultrasound guidance for cytology and culture._x000D_
Serology to help rule out infectious pathology such as fungal or protozoal disease should also be considered.</t>
  </si>
  <si>
    <t xml:space="preserve">
1.This result detects a minimal to moderate bronchial pulmonary pattern._x000D_
2.This result detects a mild to moderate interstitial pulmonary pattern._x000D_
3.Rarely, this result detects a minimal alveolar pulmonary pattern._x000D_
4.Rarely, this result detects minimal to mild pulmonary vasculature enlargement._x000D_
5.This result detects minimal to moderate pleural fissure lines/fluid. _x000D_
6.This result detects mild to severe cardiomegaly.</t>
  </si>
  <si>
    <t>If the patient is dyspneic, or has an elevated heart rate/respiratory rate, or has otherwise severe pulmonary clinical signs, consider early left-sided congestive heart failure as the primary differential diagnosis for combined cardiomegaly, pulmonary pattern, pleural fluid and possible pulmonary vasculature enlargement. Moderate pleural fluid may obscure the cardiac silhouette and compress the lung, complicating a diagnosis of cardiomegaly and pulmonary patterns. Differential diagnoses for cardiomegaly include: hypertrophic or thyrotoxic cardiomyopathy in a mature or older patient, or congenital anomaly in a very young patient.  Consider heartworm disase in endemic areas, or if not already ruled out.  Differential diagnoses for an alveolar pattern include: bronchial plugging (such as from concurrent immune-mediated or infectious lower airway disease), atelectasis (such as from recumbency), coalescing pulmonary edema/left-sided congestive heart failure, or unlikely other such as bronchopneumonia. Differential diagnoses for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</si>
  <si>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 xml:space="preserve">
If the patient is dyspneic, consider oxygen therapy, diuretic therapy and monitoring for clinical improvement.  Repeat thoracic radiographs in 4-6 hours to monitor for improvement of radiographic changes._x000D_
Consider cardiologist consultation, echocardiography. ECG and blood pressure._x000D_
Prior to diuretic therapy, consider routine blood work, urine collection (if possible), and thyroid function testing if not recently performed, especially for mature or older patients._x000D_
Depending on the volume of pleural fluid present, thoracocentesis with fluid analysis/cytology and repeat thoracic radiographs may be contributory._x000D_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If your clinical impression of this patient does not match the content of this result, consider submitting the radiographs for a formal radiologist report._x000D_
Looking for more information &lt;a href=https://platform.v2.vetology.net/doc/feline-cardiomyopathies-I  target=_blank rel=noopener noreferrer&gt;about feline heart disease?&lt;/a&gt;</t>
  </si>
  <si>
    <t>Opposite lateral and VD thoracoabdominal views are provided for interpretation._x000D_
_x000D_
The heart appears slightly enlarged and rounded. Pulmonary vessels are normal. No pulmonary infiltrates or bronchial thickening are identified. The trachea has smooth walls and normal uniform diameter. The abdominal organs are unremarkable.</t>
  </si>
  <si>
    <t>The heart subjectively appears slightly enlarged and rounded. VHS is still well within normal limits, so clinical significance is unknown. However, Hypertrophic Cardiomyopathy could still be present without more significant radiographic changes._x000D_
_x000D_
No radiographic evidence of pulmonary disease is identified. Reactive lower airway disease such as asthma could still be present without significant radiographic changes.</t>
  </si>
  <si>
    <t>The radiographic findings are limited. Echocardiography should still be considered due to the history and subtle cardiac changes.</t>
  </si>
  <si>
    <t>Study:_x000D_
Thoracic radiography: right lateral and orthogonal views (two images) dated September 25, 2024_x000D_
_x000D_
Findings:_x000D_
There is moderate generalized cardiomegaly. The pulmonary vasculature is normal in size. There is a severe generalized bronchial pulmonary pattern. Some of the thickened bronchi seen end-on have a nodular appearance. The pleural space is normal. There is indistinct increased opacity dorsal to the second and third sternabrae on the lateral projection. The trachea is normal in diameter. The stomach contains unstructured heterogeneous soft tissue material presumed to be ingesta with few interspersed small mineral opacities. The osseous structures are unremarkable.</t>
  </si>
  <si>
    <t>1. Moderate generalized cardiomegaly without evidence of decompensation. Hypertrophic cardiomyopathy is most likely. Echocardiography should be considered for further evaluation._x000D_
2. The severe generalized bronchial pulmonary pattern may indicate allergic/inflammatory bronchitis (asthma). Infectious, parasitic and irritant bronchitis are also possible. Endobronchial metastatic disease cannot be completely excluded. Airway sampling, heartworm testing and Baermann fecal flotation can be considered for further evaluation._x000D_
3. The indistinct increased opacity dorsal to the second and third sternabrae on the lateral projection may indicate reactive or neoplastic sternal lymphadenopathy or may be artifact created by superimposition of the thoracic limb soft tissues with mediastinal fat. Repeat right and left lateral projections with the thoracic limbs extended can be considered to evaluate the repeatability of this finding.</t>
  </si>
  <si>
    <t xml:space="preserve">
1.This result detects a minimal to moderate bronchial pulmonary pattern._x000D_
2.This result detects a mild to moderate interstitial pulmonary pattern._x000D_
3.Rarely, this result detects a minimal to mild alveolar pulmonary pattern._x000D_
4.This result detects equivocal/borderline to severe cardiomegaly._x000D_
5.Rarely, this result detects minimal to mild pulmonary vasculature enlargement._x000D_
6.This result detect minimal to mild, or rarely moderate pleural fissure lines/fluid. </t>
  </si>
  <si>
    <t>If the patient is dyspneic, or has an elevated heart rate/respiratory rate, or has otherwise severe pulmonary clinical signs, consider early left-sided congestive heart failure as the primary differential diagnosis for combined cardiomegaly, pulmonary pattern, pleural fluid and possible pulmonary vasculature enlargement. Moderate pleural fluid may obscure the cardiac silhouette and compress the lung, complicating a diagnosis of cardiomegaly and pulmonary patterns.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Differential diagnoses for an alveolar pattern include: bronchial plugging (such as from concurrent immune-mediated or infectious lower airway disease), atelectasis (such as from recumbency), coalescing pulmonary edema/left-sided congestive heart failure, or unlikely other such as bronchopneumonia. Differential diagnoses for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</si>
  <si>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Patient Name : Monkey Takishima-Lacasa, Date of study: Sep 24, 2024
6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Multifocal thoracolumbar spondylosis deformans is present.  The remaining included thoracic musculoskeletal structures are normal.</t>
  </si>
  <si>
    <t>1. Mild diffuse bronchial pulmonary pattern such as from infectious/immune-mediated lower airway disease (feline asthma and/or mycoplasma spp., bordetella spp., parasitism, or inhaled allergen/irritant), fibrosis from prior disease, age-related changes, or unlikely other.
2. No obvious pulmonary soft tissue nodules or intra-thoracic lymphadenomegaly.</t>
  </si>
  <si>
    <t>Consider respiratory PCR panel, airway sampling, and empirical deworming/fecal analysis for further evaluation. Routine blood work if not recently performed to screen for occult systemic disease.  Empirical therapy and supportive care in the interim as needed for reported intermittent coughing. Monitoring as directed or sooner if clinical signs acutely change, fail to improve or worsen.</t>
  </si>
  <si>
    <t xml:space="preserve">
1.This result detects minimal/equivocal to moderate cardiomegaly._x000D_
2.This result does NOT detect an alveolar pulmonary pattern.  _x000D_
3.This result detects minimal to mild, mixed interstitial and bronchial pulmonary patterns._x000D_
4.Rarely, this result detects minimal to mild pleural fissure lines/fluid._x000D_
5.This result does NOT detect soft tissue pulmonary nodules.</t>
  </si>
  <si>
    <t>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The mixed bronchial and interstitial pulmonary patterns are NOT suspected to represent left-sided congestive heart failure. For patients with no respiratory clinical signs, differential diagnoses for a minimal or mild mixed bronchial and interstitial pattern include: changes from prior disease,  age-related factors, and errors in patient positioning/technique, or pulmonary hypoinflation.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Non-cardiac related differential diagnoses for pleural fluid include: chylous effusion, idiopathic, or rarely hemorrhage (especially if history of trauma), secondary to FIP or other systemic infection/inflammation, or other.</t>
  </si>
  <si>
    <t xml:space="preserve">
Consider cardiologist consultation, echocardiography. ECG and blood pressure._x000D_
Routine blood work and thyroid function testing may be contributory if not recently performed, especially for mature or older patients._x000D_
Depending on the volume of pleural fluid, consider thoracocentesis for fluid analysis/cytology._x000D_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If your clinical impression of this patient does not match the content of this result, consider submitting the radiographs for a formal radiologist report.</t>
  </si>
  <si>
    <t>Patient Name : Itabits Denmon, Date of study: Sep 24, 2024
2 images are provided for review
Feline Thorax (2 Images) - 1 Lateral, 1 Vd
Prior images dated January 22, 2024 and previous are available.
Pulmonary parenchyma: A minimal to mild diffuse bronchial pattern is present.  The lungs are subjectively normal in overall size/inflation.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contains a severe volume of gas and ventrally displaces the trachea and cardiac silhouette.  A tracheal stripe sign is present.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not identified, but no enlargement or mineral is present.
Peritoneum: Peritoneal detail is adequate.
Gastrointestinal tract: The stomach contains a large volume of gas.  
The small intestine contains moderate gas with a subjectively uniform population for size. 
The colon contains moderate well-defined soft tissue material and gas.  The colon is within normal limits for size.  
Musculoskeletal: The included musculoskeletal structures are normal.</t>
  </si>
  <si>
    <t xml:space="preserve">1. Severe esophageal gas due to aerophagia versus underlying/evolving dysmotility, or unlikely esophagitis or other.
2.  Severe gastric gas and moderate small intestinal/colonic gas.
- This is similar to mildly progressive compared to prior.
- This may be due to aerophagia from underlying respiratory disease, or less likely atypical enteritis, or unlikely evolving dysmotility (dysautonomia versus bowel ischemia) given lack of gastrointestinal clinical signs reported.
3. Minimal-mild diffuse bronchial pulmonary pattern due to infectious/immune-mediated lower airway disease (feline asthma and/or mycoplasma spp., bordetella spp., parasitism such as lung worms, or inhaled allergen/irritant), or fibrosis from prior disease/age-related changes, or unlikely other.
</t>
  </si>
  <si>
    <t>Especially given lack of reported gastrointestinal clinical signs (vomiting, diarrhea, etc.) gastrointestinal changes are presumably due to aerophagia and underlying respiratory disease. 
 Consider respiratory PCR panel, airway sampling, and fecal analysis/deworming, as well as empirical therapy and supportive care for lower airway disease in the interim as needed.  Routine blood work to screen for occult systemic disease.  If gastrointestinal/swallowing clinical signs manifest, consider internist consultation and swallowing exam/esophagography for further evaluation.  Monitoring as directed or sooner if clinical signs acutely change, fail to improve or worsen.</t>
  </si>
  <si>
    <t xml:space="preserve">
1.No cardiomegaly detected._x000D_
2.No significant pleural fluid detected._x000D_
3.This screening does not detect an abnormal bronchial, interstitial, or alveolar pulmonary pattern.</t>
  </si>
  <si>
    <t>Study:_x000D_
Thoracic/abdominal radiography: three images dated September 24,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The small intestines are normal in size, course and content. The colon contains gas and formed fecal material with a normal diameter. The liver and spleen are normal in size and margin. The renal silhouettes are normal in size and contour. The urinary bladder is normal in size and opacity. The osseous structures are unremarkable/age appropriate.</t>
  </si>
  <si>
    <t>1. Unremarkable abdomen. There is no radiographic evidence of gastrointestinal foreign material, small intestinal plication or small intestinal mechanical obstruction. Abdominal sonography can be considered for further evaluation if clinical signs persist or worsen in spite of medical management._x000D_
2. Normal thorax.</t>
  </si>
  <si>
    <t>Orthogonal views of the thorax are provided:_x000D_
_x000D_
Thorax:_x000D_
_x000D_
No abnormalities seen in the trachea._x000D_
Cranioventral thorax looks abnormally opaque cranioventrally but the fore limbs are pulled caudally being superimposed with the cranial thorax._x000D_
Cardiac silhouette has a normal shape and size._x000D_
Pulmonary vessels are within normal limits of size and shape._x000D_
Pulmonary parenchyma is within normal limits. _x000D_
Pleural space, mediastinum, diaphragm and thoracic wall within normal limits.</t>
  </si>
  <si>
    <t>1) Unremarkable lungs do not exclude a chronic lower airway disease such as parasitic bronchitis vs asthma, chronic bronchitis.</t>
  </si>
  <si>
    <t>Consider empirical treatment for parasitic bronchitis vs asthma or chronic bronchitis evaluating response to treatment. If clinical signs persist, consider a bronchoscopy with BAL, culture, cytology, Baermann test and deworming.</t>
  </si>
  <si>
    <t>Vincente Cervera</t>
  </si>
  <si>
    <t xml:space="preserve">
1.This result detects equivocal/borderline to mild cardiomegaly. _x000D_
2.This result detects a minimal to mild, or rarely moderate interstitial pulmonary pattern.  _x000D_
3.This result detects a minimal to mild, or rarely moderate bronchial pulmonary pattern._x000D_
4.Rarely, this result detects a minimal to mild alveolar pulmonary pattern._x000D_
5.This result does not detect pulmonary vasculature enlargement._x000D_
6.This result does not detect pleural fissure lines/fluid.  </t>
  </si>
  <si>
    <t xml:space="preserve">Some bronchial patterns may mimic pulmonary soft tissue nodules due to bronchial plugging, or granuloma from prior disease.  This may be exacerbated if technical errors/artifacts (obliquity, motion, etc.) are present in the image. 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evolving left-sided congestive heart failure, or least 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equivocal cardiomegaly include: phase of the cardiopulmonary cycle, patient positioning/technique, individual variation of normal (especially in younger patients), or evolving cardiomyopathy (such as hypertrophic or thyrotoxic cardiomyopathy). </t>
  </si>
  <si>
    <t>Thorax: There is mild generalized cardiomegaly.  There is widening of the cranial mediastinum with a soft tissue opacity.  There is a soft tissue opacity (0.90 cm in diameter) involving the left cranial lung lobe best appreciated on the ventrodorsal view.  The remainder of the thorax is unremarkable._x000D_
_x000D_
Abdomen: Patient appears thin.  There is suboptimal serosal detail.  There are no abnormalities involving the visible portions of the abdominal viscera.</t>
  </si>
  <si>
    <t>Mild generalized cardiomegaly without evidence of decompensation._x000D_
_x000D_
Widening of the cranial mediastinum.  Primary differential consideration is a cranial mediastinal mass or possible fluid accumulation._x000D_
_x000D_
Suspect pulmonary nodule involving the left cranial lung lobe._x000D_
_x000D_
Suboptimal serosal detail within the abdomen most likely secondary to low amounts of intra-abdominal fat.</t>
  </si>
  <si>
    <t>Consider thoracic ultrasound for evaluation of the cranial mediastinum and possible identification of suspected pulmonary nodule within the left cranial lung lobe.</t>
  </si>
  <si>
    <t>Todd Smithenson</t>
  </si>
  <si>
    <t>Study:_x000D_
Thoracic radiography: three images dated September 24, 2024_x000D_
_x000D_
Findings:_x000D_
The cardiac silhouette and pulmonary vasculature are normal in size. There is a mild caudodorsal bronchial pulmonary pattern. The pleural space is normal. There is no intrathoracic lymphadenopathy. The trachea is normal in diameter and course. There is no esophageal dilation. The included abdomen is normal. The osseous structures are unremarkable/age appropriate.</t>
  </si>
  <si>
    <t>1. The mild caudodorsal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 if the patient clinical signs persist or worsen._x000D_
2. There is no radiographic evidence of heart disease. ProBNP testing can be considered for further heart disease screening.</t>
  </si>
  <si>
    <t xml:space="preserve">
1.Rarely, this result detects minimal pleural fissure lines/fluid._x000D_
2.This result detects equivocal/borderline cardiomegaly._x000D_
3.This result detects a minimal, or rarely mild interstitial pulmonary pattern._x000D_
4.This result detects a minimal to moderate bronchial pulmonary pattern._x000D_
5.This result does NOT detect an alveolar pulmonary pattern.</t>
  </si>
  <si>
    <t>For patients with respiratory clinical signs, the primary differential diagnoses for a predominantly bronchial pulmonary pattern are immune-mediated lower airway disease (i.e. feline asthma) or infectious lower airway disease (such as mycoplasma spp., parasitism, viral, or other).  Additional differential diagnoses include inhaled allergen/irritant, or less likely other. For patients with no respiratory clinical signs, differential diagnoses for mixed bronchial and interstitial pulmonary patterns include: changes from prior disease,  age-related factors, errors in patient positioning/technique, pulmonary hypoinflation, or a combination of these. The mixed interstitial and bronchial pulmonary patterns are NOT suspected to represent early left-sided congestive heart failure. Equivocal cardiomegaly may be due to evolving disease or artifact from phase of the cardiopulmonary cycle, patient positioning/technique, or individual variation of normal (especially in younger patients).  Differential diagnoses for possible cardiomegaly include: hypertrophic or thyrotoxic cardiomyopathy in a mature or older patient, or congenital anomaly in a very young patient. The primary differential diagnosis for minimal pleural fissure lines is tangential beam artifact.  Scant pleural fluid (such as from iodiopathic or chylous effusions) is considered unlikely.</t>
  </si>
  <si>
    <t xml:space="preserve">
If respiratory clinical signs (e.g. coughing) are present, consider empirical therapy and supportive care for infectious and/or immune-mediated lower airway disease in the interim.  Consider also airway sampling, fecal analysis/empirical deworming, and respiratory PCR panel._x000D_
Consider cardiologist consultation, echocardiography. ECG and blood pressure, especially if a cardiac murmur or signs of cardiac disease are present on physical examination._x000D_
Routine blood work and thyroid function testing may be contributory if not recently performed, especially for mature or older patients._x000D_
If your clinical impression of this patient does not match the content of this result, consider submitting the radiographs for a formal radiologist report.</t>
  </si>
  <si>
    <t>3 views of the thorax are provided for review. There is a mild bronchial pattern in all lung lobes.  The cardiovascular structures are normal.  No esophageal dilation is seen.  The mediastinal and pleural structures are normal.  Cranial abdominal detail is adequate.</t>
  </si>
  <si>
    <t>Mild bronchial pulmonary pattern.  Considerations include asthma, heartworm, lungworm, atypical infection, bronchitis.</t>
  </si>
  <si>
    <t>Consider empiric therapy versus further diagnostics such as heartworm testing, Baermann fecal, airway sampling.</t>
  </si>
  <si>
    <t>Amanda Crabtree</t>
  </si>
  <si>
    <t xml:space="preserve">
1.This result detects a minimal or mild bronchial pulmonary pattern._x000D_
2.This result detects a  minimal to mild interstitial pulmonary pattern._x000D_
3.This result does NOT detect an alveolar pulmonary pattern. _x000D_
4.This result detects equivocal/borderline to moderate cardiomegaly._x000D_
5.Rarely, this result detects minimal pleural fissure lines/fluid.</t>
  </si>
  <si>
    <t>The mixed interstitial and bronchial pulmonary patterns are NOT suspected to represent left-sided congestive heart failure. For patients with no respiratory clinical signs, differential diagnoses for the mixed bronchial and interstitial pulmonary patterns include: changes from prior disease,  age-related factors, and errors in patient positioning/technique, or pulmonary hypoinflation.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t>
  </si>
  <si>
    <t xml:space="preserve">
Consider cardiologist consultation, echocardiography. ECG and blood pressure._x000D_
Routine blood work and thyroid function testing may be contributory if not recently performed, especially for mature or older patients._x000D_
Consider empirical therapy and supportive care for underlying lower airway disease in the interim, especially if clinical signs (e.g. coughing) are present.  Consider also airway sampling, fecal analysis/empirical deworming, and respiratory PCR panel._x000D_
If your clinical impression of this patient does not match the content of this result, consider submitting the radiographs for a formal radiologist report.</t>
  </si>
  <si>
    <t>Patient Name : Thomas Jahn, Date of study: Sep 23, 2024
5 images are provided for review
There are no previous radiographs for comparison.  Ventrodorsal image is mislabeled with "R" on the left of the patient given position of spleen.  
Liver: The liver is slightly enlarged on the right in the ventrodorsal image, with a sharp caudoventral margin in the lateral images.  
Spleen: The spleen is prominent and identified in the mid-ventral abdomen in the lateral images.  The spleen has smooth, well-defined margins.  
Kidneys: The kidneys are normal in size and shape without obvious mineral.
Retroperitoneum: Retroperitoneal detail is adequate.
Urinary bladder/Urethra: The urinary bladder contains at least one, well-defined ovoid or slightly stellate-shaped mineral focu.  the urinary bladder is normal in size, and smoothly marginated.
Peritoneum: Peritoneal detail is adequate.
Gastrointestinal tract: The stomach contains moderate soft tissue material admixed with gas.   The stomach is within normal limits for size.
The small intestine contains mild gas and fluid or is empty with a subjectively uniform population for size. 
The colon contains mild heterogeneous soft tissue material and gas.  The colon is within normal limits for size.  
Musculoskeletal: The lucent region partially over the left abdomen is slightly variable in shape between examinations and is not identified in the lateral images.  The remaining  included musculoskeletal structures are normal.</t>
  </si>
  <si>
    <t>1.  Suspected left craniolateral abdominal body wall lipoma or less likely peritoneal lipoma, versus superimposed structures/artifact. 
- No obvious peritoneal/retroperitoneal or body wall gas is present.
2. Urocystolith and presumed concurrent cystitis.
3. Equivocal hepatomegaly versus variation of normal.
- If present consider vacuolar hepatopathy, nodular hyperplasia, hepatitis/cholangiohepatitis or unlikely neoplasia or other.
4. Gastric material due to recent meal, versus gastritis/delayed gastric emptying or unlikely pyloric outflow tract obstruction given lack of vomiting in reported history.
- There is no current evidence of small intestinal mechanical ileus.
- Differential diagnoses include dietary indiscretion, toxin ingestion, diet/antibiotic responsive disease, inflammatory bowel disease, pancreatitis, occult systemic disease or unlikely other.
5. Equivocal splenomegaly versus variation of normal.
- If present, consider passive congestion from sedation (if administered), extramedullary hematopoiesis, lymphoid hyperplasia, or least likely other.</t>
  </si>
  <si>
    <t>Consider routine blood work, urinalysis and culture/sensitivity testing for further evaluation.  Dissolution diet protocol for urocystolith versus cystotomy and mineral retrieval/analysis.  Repeat abdominal imaging after 8-12 hours of fasting to monitor for passage of gastric material, if clinically indicated.  Thoracic imaging to screen for occult systemic disease.  Empirical therapy and supportive care in the interim as needed.  Consider abdominal ultrasonography or computed tomography for further evaluation of possible left abdominal/abdominal body wall lipoma.  Monitoring as directed or sooner if clinical signs acutely change, fail to improve or worsen.</t>
  </si>
  <si>
    <t xml:space="preserve">
1.This result detects mild to moderate cardiomegaly._x000D_
2.This result does NOT detect pleural fissure lines. _x000D_
3.This result detects a minimal to mild bronchial pulmonary pattern._x000D_
4.This result detects a minimal to mild interstitial pulmonary pattern._x000D_
5.This result does NOT detect  an alveolar pulmonary pattern._x000D_
6.This result does NOT detect soft tissue pulmonary nodules.  </t>
  </si>
  <si>
    <t>The mixed bronchial and interstitial pulmonary patterns are NOT suspected to represent left-sided congestive heart failure. Differential diagnoses for cardiomegaly include: hypertrophic or thyrotoxic cardiomyopathy in a mature or older patient, or congenital anomaly in a very young patient.  Consider heartworm disase in endemic areas, or if not already ruled out. Equivocal/minimal cardiomegaly may also be due to phase of the cardiopulmonary cycle or technical factors. For patients with respiratory clinical signs,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</si>
  <si>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Patient Name : Bennett Xian, Date of study: Sep 23, 2024
3 images are provided for review
Feline Thorax (3 Images) - 2 Lateral, 1 Vd
There are no previous radiographs for comparison.
Pulmonary parenchyma: A minimal to mild diffuse bronchial pattern is present.  Minimal interstitial pattern over the cranial lungs is exacerbated by superimposed thoracic limbs.  
Pulmonary vasculature: The pulmonary vasculature is subjectively normal in size and tapers in the periphery of the lungs.
Cardiac silhouette: The cardiac silhouette is mildly rounded and enlarged in the lateral image.  The cardiac silhouette is subjectively widened in the ventrodorsal image with a rounded right craniolateral margin, possibly exacerbated by obliquity.
Mediastinum: The cranial mediastinum is normal.
Trachea: The trachea is normal.
Esophagus: The esophagus is not well-identified.
Pleural space: The pleural space is normal.
Musculoskeletal: The included musculoskeletal structures are normal.</t>
  </si>
  <si>
    <t>1. Mild generalized cardiomegaly versus artifact from young patient age, patient positioning/technique and/or phase of the cardiopulmonary cycle.
- If present, consider congenital anomaly such as atrial/ventricular septal defect.
- There is no current evidence of left-sided congestive heart failure.
2. Minimal diffuse bronchial and interstitial pulmonary patterns such as from infectious/immune-mediated lower airway disease (feline asthma, and/or mycoplasma spp., bordetella spp., parasitism such as lung worms, inhaled allergen/irritant), or a combination of these, or fibrosis from prior disease/artifact, or unlikely other.</t>
  </si>
  <si>
    <t>Consider echocardiography, eCG and blood pressure for further evaluation, especially if a murmur is later identified.  Routine blood work and urinalysis to screen for occult systemic disease if not recently performed.  Consider respiratory PCR panel, airway sampling, and fecal analysis/deworming for further evaluation of reported non-specific signs (tachypnea/hyperpnea) reported. Empirical therapy and supportive care in the interim as needed. Monitoring as directed or sooner if clinical signs acutely change, fail to improve or worsen.</t>
  </si>
  <si>
    <t xml:space="preserve">
1.This result detects minimal/equivocal to moderate cardiomegaly._x000D_
2.This result detects minimal to mild, mixed interstitial and bronchial pulmonary patterns._x000D_
3.This result does NOT detect an alveolar pulmonary pattern.  _x000D_
4.This result does NOT detect soft tissue pulmonary nodules._x000D_
5.Rarely, this result detects minimal to mild pleural fissure lines/fluid.</t>
  </si>
  <si>
    <t>Opposite lateral and VD views of the thorax and abdomen are provided._x000D_
_x000D_
The heart is within normal size and shape limits. The right caudal lobe pulmonary arteries mildly enlarged, similar to previous radiographs dated 5-24-23. No pulmonary infiltrates or pleural effusion are seen._x000D_
_x000D_
There is moderate to severe diffuse distention of the colon with soft appearing fecal material. The rectum is severely distended with a more formed appearing fecal ball. The small intestine is mildly gassy but nondistended. There is a linear metal foreign body compatible with a segment of fine wire or a small needle in the left cranial abdomen, which appears to be outside the GI tract. The right kidney is slightly small. The liver is at the small end of normal size range. Serosal detail is normal._x000D_
_x000D_
There is severe disc space narrowing, endplate sclerosis, and spondylosis involving the lumbosacral junction. There is mild spondylosis in the thoracolumbar region. No destructive bone lesions are seen.</t>
  </si>
  <si>
    <t>The colonic distention is subjectively concerning for poor colonic motility and neurogenic megacolon. There is more severe distention of the rectum with more formed appearing fecal material, so obstipation of a less severe nature should still be ruled out._x000D_
_x000D_
No findings indicative of neoplasia or foreign body are identified._x000D_
_x000D_
There is chronic lumbosacral degeneration._x000D_
_x000D_
No cardiomegaly is identified in the current radiographs.</t>
  </si>
  <si>
    <t>Medical management for obstipation is recommended._x000D_
_x000D_
Clinical and radiographic monitoring for recurrence is recommended over the next several weeks to months.</t>
  </si>
  <si>
    <t xml:space="preserve">
1.This result detects minimal to mild, mixed interstitial and bronchial pulmonary patterns._x000D_
2.Rarely, this result detects a minimal to mild alveolar pulmonary pattern._x000D_
3.This result detects mild to severe cardiomegaly._x000D_
4.This result does NOT detect pleural fissure lines.  </t>
  </si>
  <si>
    <t>The mixed bronchial and interstitial pulmonary pattern is NOT suspected to represent left-sided congestive heart failure. For patients with no respiratory clinical signs, differential diagnoses for a minimal or mild mixed bronchial and interstitial pattern include: changes from prior disease,  age-related factors, and errors in patient positioning/technique, or pulmonary hypoinflation.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Differential diagnoses for an alveolar pattern include: bronchial plugging (such as from concurrent immune-mediated or infectious lower airway disease), atelectasis (such as from recumbency), or unlikely other such as bronchopneumonia. Differential diagnoses for cardiomegaly include: hypertrophic or thyrotoxic cardiomyopathy in a mature or older patient, or congenital anomaly in a very young patient.  Consider heartworm disase in endemic areas, or if not already ruled out.</t>
  </si>
  <si>
    <t xml:space="preserve">
Consider cardiologist consultation, echocardiography. ECG and blood pressure._x000D_
Routine blood work and thyroid function testing may be contributory if not recently performed, especially for mature or older patients._x000D_
Consider empirical therapy and supportive care for infectious and/or immune-mediated lower airway disease in the interim, especially if clinical signs (e.g. coughing) are present.  Consider also airway sampling, fecal analysis/empirical deworming, and respiratory PCR panel._x000D_
If your clinical impression of this patient does not match the content of this result, consider submitting the radiographs for a formal radiologist report.</t>
  </si>
  <si>
    <t>Seven orthogonal survey radiographs of the thorax and abdomen dated 23rd September 2024 are available for review. There are no previous radiographs available for comparison. These images are submitted for assessment of the thorax. The abdominal radiographs are severely overexposed. There is motion blurring and obliquity in the thoracic images.
Thorax: 
Airway findings: No nodules, masses, or lymphadenomegaly is visible. The trachea has a normal position, shape and size. The pulmonary parenchyma has a mild bronchial pattern.
Cardiovascular findings: The cardiac silhouette, and pulmonary vasculature is within normal limits.
Mediastinum and pleura: There is no evidence of pleural effusion, 
Included abdomen: A large lobular mass is present caudal to the stomach. Another mass is visible superimposed on the left renal silhouette.
Musculoskeletal system: No significant abnormalities are detected.</t>
  </si>
  <si>
    <t>1. Negative metastasis check, normal thorax. The bronchial pattern in absence of any respiratory disease is most likely due to normal ageing.
2. Abdominal masses as reported.</t>
  </si>
  <si>
    <t>Computed tomography has a higher resolution capability to detect small pulmonary parenchyma nodules and may be considered. The thoracic images are mildly compromised by positioning and exposure factors.</t>
  </si>
  <si>
    <t xml:space="preserve">
1.This result does NOT detect pleural fissure lines.  _x000D_
2.This result detects equivocal/borderline to mild cardiomegaly.  _x000D_
3.This result detects a minimal to mild interstitial pulmonary pattern._x000D_
4.This result detects a minimal to mild bronchial pulmonary pattern._x000D_
5.This result does NOT detect an alveolar pulmonary pattern. </t>
  </si>
  <si>
    <t xml:space="preserve">The mixed interstitial and bronchial pulmonary patterns are NOT suspected to represent left-sided congestive heart failure. For patients with no respiratory clinical signs, differential diagnoses for a minimal or mild mixed bronchial and interstitial pattern include: changes from prior disease,  age-related factors, and errors in patient positioning/technique, or pulmonary hypoinflation. For patients with mild respiratory clinical signs, non-cardiac differential diagnoses for mixed bronchial and interstitial pulmonary patterns include: infectious lower airway disease (such as mycoplasma spp., parasitism, viral, or other), immune-mediated lower airway disease (feline asthma), or inhaled allergen/irritant, or less likely other.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t>
  </si>
  <si>
    <t xml:space="preserve">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Consider cardiologist consultation, echocardiography. ECG and blood pressure._x000D_
Routine blood work and thyroid function testing may be contributory if not recently performed._x000D_
If your clinical impression of this patient does not match the content of this result, consider submitting the radiographs for a formal radiologist report.</t>
  </si>
  <si>
    <t>Study:_x000D_
Thoracic/abdominal radiography: three images dated September 21, 2024_x000D_
_x000D_
Findings:_x000D_
There is moderate generalized cardiomegaly (VHS approximately 9). The pulmonary vasculature is normal in size. There is a mild caudodorsal bronchial pulmonary pattern. The pleural space is normal. There is no intrathoracic lymphadenopathy. The trachea is normal in diameter. The abdominal serosal detail is normal. The stomach contains a small volume of gas. The small intestines are normal in size, course and content. The colon contains formed fecal material with a normal diameter. The liver and spleen are normal in size and margin. The renal silhouettes are normal in size and shape. The urinary bladder is normal in size and opacity. The osseous structures are unremarkable.</t>
  </si>
  <si>
    <t>1. Unremarkable abdomen. A cause of the chronic vomiting is not evident. Consider abdominal sonography and a G.I. panel to further evaluate for an enteropathy._x000D_
2. Moderate generalized cardiomegaly without evidence of decompensation. Hypertrophic cardiomyopathy is most likely. Echocardiography, ECG and blood pressure testing can be considered for further evaluation._x000D_
3. The mild caudodorsal bronchial pulmonary pattern may indicate allergic/inflammatory bronchitis (asthma). Infectious, parasitic and irritant bronchitis are also possible. Correlate with any reported coughing. Airway sampling, heartworm testing and Baermann fecal flotation can be considered for further evaluation if clinically relevant.</t>
  </si>
  <si>
    <t xml:space="preserve">
1.This result detects minimal/equivocal to moderate cardiomegaly._x000D_
2.Rarely, this result detects minimal to mild pleural fissure lines/fluid._x000D_
3.This result detects minimal to mild, mixed interstitial and bronchial pulmonary patterns._x000D_
4.This result does NOT detect an alveolar pulmonary pattern.  _x000D_
5.This result does NOT detect soft tissue pulmonary nodules.</t>
  </si>
  <si>
    <t>Study:_x000D_
Thoracic radiography: three images dated September 21, 2024_x000D_
_x000D_
Findings:_x000D_
The cardiac silhouette and pulmonary vasculature are normal in size. There is a mild caudodorsal bronchial pulmonary pattern. The pleural space is normal. There is no intrathoracic lymphadenopathy. The trachea is normal in diameter and course. The stomach contains heterogeneous soft tissue material presumed to be ingesta. The osseous structures are unremarkable.</t>
  </si>
  <si>
    <t>The mild caudodorsal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t>
  </si>
  <si>
    <t xml:space="preserve">
1.Rarely, this result detects minimal to mild pleural fissure lines/fluid._x000D_
2.This result detects minimal/equivocal to moderate cardiomegaly._x000D_
3.This result detects minimal to mild, mixed interstitial and bronchial pulmonary patterns._x000D_
4.This result does NOT detect an alveolar pulmonary pattern.  _x000D_
5.This result does NOT detect soft tissue pulmonary nodules.</t>
  </si>
  <si>
    <t>Study:_x000D_
Cervical, thoracic and abdominal radiography: six images dated September 21, 2024_x000D_
_x000D_
Findings:_x000D_
There is incidental cranioventral rotation of the cardiac silhouette. The cardiac silhouette is normal in size and shape. The pulmonary vasculature is normal in size. There is a 1 cm round soft tissue opaque nodule in the left caudal lung lobe. The pleural space is normal. Seen on both the lateral projections of the thorax and abdomen, there is a 0.5 cm gas lucency outlined by a soft tissue opaque rim ventral to the T9 vertebra. There is no intrathoracic lymphadenopathy. On the lateral projection of the cervical region, a small volume of gas in the proximal esophagus accentuates the upper esophageal sphincter/cricopharyngeal muscle. The larynx and pharynx are unremarkable. On the lateral projection of the thorax, there is a small volume of gas in the cranial aspect of the intrathoracic esophagus. The trachea is normal in diameter. The stomach is empty. There is a small amount of granular mineral scattered throughout the small intestines. The small intestines are normal in size and course. The colon contains formed fecal material and interspersed granular mineral with a normal diameter. The liver and spleen are normal in size and margin. The renal silhouettes are normal in size and contour. The urinary bladder is normal in size and opacity. There is narrowing of the L7-S1 intervertebral disc space with sclerotic endplates and moderate spondylosis deformans. The T9-T10 intervertebral disc space is also narrowed.</t>
  </si>
  <si>
    <t>1. Left caudal lung lobe nodule. Rule out primary pulmonary neoplasia, metastatic neoplasia or granuloma._x000D_
2. The gas lucent pulmonary lesion likely represents a pulmonary bulla. Neoplasia or an abscess cannot be completely excluded._x000D_
3. There is no radiographic evidence of heart disease. Consider echocardiography for further evaluation of the reported heart murmur._x000D_
3. The cervical region is unremarkable._x000D_
4. The granular mineral throughout the gastrointestinal tract may indicate dietary indiscretion or may be an incidental finding depending on the contents of the patient=ZZ91=s normal diet and treats._x000D_
5. T9-T 10 and L7-S1 intervertebral disc disease._x000D_
_x000D_
Comments:_x000D_
A definitive cause of the reported regurgitation is not evident. Abdominal sonography and an esophagogram can be considered for further evaluation if clinical signs persist or worsen in spite of medical management.</t>
  </si>
  <si>
    <t xml:space="preserve">
1.This result detects equivocal/borderline to mild cardiomegaly._x000D_
2.This result detects a minimal to mild bronchial pulmonary pattern._x000D_
3.This results detects a minimal to mild interstitial pulmonary pattern._x000D_
4.Rarely, this result detects a minimal alveolar pulmonary pattern. _x000D_
5.Rarely, this result detects minimal to mild pulmonary vasculature enlargement._x000D_
6.Rarely,  this result detects minimal pleural fissure lines/fluid.  </t>
  </si>
  <si>
    <t>If the patient is dyspneic, or has an elevated heart rate/respiratory rate, or has otherwise severe pulmonary clinical signs, consider early left-sided congestive heart failure as the primary differential diagnosis for combined cardiomegaly, pulmonary pattern, and possible pulmonary vasculature enlargement or pleural fluid.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Differential diagnoses for an alveolar pattern include: bronchial plugging (such as from concurrent immune-mediated or infectious lower airway disease), atelectasis (such as from recumbency), or unlikely other such as bronchopneumonia. Differential diagnoses for minimal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t>
  </si>
  <si>
    <t xml:space="preserve">
If the patient is dyspneic, oxygen therapy, diuretic therapy and monitoring for clinical improvement.  Repeat thoracic radiographs in 4-6 hours to monitor for improvement of radiographic changes._x000D_
Consider cardiologist consultation, echocardiography. ECG and blood pressure._x000D_
Prior to diuretic therapy, consider routine blood work, urine collection (if possible), and thyroid function testing if not recently performed, especially for mature or older patients._x000D_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If your clinical impression of this patient does not match the content of this result, consider submitting the radiographs for a formal radiologist report.</t>
  </si>
  <si>
    <t>Patient Name : PANDY SCENA, Date of study: Sep 21, 2024
2 images are provided for review
Feline Thorax (2 Images) - 1 Vd, 1 Lateral
Previous images dated [09/18/2024 Case#2764062] are available for comparison.
Pulmonary parenchyma: A moderate diffuse interstitial pattern is present, most severe in the cranioventral portion of the lungs.
Pulmonary vasculature: The pulmonary vasculature are subjectively diffusely enlarged and do not taper in the periphery of the lungs as expected.  Pulmonary vasculature margins are partially obscured by the interstitial pattern.
Cardiac silhouette: The cardiac silhouette is suspiciously tall in the lateral image but partially obscured.    The cardiac silhouette is rounded in the ventrodorsal image, possibly exacerbated by obliquity.
Mediastinum: The cranial mediastinum is normal.
Trachea: The trachea is normal.
Esophagus: The esophagus is not well-identified.
Pleural space: Mild pleural fluid is present with rounding of the caudal lung lobes in the diaphragmatic recesses, and widening of the pleural fissure between the right middle/caudal lung lobe.
Musculoskeletal: The patient is obese.  The remaining included musculoskeletal structures are normal.</t>
  </si>
  <si>
    <t>1.  Suspected cardiomegaly or less likely artifact from positioning/technique.
- Consider underlying /evolving hypertrophic or thyrotoxic cardiomyopathy versus other.
2.  Moderate diffuse interstitial pulmonary pattern, most severe in the right cranial lung lobe.
- Differential diagnoses include left-sided congestive heart failure, or unlikely other such as hemorrhage, atypical metastatic neoplasia, hematogeneous spread of pneumonia/sepsis, or other.
3. Mild pleural fluid such as from left-sided congestive heart failure.</t>
  </si>
  <si>
    <t>Diuretic therapy and oxygen therapy in the interim as needed, and recheck 3- or 4-view focused thoracic radiographs for progression/resolution of the pulmonary findings.  Echocardiography, eCG and blood pressure for further evaluation once stable.  Routine blood work and thyroid function testing as well as urinalysis if not recently performed.  Monitoring as directed or sooner if clinical signs acutely change, fail to improve or worsen.</t>
  </si>
  <si>
    <t xml:space="preserve">
1.This result detects a mild to severe interstitial pulmonary pattern._x000D_
2.This result detects a mild to severe bronchial pulmonary pattern._x000D_
3.This result detects a minimal to moderate alveolar pulmonary pattern._x000D_
4.Rarely, this result detects minimal to moderate pulmonary vasculature enlargement.  _x000D_
5.This result detects minimal to severe pleural fissure lines/fluid._x000D_
6.This result detects mild to severe cardiomegaly.</t>
  </si>
  <si>
    <t>If the patient is dyspneic, or has an elevated heart rate/respiratory rate, or has otherwise severe pulmonary clinical signs, consider early left-sided congestive heart failure as the primary differential diagnosis for combined cardiomegaly, pulmonary pattern, and possible pleural fluid or pulmonary vasculature enlargement. Moderate or severe pleural fluid may obscure the cardiac silhouette and compress the lung, complicating a diagnosis of cardiomegaly and pulmonary patterns. Differential diagnoses for cardiomegaly include: hypertrophic or thyrotoxic cardiomyopathy in a mature or older patient, or congenital anomaly in a very young patient.  Consider heartworm disase in endemic areas, or if not already ruled out.  Differential diagnoses for an alveolar pattern include: bronchial plugging (such as from concurrent immune-mediated or infectious lower airway disease), atelectasis (such as from recumbency), coalescing pulmonary edema/left-sided congestive heart failure, or unlikely other such as bronchopneumonia. Differential diagnoses for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</si>
  <si>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Four radiographs of the thorax/abdomen are provided. The cardiac silhouette is poor normal size. There is a well-defined smoothly marginated round 0.6 cm soft increased opacity overlying the cranial right liver on the VD projection, seen overlying the cranial liver/diaphragm on the lateral views. This nodule slightly changes position between the lateral views, suggesting that is located within the lungs rather than gallbladder. There is no pleural effusion._x000D_
_x000D_
In the abdomen serosal detail is adequate. The left kidney is enlarged and smoothly irregular. The right kidney is lower normal size. The gastrointestinal tract is minimally filled. Normal size liver and spleen. No radiopaque urolithiasis.</t>
  </si>
  <si>
    <t>1. Enlarged mass-like left kidney, most consistent with neoplasia. Acute inflammation such as pyelonephritis with concurrent renal cysts is given lesser consideration._x000D_
2. Probable solitary pulmonary nodule, concerning for metastatic disease. A single pulmonary abscess, granuloma, or cholelith causing this appearance is given lesser consideration.</t>
  </si>
  <si>
    <t>Ultrasound evaluation of the left kidney is recommended.</t>
  </si>
  <si>
    <t>Abdomen: The colon is filled with gas and fecal material.  On the left lateral view there is a segment of bowel within the mid to caudal abdomen that has ill-defined parallel soft tissue lines running longitudinally.  The segment also has small mineral opacities within it.  This is not identified on the other views.  The liver is unremarkable.  It is difficult to identify the spleen due to silhouetting and summation with adjacent viscera.  There are no abnormalities involving the visible portions of the urinary tract._x000D_
_x000D_
Thorax: The pulmonary parenchyma, cardiac silhouette, and pulmonary vasculature are unremarkable.  There is no evidence of pleural effusion or lymphadenopathy.</t>
  </si>
  <si>
    <t>The segment of bowel on the left lateral view with the parallel soft tissue lines may represent portions of the colon or summation artifact.  Alternatively a small intestinal foreign body cannot be ruled out._x000D_
_x000D_
The small punctate mineral opacities within the segment most likely represent ingesta or nonobstructive foreign bodies.</t>
  </si>
  <si>
    <t>If clinical signs persist, consider abdominal ultrasound for further evaluation.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</si>
  <si>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moderately distended.  The remaining abdominal organs are normal.</t>
  </si>
  <si>
    <t>Material within the stomach may represent normal ingesta or foreign material.  Consider repeat radiographs following strict fasting to determine if gastric contents persist.  Radiographically normal thorax for patient of this age.</t>
  </si>
  <si>
    <t>In a non-clinical patient, the appearance of minimal pulmonary hyperinflation can be secondary to a thinner cat or struggling at the time of radiographs.</t>
  </si>
  <si>
    <t>Patient Name : Hemi-Sama Riesberg, Date of study: Sep 20, 2024
3 images are provided for review
Feline Thorax (3 Images) - 2 Lateral, 1 Vd
There are no previous radiographs for comparison.
Pulmonary parenchyma: A minimal to mild diffuse bronchial and interstitial pattern is present.    the lungs are minimally hypoinflated, most severe in the right lungs in the ventrodorsal image.
Pulmonary vasculature: The pulmonary vasculature is subjectively normal in size and tapers in the periphery of the lungs.
Cardiac silhouette: The cardiac silhouette is normal in size and shape.
Mediastinum:  A slight rightward mediastinal shift is present. The cranial mediastinum is normal.
Trachea:  An endotracheal tube is present which terminates in the thoracic tracheal segment at the level of T2.  The trachea is normal.
Esophagus: The esophagus contains mild gas or is empty.
Pleural space: The pleural space is normal.
Musculoskeletal: Ill-defined lobular/convex soft tissue arises from the cranioventral extra-abdominal soft tissues, with mild associated gas.  The remaining included musculoskeletal structures are normal.</t>
  </si>
  <si>
    <t xml:space="preserve">1. Minimal-mild diffuse bronchial and interstitial pulmonary patterns.
- Differential diagnoses include hypoinflation/atelectasis, fibrosis from prior disease, age-related changes, or less likely infectious/immune-mediated lower airway disease, or unlikely other.
2. No obvious pulmonary soft tissue nodules or intra-thoracic lymphadenomegaly.
3. Rightward mediastinal shift due to recumbency atelectasis/general anesthesia or unlikely other.
4. Extra-abdominal soft tissue changed such as from recent mastectomy and/or evolving neoplasia (mammary gland carcinoma versus other) or less likely other given reported history.  </t>
  </si>
  <si>
    <t>Consider computed tomography for a more sensitive evaluation of the thorax and pre-surgical planning of mammary mass excisional/incisional biopsy. Oncologist consultation depending on results. Empirical therapy and supportive care in the interim as needed.  Monitoring as directed or sooner if clinical signs acutely change, fail to improve or worsen.</t>
  </si>
  <si>
    <t>Patient Name : GIRLIE WALLY, Date of study: Sep 20, 2024
7 images are provided for review
There are no previous radiographs for comparison.
Large portions of human ungloved extremities in the primary beam of multiple images. Images are inconsistently labeled, limiting evaluation.  
Bones/Joints:
Minimal right elbow osteoarthrosis is present.
The right shoulder is normal.
The included right carpus, metacarpus and digits are normal.
Centered in the presumed left proximal humeral diaphysis and extending into the metaphysis is a well-defined geographic to moth-eaten region of osteolysis.  The cranial/caudal cortices are thinned as a result of this lesion.  Ill-defined periosteal proliferation is suspected at the cranial cortex of the left proximal humeral metaphysis.
Minimal left elbow osteoarthrosis is present.
The included left carpus, metacarpus and digits are normal. 
T10-11 spondylosis deformans is present.
Soft tissues:   The soft tissues cranial to the presumed left proximal humerus are focally enlarged and convex cranially.  The remaining included soft tissues are normal.</t>
  </si>
  <si>
    <t>1. Left proximal humeral aggressive osseous lesion with moderate local soft tissue swelling,  such as from primary osseous neoplasm (osteosarcoma versus other), or unlikely soft tissue sarcoma with osseous extension, or other.
2. Minimal right elbow osteoarthrosis.
3. Minimal left elbow osteoarthrosis.</t>
  </si>
  <si>
    <t>Consider bone biopsy of the left proximal humeral aggressive bone lesion for a definitive diagnosis.  Thoracic imaging and routine blood work if not recently performed.  Oncologist consultation depending on results.    Empirical therapy and supportive care in the interim as needed.  Monitoring with serial radiographs of the left proximal humerus as directed, or sooner if clinical signs acutely change, fail to improve or worsen.</t>
  </si>
  <si>
    <t xml:space="preserve">
1.This result does NOT detect pleural fissure lines._x000D_
2.This result detects mild to moderate cardiomegaly._x000D_
3.This result detects a minimal to moderate bronchial pulmonary pattern._x000D_
4.This result detects a minimal to mild interstitial pulmonary pattern._x000D_
5.This result does NOT detect an alveolar pulmonary pattern. </t>
  </si>
  <si>
    <t>Differential diagnoses for cardiomegaly include: hypertrophic or thyrotoxic cardiomyopathy in a mature or older patient, or congenital anomaly in a very young patient.  Consider heartworm disase in endemic areas, or if not already ruled out. The mixed interstitial and bronchial pulmonary patterns are NOT suspected to represent left-sided congestive heart failure. For patients with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</si>
  <si>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 xml:space="preserve">
Consider empirical therapy and supportive care for underlying lower airway disease in the interim, especially if the patient has appropriate clinical signs (i.e. coughing).  Airway sampling, fecal analysis/empirical deworming, and respiratory PCR panel may be beneficial.  _x000D_
Consider cardiologist consultation, echocardiography. ECG and blood pressure._x000D_
Routine blood work and thyroid function testing may be contributory if not recently performed._x000D_
If your clinical impression of this patient does not match the content of this result, consider submitting the radiographs for a formal radiologist report.</t>
  </si>
  <si>
    <t>Abdomen. Three radiographs of the abdomen/thorax (two lateral, one VD) dated September 20, 2024 are provided. As requested, the abdomen is interpreted.
Gastrointestinal tract: The duodenum was plicated on the lateral views. The small intestines are bunched in the mid abdomen and on the left lateral view there is an enlarged loop in the cranioventral abdomen which has an undulating margin and appears plicated. The pylorus on the left lateral view has a triangular-shaped gas-filled lumen, rather than round. A radiopaque foreign body is not identified.
Liver: The liver is normal in size and shape.
Spleen: The spleen is normal in size.
Urinary: The kidneys are normal in size, shape, and margination. The urinary bladder is mildly distended and normal in opacity.
Peritoneal space: There is adequate serosal detail.
Musculoskeletal: The included skeletal and superficial soft tissue structures of the study are normal.</t>
  </si>
  <si>
    <t>1. There is evidence of small intestinal plication. A linear foreign body anchored in the pylorus is the primary differential.</t>
  </si>
  <si>
    <t>Exploratory laparotomy is recommended. An oral exam to evaluate for a string under the tongue would be beneficial.</t>
  </si>
  <si>
    <t>Casey Larsen</t>
  </si>
  <si>
    <t xml:space="preserve">
1.This result does NOT detect pleural fissure lines._x000D_
2.This result detects equivocal/borderline to mild, or rarely moderate to severe cardiomegaly._x000D_
3.This result detects a minimal to moderate bronchial pulmonary pattern._x000D_
4.This result detects a minimal to mild interstitial pulmonary pattern._x000D_
5.This result does NOT detect an alveolar pulmonary pattern._x000D_
6.This result does NOT detect soft tissue pulmonary nodules.</t>
  </si>
  <si>
    <t>The mixed interstitial and bronchial pulmonary patterns are NOT suspected to represent early left-sided congestive heart failure. For patients with mild respiratory clinical signs,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Differential diagnoses for minimal pleural fissure lines include: tangential beam artifact, pleural thickening/folding, chylous effusion, idiopathic, or rarely hemorrhage (especially if history of trauma), secondary to FIP or other systemic infection/inflammation, or unlikely other.</t>
  </si>
  <si>
    <t>Patient Name : Flower Belderson, Date of study: Sep 20, 2024
2 images are provided for review
Feline Thorax (2 Images) - 1 Lateral, 1 Vd
Prior images dated July 15, 2024 and previous are available.
Pulmonary parenchyma: A mild diffuse bronchial pattern is present.
Pulmonary vasculature: The pulmonary vasculature is subjectively normal in size and tapers in the periphery of the lungs.
Cardiac silhouette: The cardiac silhouette is tall in the lateral image.
Mediastinum: Ill-defined increased soft tissue is suspected in the cranial mediastinum in the lateral images.  Possible cranial/middle mediastinal widening in the oblique ventrodorsal image.
Trachea: The trachea is normal.
Esophagus: The esophagus is not well-identified.
Pleural space: The pleural space is normal.
Liver: The liver  has a subjectively enlarged right lateral margin in the ventrodorsal image, extending past the level of the last ribs.  
Spleen: The spleen is subjectively folded on itself in the left cranial abdomen in the ventrodorsal image.  The spleen has smooth, well-defined margins.  
Kidneys: The kidneys are normal in size and shape without obvious mineral.
Retroperitoneum: Retroperitoneal detail is adequate.
Urinary bladder/Urethra: The urinary bladder is normal in size, homogeneous soft tissue, and smoothly marginated.
Peritoneum: Peritoneal detail is adequate. Suspected tubular soft tissue structures near the spleen in the left mid-abdomen in the ventrodorsal image.  
Gastrointestinal tract: The stomach contains a mild fluid or is empty.   The stomach is within normal limits for size.
The small intestine contains mild fluid or is empty with a subjectively uniform population for size. 
The colon contains moderate well-defined soft tissue material and gas.  The colon is within normal limits for size.  
Musculoskeletal: The included musculoskeletal structures are normal.</t>
  </si>
  <si>
    <t xml:space="preserve">1. Equivocal cranial/middle mediastinal widening such as from evolving lymphadenomegaly, evolving mass (thymoma, ectopic thyroid carcinoma, or unlikely other), versus fat deposition and/or artifact from positioning.
2.  Equivocal cardiomegaly such as from artifact/patient positioning versus evolving cardiomyopathy (hypertrophic, thyrotoxic or unlikely other).
- There is no current evidence of left-sided congestive heart failure.
3. Mild diffuse bronchial pulmonary pattern due to fibrosis from prior disease, age-related changes, infectious/immune-mediated lower airway disease (feline asthma versus other), or unlikely other.
4. Equivocal right-sided hepatomegaly versus normal variation or unlikely other.
- Consider vacuolar hepatopathy, nodular hyperplasia, or unlikely hepatitis/cholangiohepatitis or evolving neoplasia.
5. Equivocal splenomegaly versus artifact/folding.
- Differential diagnoses include extramedullary hematopoiesis, lymphoid hyperplasia, splenitis such as from tick-borne illnesses or unlikely evolving neoplasia or other.  
6. There is no current evidence of gastrointestinal mechanical ileus.
7. Presumed incidental "spaghetti sign" in the left abdomen such as from prior ovariohysterectomy, likely incidental to current presentation. </t>
  </si>
  <si>
    <t>Consider echocardiography, eCG and blood pressure, especially if a murmur is identified.  Consider ultrasonography of the mediastinum versus thoracic computed tomography for further evaluation.  Consider coagulation testing and lymph node/mass tissue sampling if confirmed in the cranial mediastinum.  Abdominal ultrasonography may also be contributory for further evaluation of the liver and spleen.  If not recently performed, consider routine blood work and thyroid function testing for further evaluation.  Empirical therapy and supportive care in the interim as needed.  Monitoring as directed or sooner if clinical signs acutely change, fail to improve or worsen.</t>
  </si>
  <si>
    <t xml:space="preserve">
1.This result detects equivocal/borderline to mild cardiomegaly. _x000D_
2.This result does not detect pulmonary vasculature enlargement._x000D_
3.This result detects a minimal to mild, or rarely moderate interstitial pulmonary pattern.  _x000D_
4.This result detects a minimal to mild, or rarely moderate bronchial pulmonary pattern._x000D_
5.Rarely, this result detects a minimal to mild alveolar pulmonary pattern._x000D_
6.This result does not detect pleural fissure lines/fluid.  </t>
  </si>
  <si>
    <t>Three radiographs of the thorax/abdomen are provided. Images dated 12/24/21 were reviewed. The cardiac silhouette is normal size and shape as before. Pulmonary vessels are normal size. There are no abnormalities in the pulmonary parenchyma or pleural space. Normal tracheal diameter. In the abdomen there is large volume soft tissue opaque ingesta in the stomach. Small bowel and minimally filled. Formed feces in the colon. No effusion or radiopaque urolithiasis. Normal-sized liver, spleen, and kidneys. Osseous structures are unremarkable.</t>
  </si>
  <si>
    <t>Normal thorax and abdomen. A reason for weight loss is not identified. There is no evidence of cardiovascular disease on this study. Mild/early cardiomyopathy is not definitively ruled out.</t>
  </si>
  <si>
    <t>Recommend a CBC, blood chemistry profile, thyroid evaluation, and cardiac proBNP evaluation.</t>
  </si>
  <si>
    <t xml:space="preserve">
1.This result detects none, or a minimal to mild interstitial pulmonary pattern.  _x000D_
2.This result detects none, or a minimal to mild bronchial pulmonary pattern._x000D_
3.Rarely, this result detects a minimal to mild alveolar pulmonary pattern._x000D_
4.This result does not detect pulmonary soft tissue nodules._x000D_
5.This result detects equivocal/borderline to mild, or rarely moderate cardiomegaly. _x000D_
6.This result does not detect pulmonary vasculature enlargement._x000D_
7.Rarely, this result detects minimal pleural fissure lines/fluid.  </t>
  </si>
  <si>
    <t>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or unlikely evolving neoplasia (metastatic/multicentric) or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especially if a mediastinal shift ipsilateral to the pattern is present), or unlikely bronchopneumonia, or evolving neoplasia or other. The primary differential diagnosis for minimal pleural fissure lines is tangential beam artifact.  Scant pleural fluid (such as from idiopathic or chylous effusions) is considered unlikely.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</si>
  <si>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6 images of the thorax and abdomen are provided for review and compared with the study dated 5/8/2023. There is a mild bronchial pattern in all lung lobes, similar to previous images.  The cardiovascular structures are normal.  The mediastinal and pleural structures are normal.  Abdominal serosal detail is adequate in all quadrants.  The stomach contains a moderate amount of gas.  The small intestines are diffusely gas distended.  Gas and feces are present in the colon.  The urinary bladder is moderately distended.  The remaining abdominal organs are normal.</t>
  </si>
  <si>
    <t>Static bronchial pulmonary pattern.  Considerations include asthma, heartworm, lungworm, atypical infection, bronchitis.  Consider empiric therapy versus further diagnostics such as heartworm testing, Baermann fecal, airway sampling.  Diffuse gastrointestinal distention is likely secondary to aerophagia, although functional ileus cannot be excluded.  Underlying pancreatitis, gastroenteritis, or inflammatory bowel disease could be considered.  Abdominal ultrasound may be helpful if clinically indicated.</t>
  </si>
  <si>
    <t xml:space="preserve">
1.This result detects mild to moderate, or less commonly equivocal/borderline cardiomegaly._x000D_
2.Rarely,  this result detects minimal pleural fissure lines/fluid.  _x000D_
3.This result detects minimal to mild, mixed interstitial and bronchial pulmonary patterns._x000D_
4.This result does NOT detect an alveolar pulmonary pattern.  </t>
  </si>
  <si>
    <t xml:space="preserve">If the patient is dyspneic, or has an elevated heart rate/respiratory rate, or has otherwise severe pulmonary clinical signs, consider early left-sided congestive heart failure as the primary differential diagnosis for combined cardiomegaly, pulmonary pattern, and possible pulmonary vasculature enlargement or pleural fluid.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t>
  </si>
  <si>
    <t xml:space="preserve">
If the patient is dyspneic, oxygen therapy, diuretic therapy and monitoring for clinical improvement.  Repeat thoracic radiographs in 4-6 hours to monitor for improvement of radiographic changes._x000D_
Consider cardiologist consultation, echocardiography. ECG and blood pressure._x000D_
Prior to diuretic therapy, consider routine blood work, urine collection (if possible), and thyroid function testing if not recently performed, especially for mature or older patients._x000D_
If your clinical impression of this patient does not match the content of this result, consider submitting the radiographs for a formal radiologist report.</t>
  </si>
  <si>
    <t>3 views of the thorax are provided for review. There is a mild bronchial pattern in all lung lobes.  The cardiovascular structures are normal.  The mediastinal and pleural structures are normal.  Cranial abdominal detail is adequate.</t>
  </si>
  <si>
    <t>Mild bronchial pulmonary pattern.  Considerations include viral pneumonitis, asthma, heartworm, lungworm, atypical infection, bronchitis.</t>
  </si>
  <si>
    <t>9 images of the abdomen are presented for review.  Serosal detail is adequate in all quadrants.  The stomach contains a moderate amount of gas.  The small intestines are plicated on all 3 series.  There is progressive dilation of small intestines.  Gas and feces are present in the colon.  The urinary bladder is small.  The remaining abdominal organs are normal.</t>
  </si>
  <si>
    <t>Small intestinal plication and progressive dilation consistent with linear foreign body obstruction.</t>
  </si>
  <si>
    <t>Recommend abdominal exploratory.</t>
  </si>
  <si>
    <t>3 views of the abdomen are presented for review.  Serosal detail is adequate in all quadrants.  The stomach contains a moderate amount of gas.  The small intestines are normal in size.  Gas and mineral opaque feces are present in the colon.  The urinary bladder is small.  The remaining abdominal organs are normal.</t>
  </si>
  <si>
    <t>Constipation.  Consider diarrhea secondary to straining against constipation.</t>
  </si>
  <si>
    <t>Consider supportive therapy and fecal examination.</t>
  </si>
  <si>
    <t>4 images of the thorax are provided for review.  The cardiac silhouette is widened with rounding of the left ventricular border.  No pulmonary infiltrates are seen.  The pulmonary vasculature is normal in size.  The mediastinal and pleural structures are normal.  Cranial abdominal detail is adequate.</t>
  </si>
  <si>
    <t>Cardiomegaly without current evidence of cardiogenic pulmonary edema.</t>
  </si>
  <si>
    <t>Echocardiography and proBNP may be helpful in further evaluation.</t>
  </si>
  <si>
    <t xml:space="preserve">
1.Rarely, this result detects a minimal alveolar pulmonary pattern._x000D_
2.This result does not detect pulmonary vasculature enlargement._x000D_
3.Rarely, this result detects minimal pleural fissure lines/fluid.  _x000D_
4.This result detects none, or equivocal/borderline to moderate cardiomegaly. _x000D_
5.This result detects a minimal to mild interstitial pulmonary pattern.  _x000D_
6.This result detects a minimal to mild, or rarely moderate bronchial pulmonary pattern.</t>
  </si>
  <si>
    <t>3 views of the thorax are presented for review.  The cardiovascular and pulmonary structures are normal.  The xiphoid is directed ventrally with a small osseous fragment seen dorsal to the caudal aspect of the xiphoid.  Focal soft tissue swelling is seen at the caudal aspect of the xiphoid.  The pleural and mediastinal structures are normal.  Cranial abdominal detail is adequate.</t>
  </si>
  <si>
    <t>Subluxation and fracture of the xiphoid process.  Soft tissue swelling appears improved compared to that reported previously.</t>
  </si>
  <si>
    <t>Consider direct comparison to previous images to determine if further movement of the xiphoid process is occurred.</t>
  </si>
  <si>
    <t xml:space="preserve">
1.This result detects mild to moderate cardiomegaly._x000D_
2.This result detects minimal to mild, mixed interstitial and bronchial pulmonary patterns._x000D_
3.Rarely, this result detects a minimal alveolar pulmonary pattern._x000D_
4.This result does NOT detect pleural fissure lines.  </t>
  </si>
  <si>
    <t>The mixed interstitial and bronchial pulmonary patterns are NOT suspected to represent left-sided congestive heart failure. For patients with no respiratory clinical signs, differential diagnoses for a minimal or mild mixed bronchial and interstitial pattern include: changes from prior disease,  age-related factors, and errors in patient positioning/technique, or pulmonary hypoinflation.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Differential diagnoses for an alveolar pattern include: bronchial plugging (such as from concurrent immune-mediated or infectious lower airway disease), atelectasis (such as from recumbency), or unlikely other such as bronchopneumonia. Differential diagnoses for cardiomegaly include: hypertrophic or thyrotoxic cardiomyopathy in a mature or older patient, or congenital anomaly in a very young patient.  Consider heartworm disase in endemic areas, or if not already ruled out.</t>
  </si>
  <si>
    <t xml:space="preserve">
Consider empirical therapy and supportive care for underlying lower airway disease in the interim, especially if the patient has appropriate clinical signs (i.e. coughing).  Airway sampling, fecal analysis/empirical deworming, and respiratory PCR panel may be beneficial.  _x000D_
Consider cardiologist consultation, echocardiography. ECG and blood pressure._x000D_
Routine blood work and thyroid function testing may be contributory if not recently performed, especially for mature or older patients._x000D_
If your clinical impression of this patient does not match the content of this result, consider submitting the radiographs for a formal radiologist report.</t>
  </si>
  <si>
    <t>4 images of the abdomen are provided for review.  Serosal detail is reduced, most pronounced in the cranial abdomen and left lateral abdomen.  The stomach contains a moderate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</si>
  <si>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or infiltrative neoplasia.  Reduced peritoneal serosal detail concerning for mild free fluid.</t>
  </si>
  <si>
    <t>Abdominal ultrasound could be considered in further evaluation.</t>
  </si>
  <si>
    <t xml:space="preserve">
1.No cardiomegaly detected._x000D_
2.No airway or pulmonary abnormalities have been detected. The lung parenchyma appears normal with no interstitial, alveolar, or bronchial pattern identified. No definitive pulmonary nodules or other abnormalities are identified._x000D_
3.No significant pleural fluid detected.</t>
  </si>
  <si>
    <t>Six radiographs of the thorax and abdomen are provided. There are no abnormalities in the pharyngeal/laryngeal region. Both tympanic bullae are thin-walled and air-filled. Tracheal diameter and position are normal. There is small volume gas esophagus in the thoracic esophagus. No pleural effusion. The heart and pulmonary vessels are normal size. There are faint peripheral bronchial markings. In the abdomen there is adequate peritoneal and retroperitoneal detail. Moderate volume gas throughout the entire gastrointestinal tract. No radiopaque foreign material. Normal-sized kidneys, liver, spleen. No urinary bladder or osseous abnormalities.</t>
  </si>
  <si>
    <t>1. Faint bronchial markings suggestive of chronic airway inflammation such as can be seen with inhaled irritant/allergens or infectious airway disease._x000D_
2. Gas in the esophagus and entire gastrointestinal tract is consistent with aerophagia._x000D_
3. Other than aerophagia, the abdomen is normal.</t>
  </si>
  <si>
    <t>Recommend visual inspection of the oropharyngeal/laryngeal region.</t>
  </si>
  <si>
    <t xml:space="preserve">
1.This result does not detect pulmonary vasculature enlargement._x000D_
2.This result detects none, or equivocal/borderline to moderate cardiomegaly. _x000D_
3.This result detects a minimal to mild interstitial pulmonary pattern.  _x000D_
4.This result detects a minimal to mild, or rarely moderate bronchial pulmonary pattern._x000D_
5.Rarely, this result detects a minimal alveolar pulmonary pattern._x000D_
6.Rarely, this result detects minimal pleural fissure lines/fluid.  </t>
  </si>
  <si>
    <t>Patient Name : Ozzy Atkins, Date of study: Sep 19, 2024
5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enlarged with a rounded or widened base in the lateral image.  The cardiac silhouette is generally enlarged and rounded or widened at its base in the ventrodorsal image.  In one ventrodorsal image, the cardiac silhouette has a "Valentines" shape subjectively.
Mediastinum: The cranial mediastinum is normal.
Trachea: The trachea is normal.
Esophagus: The esophagus is not well-identified.
Pleural space: The pleural space is normal.
Musculoskeletal: The included musculoskeletal structures are normal.</t>
  </si>
  <si>
    <t>1. Mild-moderate generalized cardiomegaly is consistent with reported hypertrophic cardiomyopathy.
- There is no current evidence of cardiogenic pulmonary edema.
2. Minimal diffuse bronchial pulmonary pattern such as from fibrosis from prior disease, age-related changes, infectious/immune-mediated lower airway disease, or less likely inhaled allergen/irritant, or unlikely other.
3. No current pleural fluid is identified.</t>
  </si>
  <si>
    <t>Continue therapy and supportive care in the interim as needed given reported clinical improvement and lack of pleural fluid in this examination.   Monitoring as directed or sooner if clinical signs acutely change, fail to improve or worsen.</t>
  </si>
  <si>
    <t>Study:_x000D_
Thoracic/abdominal radiography: three images dated September 18,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There is a smoothly marginated fragmented gas pattern in the small intestines. The small intestines are normal in size and course. The colon contains formed fecal material. The liver and spleen are normal in size and margin. The kidneys are normal in size and contour. The urinary bladder is normal in size and opacity. The osseous structures are unremarkable/age appropriate.</t>
  </si>
  <si>
    <t>1. The smoothly marginated fragmented gas pattern seen in the small intestines can be an indicator of nonspecific enteritis. There is no radiographic evidence of gastrointestinal foreign material or small intestinal mechanical obstruction. Abdominal sonography can be considered for further evaluation if clinical signs persist or worsen in spite of medical management._x000D_
2. Normal thorax.</t>
  </si>
  <si>
    <t>Six radiographs of the thorax/abdomen are provided. In the thorax the cardiac silhouette and pulmonary vessels are normal size. There is a mild bronchial pattern throughout the lungs. No pleural effusion or intrathoracic lymphadenomegaly. Normal tracheal diameter. No esophageal dilation or intrathoracic lymphadenomegaly._x000D_
_x000D_
In the abdomen there is no peritoneal or retroperitoneal effusion. Small volume gas in the stomach. Small bowel are diffusely mildly filled with a mixture of fluid and gas. Large volume of formed feces fills the colon. Normal-sized liver, kidneys, spleen. No radiopaque cystic calculi. Osseous structures are unremarkable.</t>
  </si>
  <si>
    <t>Mild bronchial pattern most consistent with chronic airway inflammation such as asthma. In the absence of a chronic cough, significance is doubtful. Otherwise normal thorax and abdomen. A reason for weight loss is not identified.</t>
  </si>
  <si>
    <t>Abdominal ultrasound could also be considered.</t>
  </si>
  <si>
    <t xml:space="preserve">
1.Rarely, this result detects minimal pleural fissure lines._x000D_
2.This result detects a minimal to mild or rarely moderate bronchial pulmonary pattern._x000D_
3.This result detects a minimal to mild or rarely moderate interstitial pulmonary pattern._x000D_
4.Rarely, this result detects a minimal to mild alveolar pulmonary pattern._x000D_
5.This result detects mild to moderate, or rarely severe cardiomegaly.</t>
  </si>
  <si>
    <t>If the patient is dyspneic, or has an elevated heart rate/respiratory rate, or has otherwise severe pulmonary clinical signs, consider early left-sided congestive heart failure as the primary differential diagnosis for combined cardiomegaly, pulmonary pattern, and possible pleural fluid.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Differential diagnoses for an alveolar pattern include: bronchial plugging (such as from concurrent immune-mediated or infectious lower airway disease), atelectasis (such as from recumbency), coalescing pulmonary edema/left-sided congestive heart failure, or unlikely other such as bronchopneumonia. Differential diagnoses for minimal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t>
  </si>
  <si>
    <t xml:space="preserve">
If the patient is dyspneic, oxygen therapy, diuretic therapy and monitoring for clinical improvement.  Repeat thoracic radiographs in 4-6 hours to monitor for improvement of radiographic changes._x000D_
Consider cardiologist consultation, echocardiography. ECG and blood pressure._x000D_
Prior to diuretic therapy, consider routine blood work, urine collection (if possible), and thyroid function testing if not recently performed, especially for mature or older patients._x000D_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If your clinical impression of this patient does not match the content of this result, consider submitting the radiographs for a formal radiologist report._x000D_
Looking for more information &lt;a href=https://platform.v2.vetology.net/doc/feline-cardiomyopathies-I  target=_blank rel=noopener noreferrer&gt;about feline heart disease?&lt;/a&gt;</t>
  </si>
  <si>
    <t>THORAX (3 total radiographs for review). _x000D_
_x000D_
- Moderate diffuse bronchial pulmonary pattern_x000D_
- The cardiac silhouette and pulmonary vasculature are normal._x000D_
- The trachea, pleural space, mediastinum and remaining included intrathoracic structures are normal._x000D_
- The liver is mildly enlarged, extending caudal to the costal arch with rounded margins._x000D_
- The stomach contains moderate gas stippled soft-tissue opaque material._x000D_
- There is mild multifocal vertebral spondylosis deformans.</t>
  </si>
  <si>
    <t>1.  Moderate diffuse bronchial pattern. Most likely compatible with chronic lower airway disease. Feline asthma is most likely, however bronchitis of infectious (e.g. parasitic, bacterial) or inhaled irritant etiologies are also possible. _x000D_
_x000D_
If clinically indicated, consider treatment for chronic lower airway disease and if there is lack of improvement or worsening despite medical management, thoracic CT +/- lower airway sampling might be pursued._x000D_
_x000D_
2. Mild hepatomegaly. Most likely representing vacuolar (metabolic) hepatopathy. Cholangiohepatitis, neoplasia or hepatic congestion are less likely, but possible.</t>
  </si>
  <si>
    <t>Steven Robillard</t>
  </si>
  <si>
    <t xml:space="preserve">
1.This result does not detect pulmonary vasculature enlargement._x000D_
2.This result detects equivocal/borderline to mild cardiomegaly. _x000D_
3.Rarely, this result detects minimal pleural fissure lines/fluid.  _x000D_
4.This result detects a minimal, or rarely mild interstitial pulmonary pattern.  _x000D_
5.This result detects a minimal to mild, or rarely moderate bronchial pulmonary pattern._x000D_
6.Rarely, this result detects a minimal alveolar pulmonary pattern.</t>
  </si>
  <si>
    <t xml:space="preserve">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 minimal alveolar pulmonary pattern include: atelectasis or bronchial plugging such as from concurrent infectious/inflammatory lower airway disease (i.e. feline asthma) or less likely bronchopneumonia, or other. The primary differential diagnosis for minimal pleural fissure lines is tangential beam artifact.  Scant pleural fluid (such as from evolving left-sided congestive heart failure, idiopathic or chylous effusions) is considered unlikely.   Differential diagnoses for equivocal cardiomegaly include: phase of the cardiopulmonary cycle, patient positioning/technique, individual variation of normal (especially in younger patients), or evolving cardiomyopathy (such as hypertrophic or thyrotoxic cardiomyopathy). </t>
  </si>
  <si>
    <t>Study:_x000D_
Thoracic/abdominal radiography: three images dated September 18, 2024_x000D_
_x000D_
Findings:_x000D_
The cardiac silhouette and pulmonary vasculature are normal in size. The pulmonary parenchyma is unremarkable. The pleural space is normal. There is no intrathoracic lymphadenopathy. The trachea is normal in diameter and course. There is no esophageal dilation. The stomach contains a moderate amount of unstructured heterogeneous/granular soft tissue material. Similar material is present in some small intestinal segments. The small intestines are normal in size and course. The colon contains formed fecal material with a normal diameter. The liver and spleen are normal in size and margin. The renal silhouettes are normal in size and contour. The urinary bladder is normal in size and opacity. The osseous structures are unremarkable.</t>
  </si>
  <si>
    <t>1. Gastrointestinal contents likely represent ingesta. Foreign material cannot be completely excluded given the reported hyporexia. There is no evidence of small intestinal mechanical obstruction. Repeat fasted radiography can be considered to ensure gastrointestinal emptying. Alternatively, sonography can be considered if clinical signs persist or worsen in spite of medical management._x000D_
2. Normal thorax.</t>
  </si>
  <si>
    <t>Patient Name : Mia Phillips, Date of study: Sep 18, 2024
3 images are provided for review
Feline Thorax (3 Images) - 2 Lateral, 1 Vd
There are no previous radiographs for comparison.
Pulmonary parenchyma: Presumed in the left caudal lung lobe and superimposed over the 9th intercostal space in the right lateral images, is an ill-defined, lobular soft tissue nodule.   this is suspected in the 9th intercostal space of the left lateral image, but it less well-defined subjectively. A small mineral to soft tissue focu superimposes over the cardiac silhouette, best identified in the left lateral image.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t>
  </si>
  <si>
    <t>1. Suspected ill-defined left caudal lung lobe soft tissue nodule, or unlikely superimposed structures/artifact.
- If a pulmonary nodule is present, this may be due to primary or less likely evolving metastatic neoplasia, or unlikely other.
2. Possible soft tissue/mineral focus over the right middle lung lobe versus superimposed extremal material.
- If present, consider bronchial mineral for prior/chronic disease or less likely mineralization of a neoplastic nodule, or unlikely other.
3. Minimal to mild diffuse bronchial pattern such as from fibrosis from prior disease, age-related changes, infectious/immune-mediated lower airway disease, or unlikely inhaled allergen/irritant or other.</t>
  </si>
  <si>
    <t>Consider computed tomography of the thorax for further evaluation of the suspected soft tissue nodule.  A dorsoventral radiographs may also be contributory.  Routine blood work if not recently performed prior to cross-sectional imaging.  Consider oncologist consultation depending on results.  Empirical therapy and supportive care in the interim as needed. Monitoring as directed or sooner if clinical signs acutely change, fail to improve or worsen.</t>
  </si>
  <si>
    <t>Study:_x000D_
Thoracic/abdominal radiography: three images dated September 18, 2024_x000D_
_x000D_
Findings:_x000D_
The cardiac silhouette is accentuated by pericardial fat on the VD view but is normal in size and shape. The pulmonary vasculature is normal in size. There is mild bilateral pleural effusion. On the left lateral view, there is impression of a indistinct round soft tissue opaque structure in the  caudodorsal thorax. This finding is not clearly visualized on the orthogonal view The trachea is normal in diameter. There is no apparent intrathoracic lymphadenopathy.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a 1.2 cm ovoid =ZZ92=egg shelled=ZZ92= mineral opacity in the fat of the left mid abdomen consistent with an incidental Bates bodies (nodular fat necrosis). There is mild multifocal spondylosis deformans. The patient is of overweight body condition.</t>
  </si>
  <si>
    <t>1. There is concern for a mass in the caudal dorsal thorax. Rule out pulmonary mass (primary pulmonary neoplasia) or caudal esophageal mass. The possibility that this finding is artifact created by pulling of pleural effusion in the caudodorsal thorax cannot be completely excluded. Computed tomography of the thorax can be considered for further evaluation._x000D_
2. Mild nonspecific pleural effusion. Thoracocentesis should be considered for further evaluation._x000D_
3. Incidental Bates bodies=ZZ90= otherwise, unremarkable abdomen.</t>
  </si>
  <si>
    <t>Study:_x000D_
Thoracic, abdominal and skull radiography: 11 images dated September 18, 2024_x000D_
_x000D_
Findings:_x000D_
The cardiac silhouette and pulmonary vasculature are normal in size. The pulmonary parenchyma is unremarkable. The pleural space is normal. There is no intrathoracic lymphadenopathy. The trachea is normal in diameter and course. The larynx is unremarkable. There is a small volume of gas in the esophagus. The abdominal serosal detail is normal. The stomach and small intestines are gas distended. There is a small amount of granular soft tissue material in some small intestinal segments presumed to be ingesta. The colon contains formed fecal material with a normal diameter. The liver and spleen are normal in size and margin. The renal silhouettes are normal in size and contour. There is a small mineral opacity in the left kidney. The urinary bladder is normal in size and opacity. The abdominal serosal detail is normal with no peritoneal effusion present. There is moderate T 11-T 12 spondylosis deformans. There is no intervertebral disc space or foraminal narrowing. There are no apparent vertebral fractures or luxations. There are small smoothly marginated mineral bodies proximal to the right olecranon. The nasal passages and frontal sinuses are clear. The tympanic bullae are appropriately gas filled and normal in thickness. The temporomandibular joints appear unremarkable. There are no apparent skull fractures.</t>
  </si>
  <si>
    <t>1. Unremarkable thorax. There is no radiographic evidence of thoracic trauma. A cause of the reported dyspnea is not evident._x000D_
2. Left nephrolith versus nephrocalcinosis._x000D_
3. The gas dilation of the stomach and small intestines is likely secondary to aerophagia. Nonspecific functional is is also possible._x000D_
3. Unremarkable skull. There is no radiographic evidence of skull trauma._x000D_
4. Right triceps enthesopathy.</t>
  </si>
  <si>
    <t>Computed tomography of the head and thorax can be considered for further evaluation if the patient=ZZ91=s ataxia and destroy signs persist or worsen.</t>
  </si>
  <si>
    <t>6 images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t>
  </si>
  <si>
    <t>Radiographically normal thorax for patient of this age.  Mild bronchitis or asthma cannot be excluded.  Consider an upper airway cause for the reported clinical signs.</t>
  </si>
  <si>
    <t xml:space="preserve">
1.No cardiomegaly or pulmonary vessel enlargement is noted._x000D_
2.The lungs are hyperinflated on the VD projection(s) and normally inflated on the lateral projection(s). On both the lateral and VD projection, an increase in pulmonary opacity is identified in the cranial thorax however the VD opacity is attributed to obliquity while the lateral projection is likely due to increased opacity cranial to heart due to overlying soft tissue or mediastinal fat deposition vs. exclusion of the cranial thorax from the image._x000D_
3.No pleural effusion is noted.</t>
  </si>
  <si>
    <t>Mild pulmonary hyperinflation without airway or pulmonary parenchymal change. This is likely normal lung parenchyma and the hyperinflation is due to transient struggling at the time of radiographs or thin body condition. Infrequently, this finding can be associated with a partial upper airway obstruction. No cardiomegaly or pleural fluid identified.</t>
  </si>
  <si>
    <t xml:space="preserve">
Further evaluation of the upper airway if stertor or stridor are present. Otherwise, there are no specific thoracic recommendations for these radiographs other than to repeat the VD projection if obliquity affects interpretation.</t>
  </si>
  <si>
    <t>Patient Name : Oliver Ivins, Date of study: Sep 17, 2024
3 images are provided for review
There are no previous radiographs for comparison.  Images are diffusely mottled/grainy.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t>
  </si>
  <si>
    <t xml:space="preserve">1. Minimal-mild diffuse bronchial pulmonary pattern.
- Differential diagnoses include infectious/immune-mediated lower airway disease such as from feline asthma, mycoplasma spp., bordetella spp., parasitism, viral agents, or inhaled allergen/irritant, versus artifact, or unlikely other.
</t>
  </si>
  <si>
    <t>Consider respiratory PCR panel, airway sampling, and empirical deworming/fecal analysis for further evaluation.  Empirical therapy and supportive care in the interim as needed for coughing. Monitoring as directed or sooner if clinical signs acutely change, fail to improve or worsen.</t>
  </si>
  <si>
    <t xml:space="preserve">
1.This result detects none, or less commonly equivocal/borderline to mild cardiomegaly. _x000D_
2.This result does not detect pulmonary vasculature enlargement._x000D_
3.Rarely, this result detects minimal pleural fissure lines/fluid.  _x000D_
4.This result detects a minimal to mild interstitial pulmonary pattern.  _x000D_
5.This result detects a minimal to mild, or rarely moderate bronchial pulmonary pattern._x000D_
6.Rarely, this result detects a minimal alveolar pulmonary pattern.</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</si>
  <si>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pleural fluid include: tangential beam artifact/pleural thickening, or unliklely scant pleural fluid (such as from chylous or idiopathic,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</si>
  <si>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3 views of the abdomen are provided for review.  Serosal detail is adequate in all quadrants.  The stomach contains a large amount of gas.  The small intestines are normal in size.  Gas and feces are present in the colon.  The urinary bladder is distended.  The remaining abdominal organs are normal.</t>
  </si>
  <si>
    <t>Gastric distention without any visible obstructive lesion consistent with functional ileus.  This does not rule out underlying gastroenteritis, pancreatitis, etc.</t>
  </si>
  <si>
    <t>If clinical signs persist with supportive therapy, abdominal ultrasound could be considered in further evaluation.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</si>
  <si>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Colon distended with feces._x000D_
Serosal detail is preserved._x000D_
Liver and spleen are within normal limits of size and smoothly marginated._x000D_
Kidneys and urinary bladder WNL._x000D_
_x000D_
Visible spine is unremarkable.</t>
  </si>
  <si>
    <t>1) Unremarkable lungs do not exclude a chronic lower airway disease such as asthma, chronic bronchitis or parasitic bronchitis._x000D_
2) Unremarkable abdomen.</t>
  </si>
  <si>
    <t>Consider abdominal US to further evaluate causes of decreased appetite and weight loss._x000D_
Consider empirical treatment for asthma or chronic bronchitis evaluating response to treatment. If clinical signs persist, consider a bronchoscopy with BAL, culture, cytology, Baermann test and deworming.</t>
  </si>
  <si>
    <t>Orthogonal views of the thorax are provided:_x000D_
_x000D_
Thorax:_x000D_
_x000D_
No signs of tracheal collapse._x000D_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limits._x000D_
_x000D_
Signs of cervical chronic IVDD._x000D_
Liver extends beyond the costal arch with sharp margins.</t>
  </si>
  <si>
    <t>1) Lack of visualization of tracheal collapse does not exclude this differential (especially taking into account the breed). Unremarkable lungs do not exclude a bronchitis of allergic vs inflammatory/infectious or parasitic origin. _x000D_
2) Hepatomegaly: Metabolic vs Vacuolar infiltration vs Hepatic nodular hyperplasia vs Inflammatory vs Toxic vs Neoplastic or a combination of these differentials.</t>
  </si>
  <si>
    <t>Consider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If negative, consider empirical treatment for chronic bronchitis._x000D_
Consider abdominal US to further evaluate the liver as well as a full neuro exam with MRI if necessary.</t>
  </si>
  <si>
    <t>THORAX (3 images):
Images are dated September 17, 2024.
Pulmonary parenchyma: A minimal to mild diffuse bronchial pattern is present. Minimal interstitial pattern is present, most severe in the right cranial lung in the left lateral image.  No obvious alveolar pattern is identified.
Pulmonary vasculature: The pulmonary vasculature is subjectively normal in size and tapers in the periphery of the lungs.
Cardiac silhouette: The cardiac silhouette is subjectively enlarged and tall in the left lateral image, and rounded in the ventrodorsal image, possibly exacerbated by obliquity.
Mediastinum: The cranial mediastinum is normal.
Trachea: The trachea is normal.
Esophagus: The esophagus is not well-identified.
Pleural space: The pleural space is normal.
Musculoskeletal: The included musculoskeletal structures are normal.</t>
  </si>
  <si>
    <t xml:space="preserve">1. Minimal-mild diffuse bronchial and interstitial pulmonary patterns.
- Differential diagnoses include fibrosis from prior disease, hypoinflation, age-related changes, or infectious/immune-mediated lower airway disease, or unlikely other.
2. No obvious alveolar patterns, such as from bronchopneumonia.
3. Suspected cardiomegaly versus artifact from positioning and phase of the cardiopulmonary cycle.
- If present, consider hypertrophic cardiomyopathy or less likely congenital anomaly given relatively young patient age.
- No evidence of congestive heart failure.  </t>
  </si>
  <si>
    <t>Continue empirical therapy and supportive care for 1-2 weeks past radiographic resolution of suspected bronchopneumonia.  Consider echocardiography, eCg and blood pressure, especially if a murmur is later identified. Monitoring as directed or sooner if clinical signs acutely change, fail to improve or worsen.</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</si>
  <si>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t>
  </si>
  <si>
    <t>Radiographically normal thorax for patient of this age.</t>
  </si>
  <si>
    <t xml:space="preserve">
1.This result detects equivocal/borderline to moderate cardiomegaly. _x000D_
2.This result detects a minimal to mild, or rarely moderate interstitial pulmonary pattern.  _x000D_
3.This result detects a mild to moderate bronchial pulmonary pattern._x000D_
4.Rarely, this result detects a minimal alveolar pulmonary pattern._x000D_
5.Rarely, this result detects pulmonary soft tissue nodules._x000D_
6.This result does not detect pulmonary vasculature enlargement._x000D_
7.This result does not detect pleural fissure lines/fluid.  </t>
  </si>
  <si>
    <t>Some bronchial patterns may mimic pulmonary soft tissue nodules due to bronchial plugging, or granuloma from prior disease.  This may be exacerbated if technical errors/artifacts (obliquity, motion, etc.) are present in the image. If present,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or patients with historic infectious/inflammatory lower airway disease. Granulomatous/fungal disease (such as blastomycosis spp.) is unlikely, unless the patient has an appropriate travel/exposure history.  If the patient has respiratory clinical signs, then differential diagnoses for mixed bronchial and interstitial pulmonary patterns include: immune-mediated lower airway disease (i.e. feline asthma) or infectious lower airway disease (such as mycoplasma spp., parasitism, viral, or other), versus evolving left-sided congestive heart failure, or less 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evovling left-sided congestive heart failure, or unlikely evolving neoplasia, bronchopneumonia, or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</si>
  <si>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 xml:space="preserve">
If the patient is dyspneic, or has severe or progressive respiratory clinical signs, consider therapy for left-sided congestive heart failure with diuretic trial and oxygen therapy.  Repeat thoracic radiographs after 4-6 hours to evaluate for resolution of radiographic findings,  and monitor for clinical improvement._x000D_
If the patient has clinical signs consistent with active infectious/inflammatory lower airway disease, then consider empirical therapy and supportive care in the interim as needed._x000D_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</si>
  <si>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3 views of the entire body are provided for review. There is a severe bronchial pattern in all lung lobes.  Patchy alveolar opacity is present in the right caudal, left caudal, and caudal subsegment of the left cranial lung lobes.  The cardiac silhouette is overall normal in size.  The right caudal lobar artery is dilated, visible on the VD view.  The mediastinal and pleural structures are normal.  Abdominal serosal detail is adequate in all quadrants.  The stomach contains a large amount of gas.  The small intestines are normal in size.  Gas and feces are present in the colon.  The urinary bladder is small.  The remaining abdominal organs are normal.</t>
  </si>
  <si>
    <t>Radiographically normal abdomen.  Severe bronchial pulmonary pattern with a patchy alveolar pulmonary pattern.  Considerations include asthma, heartworm, lungworm, atypical infection, bronchitis.  An unusual distribution of neoplasia such as bronchogenic carcinoma cannot be excluded.  Right caudal lobar arterial enlargement is concerning for pulmonary hypertension or heartworm disease.</t>
  </si>
  <si>
    <t>Consider additional empiric therapy versus further diagnostics such as heartworm testing, Baermann fecal, airway sampling.</t>
  </si>
  <si>
    <t xml:space="preserve">
1.This result detects a minimal to mild, or uncommonly moderate interstitial pulmonary pattern.  _x000D_
2.This result detects a moderate to severe bronchial pulmonary pattern._x000D_
3.Uncommonly, this result detects a minimal to mild alveolar pulmonary pattern._x000D_
4.Uncommonly, this result detects pulmonary soft tissue or cavitary nodules._x000D_
5.This result detects equivocal/borderline to mild cardiomegaly. _x000D_
6.This result does not detect pulmonary vasculature enlargement._x000D_
7.Rarely, this result detects minimal pleural fissure lines/fluid.  </t>
  </si>
  <si>
    <t xml:space="preserve">Some bronchial patterns may mimic pulmonary soft tissue nodules due to bronchial plugging, or granuloma from prior disease.   Some alveolar patterns may mimic pulmonary soft tissue nodules or masses.  If a lesion is producing a mass effect, with mediastinal displacement contralateral to the lesion, a mass is prioritized.  If the patient is young, and/or a mediastinal shift is present ipsilateral to the lesion, an alveolar pattern is prioritized. This may be exacerbated if technical errors/artifacts (obliquity, motion, etc.) are present in the image. If present,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or patients with historic infectious/inflammatory lower airway disease. Granulomatous/fungal disease (such as blastomycosis spp.) is unlikely, unless the patient has an appropriate travel/exposure history.  If the patient has respiratory clinical signs, then differential diagnoses for a predominantly bronchial pulmonary pattern include: immune-mediated lower airway disease (i.e. feline asthma) or infectious lower airway disease (such as mycoplasma spp., parasitism, viral, or other).  Additional differential diagnoses include evolving neoplasia such as an ill-defined primary carcinoma versus metastatic disease (especially if nodules or masse are also present), or less likely evolving left-sided congestive heart failure, or inhaled allergen/irritant.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evolving neoplasia, less likely bronchopneumonia, or unlikely other. The primary differential diagnosis for minimal pleural fissure lines is tangential beam artifact.  Scant pleural fluid (such as from malignant, idiopathic or chylous, or other effusions) is considered unlikely.   Differential diagnoses for equivocal cardiomegaly include: phase of the cardiopulmonary cycle, patient positioning/technique, individual variation of normal (especially in younger patients), or evolving cardiomyopathy (such as hypertrophic or thyrotoxic cardiomyopathy). </t>
  </si>
  <si>
    <t xml:space="preserve">
If the patient has clinical signs consistent with bronchopneumonia or active infectious/inflammatory lower airway disease, then consider empirical therapy and supportive care in the interim as needed._x000D_
Consider computed tomography of the thorax for further evaluation of pulmonary soft tissue nodules/masses.  Consider tissue sampling if lesions are confirmed, and oncologist consultation depending on results._x000D_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</si>
  <si>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Seven images are provided.
Images are dated September 17, 2024.
Bones/Joints:
The right elbow is normal.  
The right shoulder is normal.
Centered in the left proximal humeral metaphysis is a well-defined geographic lucent lesion with an ovoid shape and short-zone of transition into the proxima/mid-diaphysis.  The proxima/lateral left humeral cortex is thin in the craniocaudal image.  Ovoid, well-defined lucent foci are over this region in the lateral image, with a multicameral appearance.
The left elbow is normal.  
The included left carpus, metacarpus and digits are normal. 
There is no evidence of medullary sclerosis, endosteal scalloping, or periosteal proliferation.
Soft tissues:  A well-defined ovoid mineral focus is in the soft tissues lateral to the left proximal humerus.  The soft tissues of the left brachium and antebrachium are subjectively circumferentially enlarged. The remaining included soft tissues are normal.</t>
  </si>
  <si>
    <t>1. Left proximal humeral metaphyseal-diaphyseal geographic lucent lesion with multicameral appearance and thinning of the lateral cortex.
- This is suspicious for a bone cyst lesion, versus failure and endochondral ossification/congenital injury/anomaly, or unlikely osteomyelitis or evolving neoplasia, or other.
2. Left proximal humeral soft tissue mineralization due to dystrophic mineralization and soft tissue injury, secondary center of ossification, osteoma/osteochondroma, or unlikely other.
3. Left brachial/antebrachial soft tissue swelling such as from recent injury/trauma, or secondary to left proximal humeral lesion, or unlikely other.</t>
  </si>
  <si>
    <t>Consider cross-sectional imaging (MRI or less preferred computed tomography) for further evaluation of the left proximal humeral lesion.   Routine blood work and thoracic imaging for further evaluation prior to advanced imaging.  Consider surgical intervention (curettage with histopathology/culture) versus bone-biopsy depending on results of advanced imaging.  Oncologist consultation if an underlying malignancy is confirmed. At least one case report of a left proximal unicameral bone cyst in a feline patient with curettage and later identified neoplastic transformation (Berger B, Brühschwein A, Eddicks L, Meyer-Lindenberg A. Malignant transformation of a unicameral bone cyst in a cat. Can Vet J. 2016 Apr;57(4):377-81).
 Empirical therapy and supportive care in the interim as needed.  Monitoring as directed, or sooner if clinical signs acutely change, fail to improve or worsen.</t>
  </si>
  <si>
    <t>A three view study of the thorax including the neck is provided._x000D_
_x000D_
No laryngeal/pharyngeal or tracheal abnormalities are identified._x000D_
There is mild caudal retraction involving the cranial margin of both cranial lung lobes, with mild irregularity of the pleural margins and suspicion of pleural fluid pocketing in the cranial. There is a lobular soft tissue shadow involving the lateral periphery of the cranial subsegment of the right cranial lung lobe, pleural and pulmonary involvement is suspected in this area. This shadow creates a small mass effect in the range of approximately 3 cm. The other lung fields have a moderate bronchial pulmonary pattern. In the left lateral view there is a linear shadow suspected to represent a discrete this role pleural margin in the caudal dorsal costophrenic recess that is suspicious for a small pocket of free pleural air. This is not definitive, since the appearance is unusual._x000D_
_x000D_
The right kidney is small, with normal shape and smooth margins. The other cranial abdominal organs are within normal limits.</t>
  </si>
  <si>
    <t>There is a moderate diffuse bronchial pattern consistent with chronic lower airway disease such as asthma. Parasitic infection such as lower could appear similar. Infectious bronchitis cannot be excluded but is felt less likely._x000D_
_x000D_
There is additional radiographic abnormality involving the right cranial lung and pleural space that is not typical of chronic lower airway disease. There is a lobular mass effect in this area, and a small quantity of pleural fluid._x000D_
The appearance is most concerning for neoplasia. Granuloma secondary to parasitic or atypical infectious agents cannot be excluded.</t>
  </si>
  <si>
    <t>More than one pathology is likely present in this patient, such as pre-existing asthma with a developing pulmonary tumor._x000D_
A single etiologies such as lungworms, heartworm disease, fungal or protozoal pneumonia, or granuloma/abscess secondary to an aspirated foreign body or penetrating wound cannot be excluded._x000D_
_x000D_
CT would be helpful for more definitive anatomic evaluation._x000D_
If this is not an option it is likely the right cranial lobe lesion could be identified with ultrasound for possible FNA and cytology._x000D_
_x000D_
CBC, Baermann fecal exam for lungworms, and heartworm testing is recommended.</t>
  </si>
  <si>
    <t xml:space="preserve">
1.This result does not detect pulmonary vasculature enlargement._x000D_
2.This result detects equivocal/borderline to mild, or rarely moderate cardiomegaly. _x000D_
3.This result detects none, or a minimal to mild interstitial pulmonary pattern.  _x000D_
4.This result detects none, or a minimal to mild bronchial pulmonary pattern._x000D_
5.Rarely, this result detects a minimal alveolar pulmonary pattern._x000D_
6.This result does not detect pulmonary soft tissue nodules._x000D_
7.This result does not detect pleural fissure lines/fluid.  </t>
  </si>
  <si>
    <t>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or less likely evolving neoplasia (metastatic/multicentric)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especially if a mediastinal shift ipsilateral to the pattern is present), or unlikely bronchopneumonia, or evolving neoplasia or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</si>
  <si>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Thorax and abdomen. Five radiographs (two lateral, three VD) dated September 16, 2024 are provided._x000D_
_x000D_
Cardiac silhouette: The cardiac silhouette is within normal limits in size and shape._x000D_
Pulmonary vessels: The pulmonary arteries and veins are small in size._x000D_
Pulmonary parenchyma: The pulmonary parenchyma is normal with no abnormal pulmonary patterns, nodules, or masses._x000D_
Pleural space: The pleural space is within normal limits._x000D_
Mediastinum: The mediastinum is normal in width and opacity. There is no evidence of intrathoracic lymphadenopathy._x000D_
Trachea: The trachea is normal in diameter and course._x000D_
Esophagus: The region of the esophagus is within normal limits._x000D_
_x000D_
Gastrointestinal tract: The stomach contains a small volume of heterogeneous ingesta admixed with gas. The small intestine is within normal limits of diameter containing gas and soft tissue opacity. The colon contains a small volume of loosely formed feces and gas._x000D_
Liver: The liver is normal in size and shape._x000D_
Spleen: The spleen is within normal limits._x000D_
Urinary: The left kidney is small in size with undulating margins. There is a punctate mineral calculus superimposed with the caudal pole of the left kidney. The urinary bladder is normal in size and opacity._x000D_
Peritoneal space: There is heterogeneous soft tissue opacity between the head of the spleen and left kidney on the ventrodorsal views._x000D_
_x000D_
Musculoskeletal: There is moderate spondylosis deformans of the cranial to mid thoracic spine and lumbosacral junction. The superficial soft tissues are within normal limits.</t>
  </si>
  <si>
    <t>1. Chronic left renal disease with small left kidney and punctate nephrolith._x000D_
2. Unremarkable urinary bladder, with no evidence of cystolithiasis._x000D_
3. Small pulmonary vessels are suggestive of hypovolemia/dehydration. The thorax is otherwise normal._x000D_
-A flow murmur may account for reported murmur given normal proBNP._x000D_
4. There is heterogeneous ingesta in the stomach. Given the history of poor appetite, clinical correlation with the most recent meal prior to radiographs is recommended._x000D_
5. The heterogenous focus in the left cranial abdomen likely represents the pancreas. This appearance is occasionally noted in normal patients=ZZ90= however, pancreatitis should be considered.</t>
  </si>
  <si>
    <t>An abdominal ultrasound is recommended to further evaluate the gastrointestinal tract. If not already performed an fPL and urinary culture and sensitivity could be considered. If a murmur persists or proBNP is becomes elevated, an echocardiogram, ECG, and blood pressure would be recommended.</t>
  </si>
  <si>
    <t>Three radiographs of the thorax are provided. Cardiovascular structures are normal size. There is a mild bronchial pattern throughout the lungs. There are a few suspect thin-walled air-filled cavitary lesions measuring up to 1.4 cm in the caudal lungs on the right lateral view. No pleural effusion or intrathoracic lymphadenomegaly. Normal cranial abdomen.</t>
  </si>
  <si>
    <t>Mild bronchial pattern most consistent with chronic airway inflammation such as asthma. Possible cavitary lesions versus artifact caused by silhouetting bronchial markings. True cavitary lesions could be due to parasitism such as lung worms.</t>
  </si>
  <si>
    <t>Empiric anthelmintic such as fenbendazole should be considered.</t>
  </si>
  <si>
    <t xml:space="preserve">
1.Rarely,  this result detects minimal pleural fissure lines/fluid.  _x000D_
2.This result detects mild to moderate, or less commonly equivocal/borderline cardiomegaly._x000D_
3.This result detects minimal to mild, mixed interstitial and bronchial pulmonary patterns._x000D_
4.This result does NOT detect an alveolar pulmonary pattern.  </t>
  </si>
  <si>
    <t>THORAX (3 images):
Images are dated September 17, 2024.
Pulmonary parenchyma: A minimal to mild diffuse bronchial pattern is present.
Pulmonary vasculature: The pulmonary vasculature is subjectively normal in size and tapers in the periphery of the lungs.
Cardiac silhouette: The cardiac silhouette is equivocal tall in the lateral images.  The cardiac silhouette is equivocally widened at its base in the ventrodorsal image.
Mediastinum: The cranial mediastinum is normal.
Trachea: The trachea is normal.
Esophagus: The esophagus is not well-identified.
Pleural space: The pleural space is normal.
Musculoskeletal: The included musculoskeletal structures are normal.</t>
  </si>
  <si>
    <t>1. Minimal diffuse bronchial pulmonary pattern due to fibrosis from prior disease, age-related changes, infectious/immune-mediated lower airway disease (feline asthma, mycoplasma spp. versus other), or unlikely other.
2. Equivocal generalized cardiomegaly such as from congenital anomaly (atrial septal defect or unlikely other), or unlikely acquired cardiomyopathy or less likely other.
- There is no current evidence of left-sided congestive heart failure.</t>
  </si>
  <si>
    <t xml:space="preserve"> Consider respiratory PCR panel, airway sampling, and fecal analysis/deworming for further evaluation, especially if reported signs/coughing fail to improve with empirical therapy/supportive care.  Consider computed tomography of the head and rhinoscopy for further evaluation of sneezing signs.  Echocardiography, eCG and blood pressure may be beneficial if a murmur is later identified.    Empirical therapy and supportive care in the interim as needed for non-specific rhinitis and upper respiratory disease signs as reported. Monitoring as directed or sooner if clinical signs acutely change, fail to improve or worsen.</t>
  </si>
  <si>
    <t>Study:_x000D_
Thoracic/abdominal, pelvic and pelvic limb radiography: four images dated September 16, 2024_x000D_
_x000D_
Findings:_x000D_
The cardiac silhouette and pulmonary vasculature are normal in size. The pulmonary parenchyma is unremarkable. The pleural space is normal. There is no intrathoracic lymphadenopathy. The trachea is normal in diameter. The abdominal serosal detail is normal with no apparent peritoneal effusion present.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image spine is unremarkable. There is no intervertebral disc space or foraminal narrowing. There are no vertebral fractures or luxations. On the VD view, the ilium appears cranially displaced relative to the sacrum bilaterally. The coxofemoral joints are normal with good coverage of the femoral head by the acetabulum bilaterally. The stifle joints are unremarkable. The included right tarsus and pes are unremarkable.</t>
  </si>
  <si>
    <t>1. Bilateral sacroiliac luxation suspected. The possibility that this finding is artifact created by patient positioning cannot be completely excluded. A sedated VD view centered on the pelvis with the pelvic limbs extended can be considered to evaluate the repeatability of this finding. Alternatively, computed tomography can be considered for further evaluation._x000D_
2. Unremarkable thorax. There is no radiographic evidence of thoracic trauma._x000D_
3. Unremarkable abdomen. There is no evidence of abdominal trauma.</t>
  </si>
  <si>
    <t>Study:_x000D_
Thoracic/abdominal radiography: left lateral VD views (two images) dated September 16,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gas and poorly formed fecal material. The liver and spleen are normal in size and margin. The left kidney is small with smooth margins. The right kidney is normal in size. The urinary bladder is normal in size and opacity. There is variable mild to moderate multifocal spondylosis deformans. The patient is of overweight body condition.</t>
  </si>
  <si>
    <t>1. Small size of the left kidney is consistent with the reported chronic kidney disease._x000D_
2. The abdomen is otherwise unremarkable. Abdominal sonography and a G.I. panel can be considered to further evaluate for an enteropathy to explain the reported weight loss hyporexia._x000D_
3. Unremarkable thorax. There is no radiographic evidence of cardiopulmonary disease.</t>
  </si>
  <si>
    <t>Four radiographs of the thorax/abdomen are provided. The cardiac silhouette and pulmonary vessels are normal size and shape. There are mild bronchial markings in the lungs. No pleural effusion. Hazy increased opacity cranioventral to the heart is incidental fat deposition. Fat deposition also encircles the heart on the VD view. Normal tracheal diameter. No esophageal dilation. In the abdomen there is moderate volume soft tissue opaque ingesta in the stomach. Intestines are mildly filled. Normal-sized liver, spleen, kidneys. Slight blunted caudolateral aspect of the left kidney is likely incidental previous infarct. No radiopaque urolithiasis. Serosal detail is adequate. Osseous structures are unremarkable.</t>
  </si>
  <si>
    <t>Mild bronchial pattern suggestive of chronic airway inflammation such as asthma. This is the most likely cause for coughing. Otherwise normal thorax and abdomen.</t>
  </si>
  <si>
    <t>Since the patient is not improving with treatment for asthma, airway cytology may be necessary.</t>
  </si>
  <si>
    <t xml:space="preserve">
1.This result detects minimal to mild, mixed interstitial and bronchial pulmonary patterns._x000D_
2.This result does NOT detect an alveolar pulmonary pattern.  _x000D_
3.This result does NOT detect soft tissue pulmonary nodules._x000D_
4.This result detects minimal/equivocal to moderate cardiomegaly._x000D_
5.Rarely, this result detects minimal to mild pleural fissure lines/fluid.</t>
  </si>
  <si>
    <t>Study:_x000D_
Thoracic radiography: three images dated September 16, 2024_x000D_
_x000D_
Findings:_x000D_
The cardiac silhouette and pulmonary vasculature are normal in size. There is a mild increase in the conspicuity the walls of the small caliber bronchi in the caudodorsal lung fields. The pleural space is normal. There is no intrathoracic lymphadenopathy. The trachea is normal in diameter and course. The included abdomen is normal. The osseous structures are unremarkable.</t>
  </si>
  <si>
    <t>The mild caudodorsal bronchial pulmonary pattern may indicate allergic/inflammatory bronchitis (asthma). Infectious, parasitic and irritant bronchitis are also possible. Infectious respiratory disease PCR testing, airway sampling plus/minus heartworm testing and Baermann fecal flotation can be considered for further evaluation.</t>
  </si>
  <si>
    <t>Eleven radiographs are provided, with images of the thorax, abdomen, pelvic limbs. The cardiac silhouette is upper normal size. Pulmonary vessels are normal size. There is a mild bronchial pattern throughout the lungs. No pleural effusion or intrathoracic lymphadenomegaly. Normal thoracic spine and proximal thoracic limbs._x000D_
_x000D_
In the abdomen there is no effusion or organomegaly. The gastrointestinal tract is moderately filled. No radiopaque urolithiasis. Narrowed L2-3 intervertebral disc space. There is slight degenerative change in the coxofemoral joints. Pelvic limb musculature is symmetric. Patellar location is normal. There is small volume fluid in the cranial aspect of the left stifle joint. There is a small smoothly marginated mineral density in the cranial aspect of both stifle joints, measuring 0.5 cm on the left, and 0.2 cm on the right. No popliteal lymphadenomegaly. No tarsal, metatarsal, phalangeal osseous or soft tissue abnormalities.</t>
  </si>
  <si>
    <t>1. Mild left stifle effusion, most consistent with partial cranial cruciate ligament tear. This is the most likely cause for lameness. The mineral density in the stifle joints is incidental meniscal mineralization._x000D_
2. The appearance of L2-3 is suggestive of intervertebral disc disease. A lateralized lesion could also cause pelvic limb lameness._x000D_
3. Mild bronchial pattern most consistent with chronic airway inflammation such as asthma. No other thoracic abnormalities.</t>
  </si>
  <si>
    <t>This patient may benefit from anti-inflammatories. If lameness is progressive and the patient develops palpable stifle instability, surgical stabilization of the stifle would be recommended at that time.</t>
  </si>
  <si>
    <t xml:space="preserve">
1.This result detects a minimal to mild interstitial pulmonary pattern.  _x000D_
2.This result detects a minimal to mild, or rarely moderate bronchial pulmonary pattern._x000D_
3.This result does not detect an alveolar pulmonary pattern._x000D_
4.This result does not detect pulmonary soft tissue nodules._x000D_
5.This result detects equivocal/borderline to mild cardiomegaly. _x000D_
6.This result does not detect pulmonary vasculature enlargement._x000D_
7.Rarely, this result detects minimal pleural fissure lines/fluid.</t>
  </si>
  <si>
    <t>If the patient has respiratory clinical signs, then the primary differential diagnoses for mixed bronchial and interstitial pulmonary patterns are immune-mediated lower airway disease (i.e. feline asthma) or infectious lower airway disease (such as mycoplasma spp., parasitism, viral, or other).  Additional differential diagnoses include inhaled allergen/irritant.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The primary differential diagnosis for minimal pleural fissure lines is tangential beam artifact.  Scant pleural fluid (such as from idiopathic or chylous effusions) is considered unlikely.   Differential diagnoses for cardiomegaly include: hypertrophic or thyrotoxic cardiomyopathy in a mature or older patient, or congenital anomaly in a very young patient, or unlikely heartworm disease (unless in edemic areas), versus phase of the cardiopulmonary cycle, patient positioning/technique, or individual variation of normal (especially in younger patients).</t>
  </si>
  <si>
    <t xml:space="preserve">
If respiratory clinical signs (e.g. coughing) are present, consider empirical therapy and supportive care for infectious and/or immune-mediated lower airway disease in the interim.  Consider also airway sampling, fecal analysis/empirical deworming, and respiratory PCR panel._x000D_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</si>
  <si>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Three radiographs of the thorax, and three views of the abdomen are provided. The cardiac silhouette and pulmonary vessels are normal size and shape. The lungs are clear. Small area of slight increased opacity cranial and to the right of the heart on the VD projection, not definitively seen on the left lateral view. Fat deposition separates the heart from the sternum. No pleural effusion. No esophageal dilation._x000D_
_x000D_
In the abdomen peritoneal and retroperitoneal detail is adequate. Small volume formed feces fills the colon. The stomach and small bowel are diffusely minimally distended. No radiopaque foreign material or intestinal plication/bunching. Normal-sized liver, spleen, kidneys. No radiopaque cystic calculi.</t>
  </si>
  <si>
    <t>Focal increased opacity overlying the cranial right thorax on the VD projection is most likely incidental pleural fat deposition and normal pulmonary vessels. Focal aspiration pneumonia is given lesser consideration in the absence of coughing, pyrexia, or hyporexia. Otherwise normal thorax and abdomen. There is no evidence of gastrointestinal foreign material or an obstructive process. Small radiolucent gastric foreign material/trichobezoar is not definitively ruled out.</t>
  </si>
  <si>
    <t>Recommend CBC, blood chemistry profile, and supportive care. Based on lab work results and patient response, further litigation with abdominal ultrasound may be indicated.</t>
  </si>
  <si>
    <t>Five radiographs of the thorax/abdomen are provided. The cardiac silhouette and pulmonary vessels are normal size and shape. Fat deposition is seen along the right side of the heart on the VD projections. There are no abnormalities in the pulmonary parenchyma or pleural space. In the abdomen, formed feces fills the colon. The stomach and small bowel are mildly filled. There is no effusion. Normal-sized liver, spleen, kidneys. No radiopaque cystic calculi. Mild degenerative change in the coxofemoral joints.</t>
  </si>
  <si>
    <t>Normal thorax and abdomen. There is no evidence of gastrointestinal obstruction or aspiration pneumonia.</t>
  </si>
  <si>
    <t>Visual inspection of the pharyngeal/laryngeal region could be considered.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</si>
  <si>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small.  An irregular mineral structures present in the area of the left renal pelvis.  The right kidney is small.  The remaining abdominal organs are normal.</t>
  </si>
  <si>
    <t>Left nephrolith.  Small right kidney suggestive of chronic renal disease.  Radiographically normal thorax for patient of this age.</t>
  </si>
  <si>
    <t xml:space="preserve">
1.This result detects equivocal/borderline to mild, or rarely moderate cardiomegaly._x000D_
2.This result detects a minimal to mild bronchial pulmonary pattern._x000D_
3.This result detects a minimal to mild interstitial pulmonary pattern._x000D_
4.This result does NOT detect an alveolar pulmonary pattern._x000D_
5.This result does NOT detect pulmonary soft tissue nodules._x000D_
6.This result does NOT detect pleural fissure lines.</t>
  </si>
  <si>
    <t>Five orthogonal survey radiographs of the thorax and abdomen dated 16th September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mildly enlarged with smooth borders. The spleen is normal. The kidneys are partially obscured by gastrointestinal contents, but the visible aspect are normal. The stomach is mainly empty with a caudally displaced axis. The small intestines are distributed evenly and are within normal limits for shape, size and contents. The ascending, transverse and descending colon have a normal position. The ascending colon is mildly gas dilated. The descending colon contains gradually more formed faeces. The urinary bladder is filled. The serosal detail is normal._x000D_
_x000D_
Musculoskeletal findings: No significant abnormalities are detected.</t>
  </si>
  <si>
    <t>Mild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</si>
  <si>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No imaging findings can explain the acute onset anaemia. Further medical workup is advised.</t>
  </si>
  <si>
    <t xml:space="preserve">
1.The lungs are hyperinflated on the VD projection(s) and normally inflated on the lateral projection(s). On both the lateral and VD projection, an increase in pulmonary opacity is identified in the cranial thorax however the VD opacity is attributed to obliquity while the lateral projection is likely due to increased opacity cranial to heart due to overlying soft tissue or mediastinal fat deposition vs. exclusion of the cranial thorax from the image._x000D_
2.No cardiomegaly or pulmonary vessel enlargement is noted._x000D_
3.No pleural effusion is noted.</t>
  </si>
  <si>
    <t>Three radiographs of the thorax and three views of the abdomen are provided. The heart is a normal size and shape. The heart lies relatively flat along the sternum on the lateral views, an incidental aged feline variant. Pulmonary vessels are normal size. There are no abnormalities in the pulmonary parenchyma or pleural space. Normal thoracic spine._x000D_
_x000D_
In the abdomen the liver, spleen, and kidneys are normal size and shape. Small volume minimally formed feces in the colon. A few punctate mineral densities in the colon are likely simple. Stomach and small bowel are minimally filled. No radiopaque urolithiasis. Serosal detail is normal. Narrowed L5-6 intervertebral disc space. The coxofemoral joints are congruent.</t>
  </si>
  <si>
    <t>1. The appearance of L5-6 is suggestive of a protruding/extruded intervertebral disc. This may be responsible for the discomfort._x000D_
2. Probable diarrhea. No other intra-abdominal abnormalities._x000D_
3. Normal thorax.</t>
  </si>
  <si>
    <t>If there are no neurologic deficits and discomfort can be medically managed, this patient may benefit from anti-inflammatories and strict rest. Otherwise or if discomfort persists, consultation with a neurologist and advanced spinal imaging such as MRI may be necessary.</t>
  </si>
  <si>
    <t xml:space="preserve">
1.This result detects mild to moderate, or rarely severe cardiomegaly._x000D_
2.This result detects a minimal to mild or rarely moderate bronchial pulmonary pattern._x000D_
3.This result detects a minimal to mild or rarely moderate interstitial pulmonary pattern._x000D_
4.Rarely, this result detects a minimal to mild alveolar pulmonary pattern._x000D_
5.Rarely, this result detects minimal pleural fissure lines.</t>
  </si>
  <si>
    <t>Three radiographs of the thorax and three views of the abdomen are provided. The cardiac silhouette and pulmonary vessels are normal size. Equivocal faint bronchial markings, of doubtful significance. There are no soft tissue pulmonary nodules or enlarged intrathoracic lymph nodes. No pleural effusion. Mild degenerative change in the elbows._x000D_
_x000D_
In the abdomen the left kidney is reduced in size with blunted cranial margin. Normal-sized right kidney, spleen, liver. The stomach contains gas and small to moderate volume soft tissue opaque ingesta. Small and large bowel are minimally filled. No radiopaque urolithiasis. Moderate degenerative change in the coxofemoral joints.</t>
  </si>
  <si>
    <t>1. Small to moderate volume gastric contents appears to be normal ingesta, however is unexpected with the history provided. Foreign material is not ruled out but is given lesser consideration in the absence of vomiting._x000D_
2. Small misshapen left kidney, likely chronic renal disease._x000D_
3. Normal thorax.</t>
  </si>
  <si>
    <t>Recommend supportive care and repeat fasted abdominal radiographs +/- positive contrast gastrogram to rule out gastric foreign material. Otherwise, there is no contraindication for general anesthesia based on this study.</t>
  </si>
  <si>
    <t xml:space="preserve">
1.Rarely, this result detects a minimal to mild interstitial pulmonary pattern._x000D_
2.Rarely, this result detects a minimal alveolar pulmonary pattern._x000D_
3.Uncommonly, this result detects a minimal to mild bronchial pulmonary pattern._x000D_
4.Negative for pulmonary vasculature enlargement._x000D_
5.Cardiac silhouette: Normal in most cases; rarely, minimal to mild generalized cardiomegaly is present._x000D_
6.Negative for pleural fissure lines/pleural fluid.</t>
  </si>
  <si>
    <t>Three radiographs of the thorax are provided. The abdomen is included on the lateral views. The cardiac silhouette is mildly enlarged. There is a diffuse severe interstitial pattern in the mid and ventral lungs. No pleural effusion. Adequate tracheal diameter. In the abdomen there is no effusion. One of the kidneys has a blunted caudal pole suggestive of previous infarct, of doubtful significance today. The kidneys, spleen, and liver are normal size. The gastrointestinal tract is minimally filled. No radiopaque urolithiasis.</t>
  </si>
  <si>
    <t>Mild cardiomegaly. In a young patient, congenital cardiac abnormality is the top differential. Severe interstitial to alveolar pattern is most likely pulmonary edema indicating cardiac decompensation. Cardiac disease with concurrent pneumonia is given lesser consideration. The abdomen is normal.</t>
  </si>
  <si>
    <t>Recommend diuretic administration, and an echocardiogram.</t>
  </si>
  <si>
    <t xml:space="preserve">
1.This result does not detect pulmonary vasculature enlargement._x000D_
2.This result does not detect pleural fissure lines/fluid.  _x000D_
3.This result detects a minimal to mild, or rarely moderate interstitial pulmonary pattern.  _x000D_
4.This result detects a mild to moderate, or rarely severe bronchial pulmonary pattern._x000D_
5.Uncommonly, this result detects a minimal to mild alveolar pulmonary pattern._x000D_
6.Rarely, this result detects pulmonary soft tissue nodules._x000D_
7.This result detects equivocal/borderline to mild, or rarely moderate cardiomegaly. </t>
  </si>
  <si>
    <t>If the patient is acutely dyspneic or has severe or progressive respiratory clinical signs, rule out left-sided congestive heart failure.   Some bronchial patterns may mimic pulmonary soft tissue nodules due to bronchial plugging, or granuloma from prior disease.   Some alveolar patterns may mimic pulmonary soft tissue nodules or masses.  If a lesion is producing a mass effect, with mediastinal displacement contralateral to the lesion, a mass is prioritized.  If the patient is young, and/or a mediastinal shift is present ipsilateral to the lesion, an alveolar pattern is prioritized. This may be exacerbated if technical errors/artifacts (obliquity, motion, etc.) are present in the image. If present,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or patients with historic infectious/inflammatory lower airway disease. Granulomatous/fungal disease (such as blastomycosis spp.) is unlikely, unless the patient has an appropriate travel/exposure history.  If the patient is not dyspneic but has respiratory clinical signs, then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or less likely evolving neoplasia (metastatic/multicentric) or unlikely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bronchopneumonia (especially if no mediastinal shift ipsilateral to the pattern is present), atelectasis or bronchial plugging such as from concurrent infectious/inflammatory lower airway disease (i.e. feline asthma) or unlikely evolving neoplasia or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</si>
  <si>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 xml:space="preserve">
If the patient has clinical signs consistent with bronchopneumonia and/or active infectious/inflammatory lower airway disease, then consider empirical therapy and supportive care in the interim as needed. Monitor resolution of alveolar pattern with serisal radiographs, especially if signs fail to improve or worsen in the face of empirical therapy for bronchopneumonia._x000D_
If pulmonary nodules or masses are present/suspected, then consider computed tomography of the thorax for further evaluation.  Consider tissue sampling if lesions are confirmed, and oncologist consultation depending on results._x000D_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</si>
  <si>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WHOLE-BODY (3 radiographs are available for review)._x000D_
_x000D_
- Peritoneal serosal detail is normal. _x000D_
- The stomach contains mild gas and gas-stippled soft-tissue opaque material._x000D_
- The small intestine contains mild multifocal gas and soft-tissue opaque material._x000D_
- The colon contains formed fecal material and gas. _x000D_
- The liver, spleen, kidneys and urinary bladder are normal._x000D_
- The cardiac silhouette and pulmonary vasculature are normal._x000D_
- The pulmonary parenchyma, pleural space, trachea are normal._x000D_
- The mediastinum, esophagus and remaining intrathoracic structures are normal._x000D_
- The included musculoskeletal structures are normal.</t>
  </si>
  <si>
    <t>1. A discrete radiographic cause for the reported clinical signs is not clearly identified._x000D_
_x000D_
2. Unremarkable post-prandial abdomen._x000D_
_x000D_
3. Normal thorax.</t>
  </si>
  <si>
    <t xml:space="preserve">
1.This result detects minimal to mild, mixed interstitial and bronchial pulmonary patterns._x000D_
2.This result detects mild to moderate cardiomegaly._x000D_
3.Rarely, this result detects a minimal alveolar pulmonary pattern._x000D_
4.This result does NOT detect pleural fissure lines.  </t>
  </si>
  <si>
    <t>Six radiographs of the thorax and abdomen are provided. The cardiac silhouette and pulmonary vessels are normal size. The lungs are clear. Scant fluid in the caudal esophagus is transient and incidental. Fat deposition separates the heart and lungs from the sternum on the lateral views. The appearance of rightward mediastinal shift on the VD projection is due to rotation. Mild degenerative change in one of the elbows. In the abdomen formed feces fills the distal colon. The fecal column is mineral opaque, angular, and measures up to 2.8 cm diameter. The stomach and small bowel are minimally filled. Normal-sized liver, kidneys, spleen. No radiopaque urolithiasis. Narrowed T13-L1 intervertebral disc space. Mild degenerative change in the coxofemoral joints.</t>
  </si>
  <si>
    <t>1. Possible constipation._x000D_
2. The appearance of T13-L1 is suggestive of intervertebral disc disease. This may be responsible for discomfort._x000D_
3. Normal thorax.</t>
  </si>
  <si>
    <t>Recommend monitoring for defecation, as the patient may require treatment for constipation.</t>
  </si>
  <si>
    <t xml:space="preserve">
1.This result detects none, or equivocal/borderline to mild cardiomegaly. _x000D_
2.This result does not detect pulmonary vasculature enlargement._x000D_
3.This result does not detect pleural fissure lines/fluid.  _x000D_
4.This result detects a minimal to mild interstitial pulmonary pattern.  _x000D_
5.This result detects a minimal to mild, or rarely moderate bronchial pulmonary pattern._x000D_
6.Rarely, this result detects a minimal to mild alveolar pulmonary pattern._x000D_
7.This result does not detect pulmonary soft tissue nodules.</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</si>
  <si>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equivocal cardiomegaly include: phase of the cardiopulmonary cycle, patient positioning/technique, individual variation of normal (especially in younger patients), or evolving cardiomyopathy (such as hypertrophic or thyrotoxic cardiomyopathy). </t>
  </si>
  <si>
    <t>Three images are provided.
Images are dated September 14, 2024.
Prior images dated September 2, 2024 are available.
Pulmonary parenchyma: A minimal diffuse bronchial pattern is present.
Pulmonary vasculature: The pulmonary vasculature is subjectively normal in size and tapers in the periphery of the lungs.
Cardiac silhouette: The cardiac silhouette is equivocal tall in the lateral images and wide in the ventrodorsal image.
Mediastinum: The cranial mediastinum is normal.
Trachea: The trachea is normal.
Esophagus: The esophagus is not well-identified.
Pleural space: The pleural space is normal.
Musculoskeletal: The included musculoskeletal structures are normal.</t>
  </si>
  <si>
    <t xml:space="preserve">1. Similar minimal diffuse bronchial pulmonary pattern such as from artifact, infectious/immune-mediated lower airway disease (feline asthma, versus mycoplasma spp., bordetella spp., parasitism, inhaled allergen/irritant), or less likely other.
2. Presumed artifact from patient young age and phase of cardiopulmonary cycle, or unlikely equivocal cardiomegaly such as from congenital anomaly or other.
</t>
  </si>
  <si>
    <t>Consider respiratory PCR panel, fecal analysis/empirical deworming and routine blood work for further evaluation. 
 If a murmur is later identified, consider echocardiography, ECG and blood pressure.  Consider repeat abdominal radiographs after 8-12 hours of fasting and/or abdominal ultrasonography for further evaluation of non-specific clinical signs reported.  Monitoring as directed or sooner if clinical signs acutely change, fail to improve or worsen.</t>
  </si>
  <si>
    <t>5 images of the thorax are provided for review. There is a moderate bronchial pattern in all lung lobes.  The cardiovascular structures are normal.  The mediastinal and pleural structures are normal.  Cranial abdominal detail is adequate.</t>
  </si>
  <si>
    <t>Moderate bronchial pulmonary pattern.  Considerations include asthma, heartworm, lungworm, atypical infection, bronchitis.</t>
  </si>
  <si>
    <t xml:space="preserve">
1.This result detects none, or equivocal/borderline to mild cardiomegaly. _x000D_
2.This result detects a minimal to mild, or rarely moderate interstitial pulmonary pattern.  _x000D_
3.This result detects a minimal to mild bronchial pulmonary pattern._x000D_
4.This result does not detect an alveolar pulmonary pattern._x000D_
5.This result does not detect pulmonary soft tissue nodules._x000D_
6.This result does not detect pulmonary vasculature enlargement._x000D_
7.Rarely, this result detects minimal pleural fissure lines/fluid.  </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</si>
  <si>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(incidental caudoventral slightly right sided metallic bebe), diaphragm and thoracic wall within normal limits._x000D_
_x000D_
Abdomen:_x000D_
_x000D_
The stomach is filled with food._x000D_
Small intestines are abnormally gathered in the right caudal hemiabdomen with more gas in the lumen than expected. The colon is also located in the mid to left caudal hemiabdomen._x000D_
Serosal detail is preserved._x000D_
Liver and spleen are within normal limits of size and smoothly marginated._x000D_
Kidneys and urinary bladder WNL. No signs of cystic/urethral calculi.</t>
  </si>
  <si>
    <t>1) Unremarkable thorax without signs of pulmonary metastases nor signs of thoracic lymphadenopathy._x000D_
2) Abnormally gathered small intestines in the right caudal hemiabdomen. Run out adhesions. A small mass could be masked and not be distinguishable.</t>
  </si>
  <si>
    <t>Consider abdominal US to further evaluate these changes in the GI tract, also evaluating the urinary tract with renal function test, urinalysis, UPC and urine culture.</t>
  </si>
  <si>
    <t xml:space="preserve">
1.This result detects a minimal to mild interstitial pulmonary pattern._x000D_
2.This result detects a minimal to mild, or uncommonly moderate bronchial pulmonary pattern._x000D_
3.Rarely, this result detects a minimal alveolar pulmonary pattern._x000D_
4.This result detects equivocal/borderline to mild cardiomegaly. _x000D_
5.This result does not detect pulmonary vasculature enlargement._x000D_
6.Rarely, this result detects minimal pleural fissure lines/fluid.</t>
  </si>
  <si>
    <t xml:space="preserve">If the patient has respiratory clinical signs, then the primary differential diagnoses for mixed predominantly bronchial pulmonary pattern are immune-mediated lower airway disease (i.e. feline asthma) or infectious lower airway disease (such as mycoplasma spp., parasitism, viral, or other).  Additional differential diagnoses include inhaled allergen/irritant, or less likely other such as evolving left-sided congestive heart failure.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diagnosis for a minimal alveolar pulmonary pattern include: atelectasis or bronchial plugging such as from concurrent infectious/inflammatory lower airway disease (i.e. feline asthma), or unlikely bronchopneumonia, evolving neoplasia, or other. Differential diagnoses for cardiomegaly include: hypertrophic or thyrotoxic cardiomyopathy in a mature or older patient, or congenital anomaly in a very young patient, or unlikely heartworm disease (unless in edemic areas), or less likely phase of the cardiopulmonary cycle, patient positioning/technique, or individual variation of normal (especially in younger patients). The primary differential diagnosis for minimal pleural fissure lines is tangential beam artifact.  Scant pleural fluid (such as from early left-sided congestive heart failure, idiopathic or chylous effusions) is considered unlikely.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</si>
  <si>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distended right kidney is small with irregular margins.  The left kidney is at the lower limits of normal for size.  The remaining abdominal organs are normal.</t>
  </si>
  <si>
    <t>Right-sided chronic renal changes.  Radiographically normal thorax for patient of this age.</t>
  </si>
  <si>
    <t xml:space="preserve">
1.This result detects none, or less commonly equivocal/borderline to mild cardiomegaly. _x000D_
2.This result detects a minimal to mild interstitial pulmonary pattern.  _x000D_
3.This result detects a minimal to mild, or rarely moderate bronchial pulmonary pattern._x000D_
4.Rarely, this result detects a minimal alveolar pulmonary pattern._x000D_
5.Rarely, this result detects minimal pleural fissure lines/fluid.  _x000D_
6.This result does not detect pulmonary vasculature enlargement.</t>
  </si>
  <si>
    <t>Three radiographs of the thorax are provided. The heart is a normal size and shape on the lateral views. A halo of fat encircles the heart on the VD projection, causing the cardiac silhouette to appear larger on this view. Hazy increased opacity cranioventral to the heart on the lateral views is also due to fat deposition. There are no abnormalities in the pulmonary parenchyma. No pleural effusion or intrathoracic lymphadenomegaly. Normal cranial mediastinal width and tracheal diameter. The cranial abdomen is unremarkable.</t>
  </si>
  <si>
    <t>Normal thorax. A reason for respiratory signs is not identified.</t>
  </si>
  <si>
    <t>Recommend routine blood work to rule out a metabolic abnormality, and visual inspection of the oropharyngeal region.</t>
  </si>
  <si>
    <t>3 views of the entire body are presented for review.  The cardiovascular and pulmonary structures are normal.  The pleural and mediastinal structures are normal.  Abdominal serosal detail is adequate in all quadrants.  The stomach contains a large amount of soft tissue material.  The small intestines are normal in size, although slightly larger segments in the left mid abdomen contain mottled soft tissue material.  These are best seen lateral to the descending colon on the VD view.  No distinct plication is seen.  Gas and feces are present in the colon.  The urinary bladder is small.  The remaining abdominal organs are normal.</t>
  </si>
  <si>
    <t>Material within the stomach may represent residual ingesta or foreign material.  Small intestinal contents may represent incompletely digested food, but are concerning for foreign material.  Radiographically normal thorax.</t>
  </si>
  <si>
    <t>Consider repeat radiographs following strict fasting to determine if gastrointestinal contents persist versus abdominal exploratory if clinical suspicion for foreign body ingestion is high.</t>
  </si>
  <si>
    <t>Orthogonal views of the abdomen are provided:_x000D_
_x000D_
Abdomen:_x000D_
_x000D_
The stomach is empty._x000D_
Small intestines are mildly gas and fluid filled, not overtly distended. No signs of mechanical ileus._x000D_
Small volume of normal feces in the colon._x000D_
Serosal detail is poor due to a very thin body condition along with a suspected umbilical hernia with fat herniated._x000D_
Liver and spleen are within normal limits of size and smoothly marginated._x000D_
Kidneys and urinary bladder WNL.</t>
  </si>
  <si>
    <t>1) Unremarkable abdomen. Incidental umbilical hernia.</t>
  </si>
  <si>
    <t>Rule out hyperthyroidism along with an abdominal US to further evaluate causes of weight loss, vomition and difficulty defecating. Evaluate the need of a rectal exam under sedation.</t>
  </si>
  <si>
    <t xml:space="preserve">
1.This result detects a minimal to mild interstitial pulmonary pattern.  _x000D_
2.This result detects a minimal to mild bronchial pulmonary pattern._x000D_
3.This result does not detect pleural fissure lines/fluid.  _x000D_
4.This result detects equivocal/borderline to mild cardiomegaly. _x000D_
5.This result does not detect pulmonary vasculature enlargement._x000D_
6.This result does not detect an alveolar pulmonary pattern._x000D_
7.This result does not detect pulmonary soft tissue nodules.</t>
  </si>
  <si>
    <t xml:space="preserve">If the patient has respiratory clinical signs, then the primary differential diagnoses for mixed bronchial and interstitial pulmonary patterns are immune-mediated lower airway disease (i.e. feline asthma) or infectious lower airway disease (such as mycoplasma spp., parasitism, viral, or other).  Additional differential diagnoses include inhaled allergen/irritant.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equivocal cardiomegaly include: phase of the cardiopulmonary cycle, patient positioning/technique, individual variation of normal (especially in younger patients), or evolving cardiomyopathy (such as hypertrophic or thyrotoxic cardiomyopathy). </t>
  </si>
  <si>
    <t>Study:_x000D_
Thoracic radiography: three images dated September 13,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heterogeneous soft tissue material presumed to be ingesta. The patient has age appropriate open physes._x000D_
_x000D_
Human digits are present in the primary beam on the right lateral projection.</t>
  </si>
  <si>
    <t>Normal thorax. There is no radiographic evidence of cardiopulmonary disease. A cause of coughing is not evident. Lack of a definitive bronchial pulmonary pattern does not exclude the possibility of allergic/inflammatory, infectious, irritant or parasitic bronchitis.</t>
  </si>
  <si>
    <t>Infectious respiratory disease PCR testing, airway sampling plus/minus heartworm testing and Baermann fecal flotation can be considered to further evaluate for lower airway disease.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</si>
  <si>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moderately distended.  Small mineral structures superimposed over both small intestine and urinary bladder.  The kidneys are small with irregular margins.  The remaining abdominal organs are normal.</t>
  </si>
  <si>
    <t>Material within the stomach may represent residual ingesta or foreign material.  Consider repeat radiographs following strict fasting to determine if gastric contents persist.  Chronic renal changes.  Cystic calculus versus mineral intestinal foreign body without evidence of obstruction.  Radiographically normal thorax for patient of this age.</t>
  </si>
  <si>
    <t xml:space="preserve">
1.This result detects a minimal to mild interstitial pulmonary pattern._x000D_
2.This result detects a minimal to mild bronchial pulmonary pattern._x000D_
3.This result does NOT detect an alveolar pulmonary pattern._x000D_
4.This result does NOT detect pulmonary soft tissue nodules.  _x000D_
5.This result detects equivocal/borderline to moderate cardiomegaly._x000D_
6.Rarely, this result detects minimal pleural fissure lines/fluid.</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</si>
  <si>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t>
  </si>
  <si>
    <t>1) Unremarkable thorax without signs of pulmonary metastases nor signs of thoracic lymphadenopathy.</t>
  </si>
  <si>
    <t>Evaluate the need of a CT of the nasal cavity with rhinoscopy and biopsies.</t>
  </si>
  <si>
    <t xml:space="preserve">
1.This result detects equivocal/borderline to mild, or rarely moderate cardiomegaly._x000D_
2.This result detects a minimal to mild bronchial pulmonary pattern._x000D_
3.This results detects a minimal to mild interstitial pulmonary pattern._x000D_
4.Rarely, this result detects a minimal to moderate alveolar pulmonary pattern. _x000D_
5.Rarely, this result detects minimal to mild pulmonary vasculature enlargement._x000D_
6.Rarely,  this result detects minimal pleural fissure lines/fluid.  </t>
  </si>
  <si>
    <t>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Differential diagnoses for an alveolar pattern include: bronchial plugging (such as from concurrent immune-mediated or infectious lower airway disease), atelectasis (such as from recumbency), or unlikely other such as bronchopneumonia. Differential diagnoses for minimal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t>
  </si>
  <si>
    <t xml:space="preserve">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Consider cardiologist consultation, echocardiography. ECG and blood pressure._x000D_
Consider routine blood work, urine collection (if possible), and thyroid function testing if not recently performed, especially for mature or older patients._x000D_
If your clinical impression of this patient does not match the content of this result, consider submitting the radiographs for a formal radiologist report.</t>
  </si>
  <si>
    <t>Study:_x000D_
Thoracic/abdominal radiography: three images dated September 12,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heterogeneous/granular soft tissue material presumed to be ingesta. The small intestines are normal in size, course and content. The colon contains formed fecal material with a normal diameter. The liver and spleen are normal in size and margin. The kidneys are normal in size and contour. The urinary bladder is normal in size and opacity. No skeletal abnormalities present.</t>
  </si>
  <si>
    <t>1. Normal thorax. There is no radiographic evidence of cardiopulmonary disease. A cause of coughing is not evident. Lack of a definitive bronchial pulmonary pattern does not exclude the possibility of allergic/inflammatory, infectious, irritant or parasitic bronchitis. Airway sampling plus/minus heartworm testing and Baermann fecal flotation can be considered to further evaluate for lower airway disease if the patient=ZZ91=s clinical signs recur._x000D_
2. Postprandial stomach=ZZ90= otherwise, unremarkable abdomen.</t>
  </si>
  <si>
    <t>ABDOMEN (4 radiographs for review). _x000D_
_x000D_
- The patient has a thin body condition._x000D_
- There is reduced peritoneal serosal detail likely due to lack of intra-abdominal fat available for contrast._x000D_
- The stomach contains mild gas and soft-tissue opaque material._x000D_
- The small intestine is mildly diffusely distended and homogenously soft tissue opaque._x000D_
- The colon contains granular formed fecal material and gas._x000D_
- The kidneys are difficult to identify and appear small and bilaterally irregular_x000D_
- The liver, spleen and urinary bladder are normal._x000D_
- The patient has a prominent aortic root and there is mild generalized cardiomegaly present._x000D_
- There is a mild diffuse bronchial pattern and pulmonary hyperinflation._x000D_
- Lobular ventral soft tissue opaque masses along the abdominal body wall and the positions of the mammary glands._x000D_
- Multifocal spondylosis deformans with intervertebral disc space narrowing in the mid thoracic and cranial lumbar regions_x000D_
- Moderate to severe bilateral cubital osteoarthritis (limited assessment).</t>
  </si>
  <si>
    <t>1.  Thin body condition._x000D_
_x000D_
2.  Mild generalized cardiomegaly and prominent aortic root.  Consider systemic hypertension (+/- secondary concentric cardiac hypertrophy).  There may or may not be a relation to the patient=ZZ91=s blind OU status (e.g. retinal detachment).  In addition to the reported blood pressure measurement/management, consider consultation with a veterinary cardiologist and echocardiography/ECG for further evaluation._x000D_
_x000D_
3.  Mild diffuse bronchial pattern and pulmonary hyperinflation can be normal age-related airway changes, however chronic lower airway disease such as feline asthma or bronchitis with secondary air trapping is also considered and if there is a history of respiratory signs makes this more likely._x000D_
_x000D_
4.  The appearance of the stomach and small intestine can be compatible with a nonspecific generalized functional ileus such as infiltrative bowel disease (e.g. IBD, lymphoma) or gastroenteritis.  No evidence of mechanical obstruction.  Consider sonographic evaluation of the gastrointestinal tract as well as the renal architecture for further evaluation._x000D_
_x000D_
5.  Suspect small and irregular kidneys (limited assessment).  If real, likely indicating chronic degenerative renal disease._x000D_
_x000D_
6.  Multiple ventral abdominal body wall masses consistent with the reported mammary gland masses is reported.  Neoplasia such as carcinoma is the first differential diagnosis.  There is no evidence of pulmonary metastatic neoplasia.  Tissue sampling/biopsy and consultation with a veterinary oncologist may be considered depending cytology/histopathology results._x000D_
_x000D_
7.  Bilateral cubital osteoarthritis._x000D_
_x000D_
8.  Mid thoracic and cranial lumbar intervertebral disc disease, with disc space narrowing._x000D_
_x000D_
9.  Mild multifocal vertebral spondylosis deformans.</t>
  </si>
  <si>
    <t xml:space="preserve">
1.This result detects a minimal to mild interstitial pulmonary pattern.  _x000D_
2.This result detects a minimal to mild, or rarely moderate bronchial pulmonary pattern._x000D_
3.This result detects equivocal/borderline to mild cardiomegaly. _x000D_
4.This result does not detect an alveolar pulmonary pattern._x000D_
5.This result does not detect pulmonary soft tissue nodules._x000D_
6.This result does not detect pulmonary vasculature enlargement._x000D_
7.Rarely, this result detects minimal pleural fissure lines/fluid.</t>
  </si>
  <si>
    <t>Three radiographs of the thorax, and six views of the abdomen are provided. The cardiac silhouette is upper normal size. The heart lies flat along the sternum on the lateral views, an incidental feline variant. Soft tissue bulge along the cranial left aspect of the heart on the VD projection is normal aortic arch. Pulmonary vessels and caudal vena cava are normal size. The lungs are clear. There is no pleural effusion or intrathoracic lymphadenomegaly._x000D_
_x000D_
In the abdomen serosal detail is adequate. There is moderate volume fluid, stippled soft tissue density, and small accumulation of mineral opaque debris in the stomach. Small bowel are diffusely mildly filled with fluid and scant gas. Gas and small volume of formed feces in the colon. There are a few punctate mineral densities in the intestines. The liver is normal size. The spleen and kidneys are obscured by bowel loops. No radiopaque urolithiasis. Osseous structures are unremarkable.</t>
  </si>
  <si>
    <t>Mineral debris in the gastrointestinal tract is likely incidental cat litter ingestion. Otherwise normal abdomen and thorax. A reason for the clinical signs and weight loss is not identified.</t>
  </si>
  <si>
    <t>Further investigation with fasting abdominal ultrasound should be considered.</t>
  </si>
  <si>
    <t>Study:_x000D_
Thoracic/abdominal radiography: three images dated September 12, 2024_x000D_
_x000D_
Findings:_x000D_
The cardiac silhouette and pulmonary vasculature are normal in size. There is a mild bronchial pattern in the caudodorsal lung fields friend most evident on the right lateral view).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mild L1-L2 spondylosis deformans.</t>
  </si>
  <si>
    <t>1. The mild caudodorsal bronchial pulmonary pattern may indicate allergic/inflammatory bronchitis (asthma). Infectious, parasitic and irritant bronchitis are also possible. Airway sampling, heartworm testing and Baermann fecal flotation can be considered for further evaluation._x000D_
2. Postprandial stomach=ZZ90= otherwise, unremarkable abdomen.</t>
  </si>
  <si>
    <t xml:space="preserve">
1.Rarely, this result detects minimal pleural fissure lines/fluid.  _x000D_
2.This result detects none, or equivocal/borderline to moderate cardiomegaly. _x000D_
3.This result does not detect pulmonary vasculature enlargement._x000D_
4.This result detects a minimal to mild interstitial pulmonary pattern.  _x000D_
5.This result detects a minimal to mild, or rarely moderate bronchial pulmonary pattern._x000D_
6.Rarely, this result detects a minimal alveolar pulmonary pattern.</t>
  </si>
  <si>
    <t>Three radiographs of the thorax are provided. The heart and pulmonary vessels are normal size and shape. Soft tissue bulge cranial and to the left of the heart on the VD projection is normal aortic arch. There is a mild to moderate bronchial pattern in the lungs. No soft tissue pulmonary nodules or pleural effusion. Normal tracheal diameter. No esophageal dilation. Gas in the stomach consistent with aerophagia.</t>
  </si>
  <si>
    <t>Mild to moderate bronchial pattern most consistent with chronic airway inflammation such as asthma. This is the most likely cause for respiratory signs. There is no evidence of pneumonia or cardiovascular disease.</t>
  </si>
  <si>
    <t>this patient may benefit from treatment for asthma.</t>
  </si>
  <si>
    <t xml:space="preserve">
1.This result detects none to equivocal/borderline, or uncommonly mild cardiomegaly. _x000D_
2.This result does not detect pulmonary vasculature enlargement._x000D_
3.This result detects a minimal, or rarely mild interstitial pulmonary pattern.  _x000D_
4.This result detects a mild to moderate bronchial pulmonary pattern._x000D_
5.Rarely, this result detects an alveolar pulmonary pattern._x000D_
6.Rarely, this result detects minimal pleural fissure lines/fluid.  </t>
  </si>
  <si>
    <t xml:space="preserve">If the patient has respiratory clinical signs, then differential diagnoses for a predominantly bronchial pulmonary pattern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evolving bronchopneumonia, or unlikely other. Differential diagnoses for pleural fluid include: tangential beam artifact/pleural thickening, or unliklely scant pleural fluid (such as from chylous or idiopathic,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</si>
  <si>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 xml:space="preserve">
If the patient has clinical signs consistent with bronchopneumonia or active infectious/inflammatory lower airway disease, then consider empirical therapy and supportive care in the interim as needed._x000D_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</si>
  <si>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Three images are provided.
Images are dated September 11, 2024.
Respiratory motion artifact is in some of the images.
Pulmonary parenchyma: A minimal diffuse bronchial or interstitial pattern is present, exacerbated by motion artifact.
Pulmonary vasculature: The pulmonary vasculature is subjectively normal in size and tapers in the periphery of the lungs.
Cardiac silhouette: The cardiac silhouette is equivocal enlarged and tall in the lateral images, and slightly widened/rounded at its base in the ventrodorsal image, subjectively.  
Mediastinum: The cranial mediastinum is normal.
Trachea: The trachea is normal.
Esophagus: The esophagus is not well-identified.
Pleural space: The pleural space is normal.
Musculoskeletal: The included musculoskeletal structures are normal.</t>
  </si>
  <si>
    <t>1. Minimal diffuse bronchial/interstitial pulmonary patterns due to infectious/immune-mediated lower airway disease (feline asthma, mycoplasma spp., bordetella spp., parasitism such as lung worms, or inhaled allergen/irritant), artifact, or unlikely other.
- There is no current evidence of bronchopneumonia.
2. Equivocal cardiomegaly versus artifact from positioning/technique and phase of the cardiopulmonary cycle.
- If present, differential diagnoses include congenital anomaly given patient age (atrial/ventricular septal defect versus other).
- There is no current evidence of left-sided congestive heart failure.</t>
  </si>
  <si>
    <t>Consider  respiratory PCR panel, fecal analysis/deworming and possibly airway sampling for further evaluation.  Consider echocardiography, blood pressure and eCG especially if a murmur is later identified.  Consider fecal analysis/deworming if not recently performed.  Consider rhinoscopy and computed tomography of the head if signs of upper respiratory disease/rhinitis progress in the face of empirical therapy.  Empirical therapy and supportive care in the interim as needed. Monitoring as directed or sooner if clinical signs acutely change, fail to improve or worsen.</t>
  </si>
  <si>
    <t>5 images of the thorax and right pes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The right second digit is absent.  The joint surfaces are smooth and regular.  No stifle effusion is seen.</t>
  </si>
  <si>
    <t>Radiographically normal thorax for patient of this age.  Absent right hind second digit consistent with previous amputation.  Otherwise, unremarkable right tarsus/pes.</t>
  </si>
  <si>
    <t xml:space="preserve">
1.Uncommonly, this result detects a minimal to mild bronchial pulmonary pattern._x000D_
2.Rarely, this result detects a minimal to mild interstitial pulmonary pattern._x000D_
3.Rarely, this result detects a minimal alveolar pulmonary pattern._x000D_
4.Cardiac silhouette: Normal in most cases; rarely, minimal to mild generalized cardiomegaly is present._x000D_
5.Negative for pulmonary vasculature enlargement._x000D_
6.Negative for pleural fissure lines/pleural fluid.</t>
  </si>
  <si>
    <t>Three radiographs of the thorax/abdomen are provided. The heart and pulmonary vessels are normal size and shape. There are no abnormalities in the pulmonary parenchyma or pleural space. No esophageal or tracheal abnormalities._x000D_
_x000D_
In the abdomen there is moderate volume kibble-like soft tissue density in the stomach. Small intestines are mildly filled with fluid and gas. Gas and small volume semi-formed feces in the colon. Normal-sized kidneys, spleen, liver. No radiopaque cystic calculi.</t>
  </si>
  <si>
    <t>Normal thorax and postprandial abdomen. Gastric contents appears to be normal ingesta. I cannot rule out the possibility of concurrent foreign material/trichobezoar but is given lesser consideration.</t>
  </si>
  <si>
    <t>Recommend a CBC, blood chemistry profile, and supportive care. Repeat fasted abdominal radiographs +/- positive contrast gastrogram could be considered to rule out gastric foreign material. Strictly fasted abdominal ultrasound is another option to evaluate the entire abdomen, as long as the patient has been strictly fasted and there is minimal gas in the stomach at the time of imaging.</t>
  </si>
  <si>
    <t xml:space="preserve">
1.This result detects equivocal/borderline to mild, or rarely moderate cardiomegaly. _x000D_
2.This result detects none, or a minimal to mild interstitial pulmonary pattern.  _x000D_
3.This result detects none, or a minimal to mild bronchial pulmonary pattern._x000D_
4.Rarely, this result detects a minimal alveolar pulmonary pattern._x000D_
5.This result does not detect pulmonary soft tissue nodules._x000D_
6.This result does not detect pulmonary vasculature enlargement._x000D_
7.This result does not detect pleural fissure lines/fluid.  </t>
  </si>
  <si>
    <t>Gastrointestinal foreign body/obstruction is not identified.  There are segments of small intestine that are gas and fluid-filled and considered within normal limits for diameter.  The liver and spleen are unremarkable.  There are no abnormalities involving the urinary tract.  Serosal detail is normal._x000D_
_x000D_
Thorax: The pulmonary parenchyma, cardiac silhouette, and pulmonary vasculature are unremarkable.  There is no evidence of pleural effusion or lymphadenopathy.</t>
  </si>
  <si>
    <t>The appearance of the gastrointestinal tract may represent enteritis.  Although not identified, an obstructive process cannot definitively be ruled out.</t>
  </si>
  <si>
    <t>If clinical signs persist, consider further diagnostic imaging such as an upper GI series or abdominal ultrasound.</t>
  </si>
  <si>
    <t>Three images are provided:
Images are dated September 10, 2024.
Pulmonary parenchyma: A mild diffuse bronchial pattern is present.
Pulmonary vasculature: The pulmonary vasculature is subjectively normal in size and tapers in the periphery of the lungs.
Cardiac silhouette: The cardiac silhouette is normal in size and shape.
Mediastinum: A leftward mediastinal shift is in the ventrodorsal image.  The cranial mediastinum is normal.
Trachea: The trachea is normal.
Esophagus: The esophagus contains mild gas.
Pleural space: The pleural space is normal.
Musculoskeletal:  Increased soft tissue is in the cervical region resulting in ventral displacement of the trachea.  The patient is obese.  The remaining included musculoskeletal structures are normal.</t>
  </si>
  <si>
    <t xml:space="preserve">1. Mild diffuse bronchial pulmonary pattern.
- Differential diagnoses include fibrosis from prior disease, age-related changes, infectious/immune-mediated lower airway disease, or unlikely other such as atypical metastatic/multicentric neoplasia.
2. Cervical soft tissue swelling due to reported lymphadenomegaly or primary mass, or unlikely other.
- This is suspicious for evolving thyroid carcinoma or lymphosarcoma versus other.
3. Obesity.  </t>
  </si>
  <si>
    <t>Consider computed tomography of the neck/thorax for further evaluation, as well as abdominal imaging.  Oncologist consultation depending on results of lymph node tissue sampling.  Consider primary mass tissue sampling if encountered during advanced imaging for further evaluation.  Routine blood work and thyroid function testing may be contributory.  Empirical therapy and supportive care in the interim as needed.  Monitoring as directed or sooner if clinical signs acutely change, fail to improve or worsen.</t>
  </si>
  <si>
    <t>Three radiographs of the thorax, and three views of the abdomen are provided. Previous thoracic images dated 1/24/17 are available for comparison. The cardiac silhouette and pulmonary vessels are normal size. The appearance of small round increased opacity overlying cranial thorax left lateral view is not confirmed on the other projections and is caused by a combination of a distal rib and adjacent pulmonary vessels. There is no pleural effusion. No intrathoracic lymphadenomegaly. Normal tracheal diameter._x000D_
_x000D_
In the abdomen, peritoneal and retroperitoneal detail is adequate. Normal-sized liver, spleen, kidneys. One of the kidneys has a blunted caudal pole suggestive of previous infarct, incidental today. Small volume gas in the stomach. Small intestines are moderately filled with a mixture of fluid and gas. There is no radiopaque foreign material. Gas and scant semi-formed feces in the colon. No radiopaque urolithiasis. Mineral densities in the cranial aspect of both stifle joints is incidental meniscal mineralization. Mild degenerative change in the coxofemoral joints. Narrowed T13-L1 intervertebral disc space is of doubtful significance today.</t>
  </si>
  <si>
    <t>1. Small intestinal functional ileus. With the weight loss, I am concerned about a primary intestinal abnormality such as neoplasia or inflammatory bowel disease. A metabolic abnormality or stress/discomfort are next on the differential list. Chronic, intraluminal partial obstruction is given much lesser consideration. No other abdominal abnormalities._x000D_
2. Normal thorax.</t>
  </si>
  <si>
    <t>Abdominal ultrasound is recommended.</t>
  </si>
  <si>
    <t xml:space="preserve">
1.No pleural effusion is noted._x000D_
2.No cardiomegaly or pulmonary vessel enlargement is noted._x000D_
3.The lungs are hyperinflated on the VD projection(s) and normally inflated on the lateral projection(s). On both the lateral and VD projection, an increase in pulmonary opacity is identified in the cranial thorax however the VD opacity is attributed to obliquity while the lateral projection is likely due to increased opacity cranial to heart due to overlying soft tissue or mediastinal fat deposition vs. exclusion of the cranial thorax from the image.</t>
  </si>
  <si>
    <t>Study:_x000D_
Thoracic radiography: three images dated September 9,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spleen is mildly to moderately enlarged coursing along the ventral abdomen on the right lateral projection. The included abdomen is otherwise unremarkable. There is a 2.5 cm round soft tissue opaque mass in the inguinal region. There is a 2 cm ovoid mineral opaque nodule in the subcutaneous tissues of the dorsal thorax. The osseous structures are unremarkable.</t>
  </si>
  <si>
    <t>1. Normal thorax. There is no radiographic evidence of pulmonary metastatic disease._x000D_
2. The generalized splenomegaly is nonspecific. Rule out extramedullary hematopoiesis, lymphoid hyperplasia, splenitis, congestion or infiltrative neoplasia. Sonography can be considered for further evaluation of the splenomegaly and further staging._x000D_
3. Inguinal mass. Rule out inguinal lymphadenopathy, benign or malignant neoplasia, cyst, granuloma or abscess. Tissue sampling should be considered._x000D_
4. The mineral opaque nodule in the subcutaneous tissues of the dorsal thorax is likely benign. Consider a mineralized granuloma or nodular fat necrosis.</t>
  </si>
  <si>
    <t xml:space="preserve">
1.This result detects equivocal/borderline to mild, or rarely moderate cardiomegaly. _x000D_
2.This result detects a minimal to mild interstitial pulmonary pattern.  _x000D_
3.This result detects a minimal to mild bronchial pulmonary pattern._x000D_
4.Rarely, this result detects a minimal alveolar pulmonary pattern._x000D_
5.This result does not detect pulmonary vasculature enlargement._x000D_
6.This result does not detect pleural fissure lines/fluid.  </t>
  </si>
  <si>
    <t>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or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evovling left-sided congestive heart failure, or unlikely evolving neoplasia, bronchopneumonia, or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</si>
  <si>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Opposite lateral and ventrodorsal whole body radiographs (3 images) dated September 9, 2024. The positioning is nonstandard, which will affect interpretation._x000D_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mildly enlarged. The spleen is only partially visible with no abnormalities noted. The kidneys are normal in size and shape. The urinary bladder is distended with a large amount of homogeneous fluid opacity. The stomach contains a fair amount of gas and a small amount of soft tissue/fluid content. The small bowel and colon are unremarkable. Retroperitoneal and peritoneal detail are normal. No regional lymphadenopathy is evident._x000D_
_x000D_
No aggressive or clinically significant osseous pathology is identified.</t>
  </si>
  <si>
    <t>1. Normal thorax. The cause for the respiratory distress is not radiographically apparent in the lower airway._x000D_
2. Mild hepatomegaly is consistent with the reported diabetes mellitus. The remainder of the abdomen is unremarkable.</t>
  </si>
  <si>
    <t>Mild sedation and keep in a quiet, dark area to allow to relax. _x000D_
SPO2. Oxygen therapy as indicated._x000D_
A sedated upper airway exam may provide further information vs. nasal/head CT._x000D_
Schedule an echocardiogram.</t>
  </si>
  <si>
    <t>Kreig Embriano</t>
  </si>
  <si>
    <t>3 views of the thorax are presented for review.  The cardiovascular structures are normal.  There is mildly increased unstructured interstitial opacity in all lung lobes.  The pleural and mediastinal structures are normal.  Cranial abdominal detail is adequate.</t>
  </si>
  <si>
    <t>Diffuse unstructured interstitial pulmonary pattern.  Primary consideration is given to viral pneumonitis.</t>
  </si>
  <si>
    <t>Consider supportive therapy pending the results for the upper respiratory PCR reportedly performed.</t>
  </si>
  <si>
    <t xml:space="preserve">
1.This result does NOT detect pleural fissure lines.  _x000D_
2.This result detects mild to moderate cardiomegaly._x000D_
3.This result detects minimal to mild, mixed interstitial and bronchial pulmonary patterns._x000D_
4.Rarely, this result detects a minimal alveolar pulmonary pattern.</t>
  </si>
  <si>
    <t>WHOLE-BODY (4 total radiographs for review). _x000D_
_x000D_
- Moderate, diffuse bronchial pulmonary pattern._x000D_
- The cardiac silhouette and pulmonary vasculature are normal._x000D_
- The trachea, mediastinum, pleural space and remaining included intrathoracic structures are normal._x000D_
- The liver is moderately enlarged, extending caudal to the costal arch with rounded margins._x000D_
- The stomach contains mild gas and soft-tissue opaque material._x000D_
- The small intestine contains mild multifocal gas and soft tissue opaque material._x000D_
- The colon is distended with desiccated formed fecal material and gas._x000D_
- At least one kidney is small (suspect the right) and there is mildly irregular renal margins bilaterally._x000D_
- The urinary bladder and spleen are normal._x000D_
- Mild multifocal vertebral spondylosis deformans.</t>
  </si>
  <si>
    <t>1. Mild diffuse bronchial pattern with pulmonary hyperinflation.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considered._x000D_
_x000D_
2.  Suspect bilateral chronic degenerative renal changes.  Correlate to clinical impression of renal disease if present and consider sonographic evaluation of the renal architecture._x000D_
_x000D_
3. Mild hepatomegaly. Most likely representing vacuolar (metabolic) hepatopathy. Cholangiohepatitis, neoplasia or hepatic congestion are less likely, but possible._x000D_
_x000D_
4.  Moderate constipation._x000D_
_x000D_
5.  Mild multifocal vertebral spondylosis deformans.</t>
  </si>
  <si>
    <t xml:space="preserve">
1.This result detects a minimal to mild interstitial pulmonary pattern._x000D_
2.This result does NOT detect  an alveolar pulmonary pattern._x000D_
3.This result does NOT detect soft tissue pulmonary nodules.  _x000D_
4.This result detects mild to moderate cardiomegaly._x000D_
5.This result does NOT detect pleural fissure lines. _x000D_
6.This result detects a minimal to mild bronchial pulmonary pattern.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</si>
  <si>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soft tissue material.  The small intestines are normal in size.  Gas and feces are present in the colon.  The urinary bladder is small.  The left kidney is small with irregular margins and minimal in the diverticula.  Mild mineralization is seen in the right renal diverticula.  The remaining abdominal organs are normal.</t>
  </si>
  <si>
    <t>Material within the stomach may represent residual ingesta or foreign material.  Consider repeat radiographs following strict fasting to determine if gastric contents persist.  Chronic renal changes.  Radiographically normal thorax for patient of this age.</t>
  </si>
  <si>
    <t>Orthogonal views of the thorax and abdomen are provided:_x000D_
_x000D_
Thorax:_x000D_
_x000D_
There is asymmetric bilateral pleural effusion worse on the right hemithorax with visible pleural fissure lines, retracting the lung lobes from the thoracic wall, leading to an increased pulmonary opacification due to lung atelectasis and increased the opacification of the thorax._x000D_
Cardiac silhouette has a normal shape and size._x000D_
Pulmonary vessels are within normal limits of size and shape._x000D_
Pulmonary parenchyma is within normal limits. No evidence of pulmonary nodules/masses._x000D_
Mediastinum, diaphragm and thoracic wall within normal limits._x000D_
_x000D_
Abdomen:_x000D_
_x000D_
The stomach contains some food._x000D_
Caudoventral to the stomach the peritoneum his mottled._x000D_
Small intestines are mildly gas and fluid filled, not overtly distended. No signs of mechanical ileus._x000D_
Liver extends mildly beyond the costal arch with sharp margins._x000D_
Spleen is within normal limits of size and smoothly marginated._x000D_
Kidneys show tiny pelvic renoliths. _x000D_
Urinary bladder WNL.</t>
  </si>
  <si>
    <t>1) Pleural effusion: rule out modified transudate vs exudate vs pure transudate vs chylothorax. No signs of pulmonary metastases nor signs of thoracic lymphadenopathy._x000D_
2) Hepatomegaly: Metabolic vs Vacuolar infiltration vs Hepatic nodular hyperplasia vs Inflammatory vs Toxic vs Neoplastic or a combination of these differentials._x000D_
3) Mottled peritoneum. Neoplastic vs peritonitis. Exudate vs modified transudate._x000D_
4) Renoliths.</t>
  </si>
  <si>
    <t>Consider a CT of the thorax and abdomen with thorax and abdominocentesis along with abdominal US to further evaluate causes of leukocytosis, anemia, the liver and the urinary tract with renal function test, urinalysis, UPC and urine culture.</t>
  </si>
  <si>
    <t xml:space="preserve">
1.This result does not detect pleural fissure lines/fluid.  _x000D_
2.This result detects equivocal/borderline to moderate cardiomegaly. _x000D_
3.This result does not detect pulmonary vasculature enlargement._x000D_
4.This result detects a minimal to mild, or rarely moderate interstitial pulmonary pattern.  _x000D_
5.This result detects a minimal to moderate bronchial pulmonary pattern._x000D_
6.Rarely, this result detects a minimal alveolar pulmonary pattern.</t>
  </si>
  <si>
    <t>If the patient is acutely dyspneic or has severe or progressive respiratory clinical signs, rule out left-sided congestive heart failure.   If the patient has respiratory clinical signs, then differential diagnoses for mixed bronchial and interstitial pulmonary patterns include: immune-mediated lower airway disease (i.e. feline asthma) or infectious lower airway disease (such as mycoplasma spp., parasitism, viral, or other), versus evolving left-sided congestive heart failure, or less 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evovling left-sided congestive heart failure, or unlikely evolving neoplasia, bronchopneumonia, or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</si>
  <si>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 xml:space="preserve">
If the patient is dyspneic, or has severe or progressive respiratory clinical signs, consider therapy for left-sided congestive heart failure with diuretic trial and oxygen therapy.  Repeat thoracic radiographs after 4-6 hours to evaluate for resolution of radiographic findings, and monitor for clinical improvement._x000D_
If the patient has clinical signs consistent with active infectious/inflammatory lower airway disease, then consider empirical therapy and supportive care in the interim as needed._x000D_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</si>
  <si>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 xml:space="preserve">ABDOMEN (11 images):
Images are dated September 8, 2024.
One of the final lateral images of the contrast series has double exposure artifact.
Liver: The liver is subjectively normal in size.
Spleen: The spleen is normal in size with smooth margins and homogeneous soft tissue.
Kidneys: The left kidney is normal.  The right kidney is partially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moderate to large volume of gas and heterogeneous soft tissue material admixed with gas.   The stomach is distended with smooth, subjectively taught margins.
The small intestine contains moderate gas with a subjectively uniform population for size. 
The colon contains mild to moderate admixed soft tissue material and gas.  The colon is within normal limits for size.  
Positive contrast gastroenterography:  In the initial images, a moderate volume of positive contrast material is admixed with gastric contents, and in the proximal segments of the small intestine.  This is similar in the remaining images, except in the final two images, where contrast material is only in the colon admixed with gas and mild soft tissue material.  Heterogeneous admixed contrast material and soft tissue material in the stomach in the initial images is absent in the final images, and the stomach contains a large volume of gas and mild soft tissue material/fluid.  The small intestine contains moderate gas in the final lateral image.
Musculoskeletal: The included musculoskeletal structures are normal.
Caudal thorax:  A diffuse bronchial pattern is present.  </t>
  </si>
  <si>
    <t>1. Passage of positive contrast material into the descending colon.
- No obvious small intestinal mechanical ileus is identified.
2. Moderate gastric/intestinal gas such as from aerophagia versus non-specific gastritis/enteritis/functional ileus.
- Differential diagnoses include dietary indiscretion, toxin ingestion, diet/antibiotic responsive disease, inflammatory bowel disease, pancreatitis, occult systemic disease or unlikely other.
3. Bronchial pulmonary pattern such as from infectious/immune-mediated lower airway disease (feline asthma, mycoplasma spp. parasitism, or other).</t>
  </si>
  <si>
    <t>Consider routine blood work, respiratory PCr panel, fecal analysis/deworming, GI panel, and possibly abdominal ultrasonography for further evaluation, especially if clinical signs fail to improve or worsen in the face of empirical therapy/supportive care.  Monitoring as directed, or sooner if clinical signs acutely change, fail to improve or worsen.</t>
  </si>
  <si>
    <t>Eight radiographs are provided, with images of the thorax, abdomen, and stifles. Previous images dated 3/23/2020 are available for comparison. The cardiac silhouette is larger before, equivocally prominent today. There is fat deposition adjacent to the heart which could be augmenting apparent cardiac silhouette size. There are no abnormalities in the pulmonary parenchyma. No pleural fluid. The diaphragm is intact. No rib fractures. In the abdomen moderate volume formed feces fills the colon. The stomach and small bowel are mildly filled. No radiopaque cystic calculi. No organomegaly. Narrowed L5-6 intervertebral disc space, of uncertain clinical significance today. The coxofemoral joints are congruent. Punctate mineral density in the left stifle is likely incidental meniscal mineralization. No stifle effusion is appreciated. There is no fracture or subluxation.</t>
  </si>
  <si>
    <t>1. Equivocal mild cardiomegaly, concerning for cardiomyopathy. Artifact due to adjacent fat deposition is also possible. Otherwise normal thorax._x000D_
2. Normal coxofemoral joints and stifles. A reason for lameness is not identified. Soft tissue sprain/strain is most likely.</t>
  </si>
  <si>
    <t>If the patient has a murmur or arrhythmia, an echocardiogram would be recommended. Otherwise, cardiac proBNP evaluation could be considered. For the lameness, this patient may benefit from anti-inflammatories.</t>
  </si>
  <si>
    <t>THORAX (3 total radiographs for review). _x000D_
_x000D_
- There is a moderate to severe diffuse bronchial pulmonary pattern present._x000D_
- The cardiac silhouette, pulmonary vasculature, pleural space are normal._x000D_
- The trachea, esophagus are normal._x000D_
- The remaining included intrathoracic structures are unremarkable._x000D_
- The stomach contains mild gas stippled soft tissue opaque material._x000D_
- The remaining cranial abdominal structures are unremarkable._x000D_
- The included musculoskeletal structures are normal.</t>
  </si>
  <si>
    <t>1.  Moderate to severe diffuse bronchial pattern.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pursued._x000D_
_x000D_
2.  Radiographically unremarkable cardiovascular structures.  Despite this, given the reported heart murmur it may still be reasonable to consider consultation with a veterinary cardiologist and echocardiography/ECG for further evaluation._x000D_
_x000D_
3.  Recent meal.</t>
  </si>
  <si>
    <t xml:space="preserve">
1.This result detects none, or equivocal/borderline to moderate cardiomegaly. _x000D_
2.This result does not detect pulmonary vasculature enlargement._x000D_
3.This result detects a minimal to mild interstitial pulmonary pattern.  _x000D_
4.This result detects a minimal to mild, or rarely moderate bronchial pulmonary pattern._x000D_
5.Rarely, this result detects a minimal alveolar pulmonary pattern._x000D_
6.Rarely, this result detects minimal pleural fissure lines/fluid.  </t>
  </si>
  <si>
    <t>Three radiographs of the thorax, and three views of the abdomen are provided. The heart and pulmonary vessels are normal size and shape. The lungs are clear. There is no pleural effusion or intrathoracic lymphadenomegaly. Soft tissue thickening and punctate gas lucencies dorsal to the thoracic spine consistent with recent subcutaneous fluid administration. In the abdomen there is no peritoneal or retroperitoneal effusion. The urinary bladder is minimally distended and contains a moderate amount of punctate mineral opaque calculi. No medial iliac lymphadenomegaly. The plane of the urethra is unremarkable. The kidneys are normal size. The cranial pole of the right kidney is blunted consistent with previous infarct, of doubtful significance today. Punctate nephroliths are likely incidental. Small volume amorphous soft tissue density and thin flat 0.5 cm mineral density in the stomach. Small and large bowel are minimally filled. Normal-sized spleen and liver. Spondylosis deformans at the lumbosacral junction is of doubtful significance.</t>
  </si>
  <si>
    <t>1. Gastric contents may represent residual ingesta. Small mineral opaque fragment in the stomach may represent component of normal ingesta, administered medication, incidental cat litter ingestion. Other foreign material is not definitively ruled out. This is of uncertain significance in the absence of vomiting._x000D_
2. Sand-like cystic calculi._x000D_
3. Normal thorax.</t>
  </si>
  <si>
    <t>Consider repeat abdominal radiographs following a confirmed fast +/- positive contrast gastrogram to rule out gastric foreign material. Strictly fasted abdominal ultrasound is another option to evaluate the entire abdomen, as long as the patient has been strictly fasted and there is minimal gas in the stomach at the time of imaging.</t>
  </si>
  <si>
    <t>WHOLE-BODY (5 total radiographs for review). _x000D_
_x000D_
- The patient has an excessive body habitus._x000D_
- Moderate, diffuse bronchial pulmonary pattern._x000D_
- Prominent aortic root.  The remainder of the cardiac silhouette is unremarkable._x000D_
- The pulmonary vasculature is normal._x000D_
- The pleural space, trachea, esophagus and remaining included intrathoracic structures are normal._x000D_
- The stomach contains moderate gas stippled soft-tissue opaque material and a small volume of gas._x000D_
- The small intestine is nondistended and contains soft-tissue/fluid and gas._x000D_
- The colon contains gas and moderate formed fecal material._x000D_
- There is a prominent appearance of the left limb of the pancreas on the VD projection between the left kidney and the splenic tail._x000D_
- Bilaterally, the renal margins are mildly irregular and there is ill-defined mineral opacity superimposed over the right kidney._x000D_
- Narrowing of the L7 S1 intervertebral disc space._x000D_
- Caudal lumbar and mild multifocal vertebral spondylosis deformans._x000D_
- Small irregular mineral opacities along the caudal surface of the medial humeral condyles bilaterally.</t>
  </si>
  <si>
    <t>1.  Moderate diffuse bronchial pattern. Most likely compatible with chronic lower airway disease. Feline asthma vs. bronchitis of infectious (e.g. parasitic, bacterial) or inhaled irritant etiologies. If clinically indicated, consider treatment for chronic lower airway disease and if there is lack of improvement or worsening despite medical management, thoracic CT +/- lower airway sampling might be considered._x000D_
_x000D_
2. Prominent aortic root. This can be an incidental finding in older cats, but does have an association with systemic hypertension. There is no obvious cardiomegaly to indicate secondary concentric cardiac hypertrophy, however radiographic sensitivity can be limited. You may consider (especially as this patient has a history of hypothyroidism) systemic blood pressure measurement and/or echocardiography._x000D_
_x000D_
3.  The gastrointestinal tract has a relatively unremarkable postprandial appearance.  Radiographic sensitivity for the detection of infiltrative bowel disease (IBD is reported) can be limited and if clinically indicated consider sonographic evaluation of the abdomen._x000D_
_x000D_
4.  Mild bilateral chronic degenerative renal changes (R =ZZ93= L) with right nephrolithiasis.  Correlate to clinical impression, palpation and sonographic assessment of the renal architecture if indicated._x000D_
_x000D_
5.  Degenerative lumbosacral disease._x000D_
_x000D_
6.  Mild multifocal vertebral spondylosis deformans._x000D_
_x000D_
7.  Bilateral medial humeral epicondylitis, which is a chronic condition described in cats and associated with enthesopathy of the origin of the humeral head of the flexor carpi ulnaris muscle, and may be clinically incidental in this case._x000D_
_x000D_
8.  Excessive body habitus.</t>
  </si>
  <si>
    <t>Four radiographs of the thorax and two closed mouth dorsoventral views of the head are provided. The cardiac silhouette and pulmonary vessels are normal size and shape. There are no abnormalities in the pulmonary parenchyma. No pleural effusion. Cranial mediastinal width is normal. Adequate tracheal diameter. Scant gas in the esophagus is incidental. Normal cranial abdomen. No hyoid apparatus or laryngeal abnormalities. The pharyngeal region is normally air-filled. Tympanic bullae are thin-walled and air-filled. Nasal sinuses are normally lucent, with no osseous lysis or proliferation. No osseous nasal septal deviation.</t>
  </si>
  <si>
    <t>Normal thorax and head. A reason for the clinical signs is not identified.</t>
  </si>
  <si>
    <t>Cross-sectional imaging of the head such as computed tomography should be considered.</t>
  </si>
  <si>
    <t xml:space="preserve">
1.This result does not detect pleural fissure lines/fluid.  _x000D_
2.This result does not detect pulmonary vasculature enlargement._x000D_
3.This result detects equivocal/borderline to mild cardiomegaly. _x000D_
4.This result detects a minimal to mild, or rarely moderate interstitial pulmonary pattern.  _x000D_
5.This result detects a minimal to mild, or rarely moderate bronchial pulmonary pattern._x000D_
6.Rarely, this result detects a minimal to mild alveolar pulmonary pattern.</t>
  </si>
  <si>
    <t>Abdomen: There is suboptimal serosal detail.  There is a moderate amount of fecal material within the colon.  The visible portions of the liver and spleen are unremarkable.  The visible portions of the urinary tract are unremarkable._x000D_
_x000D_
Abdomen: There is mild generalized cardiomegaly.  There is no evidence of pleural effusion.  The pulmonary parenchyma is unremarkable.  The pulmonary vasculature is unremarkable.  There is no evidence of lymphadenopathy._x000D_
_x000D_
Thoracolumbar spine: There are numerous regions of spondylosis deformities involving the thoracic vertebral column.  There are no abnormalities involving the lumbar vertebral column._x000D_
_x000D_
Pelvis: There are no abnormalities involving the pelvis or coxofemoral joints.  There are small osseous bodies associate the cranial aspects of both stifle joints.</t>
  </si>
  <si>
    <t>Suboptimal abdominal serosal detail.  This may be secondary to low amounts of intra-abdominal fat.  Alternatively mild peritoneal effusion cannot be ruled out._x000D_
_x000D_
Generalized cardiomegaly without evidence of decompensation._x000D_
_x000D_
The mineral opacities involving the cranial aspects of both stifle joints most likely represents mineralization of menisci.</t>
  </si>
  <si>
    <t>Abdomen: There is a mild amount of fecal material throughout the colon.  There is no evidence of a megacolon.  The liver and spleen are unremarkable.  The right kidney seems normal for size.  The left kidney is difficult to evaluate due to silhouetting and summation with adjacent viscera.  The liver is unremarkable.  It is difficult to identify the spleen due to summation and silhouetting with adjacent viscera.  Serosal detail is normal._x000D_
_x000D_
Thorax: There is a mild parabronchial pattern.  The remainder the pulmonary parenchyma is unremarkable.  The cardiac silhouette and pulmonary vasculature are unremarkable.  There is no evidence of pleural effusion or lymphadenopathy.</t>
  </si>
  <si>
    <t>Unremarkable abdomen._x000D_
_x000D_
Mild diffuse peribronchial pattern which may represent a lower airway inflammatory process.</t>
  </si>
  <si>
    <t xml:space="preserve">
1.This result detects equivocal/borderline to mild cardiomegaly. _x000D_
2.This result detects a minimal to mild interstitial pulmonary pattern.  _x000D_
3.This result detects a mild, or rarely moderate bronchial pulmonary pattern._x000D_
4.Rarely, this result detects a minimal alveolar pulmonary pattern._x000D_
5.This result does not detect pulmonary vasculature enlargement._x000D_
6.Rarely, this result detects minimal pleural fissure lines/fluid.  </t>
  </si>
  <si>
    <t xml:space="preserve">Some bronchial patterns may mimic pulmonary soft tissue nodules due to bronchial plugging, or granuloma from prior disease.  This may be exacerbated if technical errors/artifacts (obliquity, motion, etc.) are present in the image. 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least 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pleural fluid include: tangential beam artifact/pleural thickening, or unliklely scant pleural fluid (such as from chylous or idiopathic,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</si>
  <si>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WHOLE-BODY (5 total radiographs for review)._x000D_
_x000D_
- Peritoneal serosal detail is normal._x000D_
- On the VD projection the left limb of the pancreas is prominent between the splenic head in the transverse colon._x000D_
- The stomach contains moderate gas and gas-stippled soft-tissue opaque material_x000D_
- The small intestine is mildly diffusely distended and contains gas, soft-tissue/fluid and a few small mineral opaque foci._x000D_
- The colon contains gas, soft-tissue/fluid and mildly desiccated, formed fecal material._x000D_
- The liver is mildly enlarged, with rounded margins._x000D_
- The spleen, region of the kidneys and urinary bladder are normal._x000D_
- There is a mild diffuse bronchial pulmonary pattern present._x000D_
- The patient has a prominent aortic root._x000D_
- The cardiac silhouette is otherwise normal and pulmonary vasculature is normal._x000D_
- The trachea, esophagus and mediastinum are normal._x000D_
- The pleural space, diaphragm and ribs are normal._x000D_
- The remaining intrathoracic structures are normal._x000D_
- On the left, there is mild multifocal osteophyte/enthesophyte formation along the margins of the carpus._x000D_
- Otherwise, the soft tissue and osseous structures of the thoracic limbs are unremarkable.</t>
  </si>
  <si>
    <t>1. Overall, an obvious radiographic cause for the reported clinical signs is not clearly identified._x000D_
_x000D_
2. Unremarkable spine._x000D_
_x000D_
3. Minimal left carpal joint osteoarthritis. Otherwise normal forelimbs bilaterally._x000D_
_x000D_
4. Recent meal and mild aerophagia._x000D_
_x000D_
5. The appearance of the small intestine can be within normal variation however can also reflect a generalized functional ileus such as enteritis or infiltrative bowel disease (e.g. IBD, lymphoma)._x000D_
_x000D_
6. Prominent left limb of the pancreas can be expected in cats and is generally normal however in this case an acute pancreatitis is not excluded._x000D_
_x000D_
7. Mild hepatomegaly. Most likely representing vacuolar (metabolic) hepatopathy. Cholangiohepatitis, neoplasia or hepatic congestion are less likely, but possible._x000D_
_x000D_
8. Mild diffuse bronchial pattern. A component of this may be normal age-related lower airway change, however chronic lower airway disease (e.g. feline asthma, bronchitis of infectious or inhaled irritant etiology) is also possible._x000D_
_x000D_
9. Prominent aortic root. This can be an incidental finding in older cats, but does have an association with systemic hypertension. There is no obvious cardiomegaly to indicate secondary concentric cardiac hypertrophy, however radiographic sensitivity can be limited. You may consider systemic blood pressure measurement in this patient, especially if a cardiac murmur is present.</t>
  </si>
  <si>
    <t>Further diagnostic investigations to consider in this case given the reported history may be abdominal ultrasonography and/or spinal/whole-body CT for more generalized staging/screening.</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</si>
  <si>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distended.  The kidneys are slightly small with mildly irregular margins.  The remaining abdominal organs are normal.</t>
  </si>
  <si>
    <t>Mild renal changes suggestive of chronic renal disease.  Correlation with serum biochemistry, urinalysis, and SDMA may be helpful.  No specific cause for vomiting is not identified.  This does not rule out gastroenteritis, pancreatitis, infiltrative neoplasia, etc.  Based on the history provided, abdominal ultrasound could be considered.  Radiographically normal thorax for patient of this age.</t>
  </si>
  <si>
    <t xml:space="preserve">
1.Negative for pulmonary vasculature enlargement._x000D_
2.Negative for pleural fissure lines/pleural fluid._x000D_
3.Cardiac silhouette: Normal in most cases; rarely, minimal to mild generalized cardiomegaly is present._x000D_
4.Uncommonly, this result detects a minimal to mild bronchial pulmonary pattern._x000D_
5.Rarely, this result detects a minimal to mild interstitial pulmonary pattern._x000D_
6.Rarely, this result detects a minimal alveolar pulmonary pattern.</t>
  </si>
  <si>
    <t>Five radiographs of the thorax and abdomen are provided. The cardiac silhouette is normal size and shape. Soft tissue bulge along the cranial left aspect of the heart on the VD projection is incidental aortic knob. A mild bronchial pattern is present. No soft tissue pulmonary nodules or pleural effusion._x000D_
_x000D_
In the abdomen serosal detail is adequate. On the 1st lateral view there is a large amount of formed feces in the distal colon, with a 3.0 cm fecal ball in the rectum. The stomach and small bowel are minimally filled. Normal-sized liver, spleen, left kidney. The right kidney is reduced in size. No radiopaque urolithiasis. Normal lumbar spine and coxofemoral joints. On the last two abdominal views, the rectal fecal ball is no longer present and there is reduced volume and size of the feces in the descending colon.</t>
  </si>
  <si>
    <t>1. Constipation, significantly improved following enema administration._x000D_
2. Reduced right renal size, consistent with chronic renal disease._x000D_
3. Mild bronchial pattern suggestive of chronic airway inflammation such as asthma. In the absence of a chronic cough, significance is doubtful. Otherwise normal thorax.</t>
  </si>
  <si>
    <t>Routine blood work is recommended to rule out a metabolic abnormality.</t>
  </si>
  <si>
    <t>WHOLE-BODY (5 total radiographs for review)._x000D_
_x000D_
- Mild, diffuse bronchial pulmonary pattern._x000D_
- Mild left-sided mediastinal shift._x000D_
- Unstructured interstitial pattern throughout the left lung lobes._x000D_
- The cardiac silhouette and pulmonary vasculature are normal._x000D_
- The trachea, esophagus and mediastinum are normal._x000D_
- The pleural space, diaphragm and ribs are normal._x000D_
- The remaining intrathoracic structures are normal._x000D_
- Peritoneal serosal detail is normal._x000D_
- The stomach contains mild gas and gas-stippled soft-tissue opaque material_x000D_
- The small intestine contains mild multifocal gas and soft-tissue opaque material_x000D_
- The colon contains gas, soft-tissue/fluid and mild, desiccated formed fecal material._x000D_
- The liver, spleen, region of the kidneys and urinary bladder are normal._x000D_
- There is a left-sided and ventral thoracic body wall subcutaneous ballistic foreign body present. The regional soft-tissue distinction is normal, and the adjacent ribs are unremarkable.</t>
  </si>
  <si>
    <t>1. Mild diffuse bronchial pattern. Given the reported history,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considered._x000D_
_x000D_
2. Left-sided pulmonary atelectasis._x000D_
_x000D_
3. Unremarkable abdomen with mild constipation._x000D_
_x000D_
4. Left-sided ventral thoracic body wall subcutaneous ballistic foreign body.</t>
  </si>
  <si>
    <t>As above</t>
  </si>
  <si>
    <t xml:space="preserve">
1.This result detects a minimal to mild interstitial pulmonary pattern.  _x000D_
2.This result detects a mild to moderate bronchial pulmonary pattern._x000D_
3.This result does not detect an alveolar pulmonary pattern._x000D_
4.This result does not detect soft tissue pulmonary nodules._x000D_
5.This result detects mild to moderate, or rarely severe cardiomegaly._x000D_
6.Rarely, this result detects minimal pulmonary vasculature enlargement._x000D_
7.Rarely, this result detects minimal pleural fissure lines/fluid.  </t>
  </si>
  <si>
    <t>If the patient is dyspneic, or has severe or progressive respiratory clinical signs, rule out left-sided congestive heart failure.  If the patient has mild or no respiratory clinical signs, then differential diagnoses for the bronchial and interstitial pulmonary patterns include: infectious lower airway disease (such as mycoplasma spp., parasitism, viral, or other), immune-mediated lower airway disease (feline asthma), inhaled allergen/irritant, changes from prior disease,  age-related factors, errors in patient positioning/technique, pulmonary hypoinflation, or a combination of these. Differential diagnoses for cardiomegaly include: hypertrophic or thyrotoxic cardiomyopathy in a mature or older patient, or congenital anomaly in a very young patient, or unlikely heartworm disease (unless in edemic areas). Differential diagnoses for pleural fissure lines/fluid include:  left-sided congestive heart failure, tangential beam artifact, pleural folding, or less likely chylous, malignant effusion, hemorrhage, or other.</t>
  </si>
  <si>
    <t xml:space="preserve">
If the patient is dyspneic, or has severe or progressive respiratory clinical signs, consider diuretic trial and oxygen therapy.  Repeat thoracic radiographs after 4-6 hours to evaluate for improvement of changes, and monitor for clinical improvement._x000D_
If the patient has non-severe respiratory clinical signs, consider empirical therapy and supportive care for lower airway disease, with/without airway sampling, fecal analysis/empirical deworming, and respiratory PCR panel._x000D_
Consider cardiologist consultation, echocardiography, ECG and blood pressure._x000D_
Consider routine blood work, urinalysis, and thyroid function testing if not recently performed, especially for mature or older patients._x000D_
If your clinical impression of this patient does not match the content of this result, consider submitting the radiographs for a formal radiologist report.</t>
  </si>
  <si>
    <t>Study:_x000D_
Thoracic radiography: three images dated September 5,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large amount of unstructured heterogeneous/granular soft tissue material presumed to be ingesta. No skeletal abnormalities are present.</t>
  </si>
  <si>
    <t>Normal thorax. There is no radiographic evidence of cardiopulmonary disease. A cause of the respiratory signs is not evident. Consider upper airway disease. The lack of a bronchial pulmonary pattern does not exclude the possibility of allergic/inflammatory (asthma) infectious, inhaled irritant or parasitic lower disease. Airway sampling plus/minus heartworm testing and Baermann fecal flotation can be considered to further evaluate for lower disease. Infectious respiratory disease PCR testing can also be considered for further evaluation of the respiratory signs.</t>
  </si>
  <si>
    <t>Abdomen: Within the right cranial ventral abdomen there is a segment of bowel that has a moderate amount of opaque material within its lumen.  It is uncertain if this represents the cecum/ascending colon or possible segment of small intestine.  The liver is considered small.    The visible portions of the spleen are unremarkable.  Serosal detail is normal.  On the visible portions of the thorax there is a fat/soft tissue opacity involving the cutaneous/subcutaneous tissues along the ventral portions of the sternum.  The cardiac silhouette and pulmonary vasculature are unremarkable.</t>
  </si>
  <si>
    <t>The segment of bowel within the right cranial ventral abdomen may represent fecal impaction with in the cecum/ascending colon.  Alternatively this may represent impaction of a small intestine due to possible stricture or mass._x000D_
_x000D_
Mild microhepatica._x000D_
_x000D_
Suspect cutaneous/subcutaneous soft tissue mass/lipoma involving the ventral portions of the thorax.</t>
  </si>
  <si>
    <t>Consider abdominal ultrasound for further evaluation.</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</si>
  <si>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granular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</si>
  <si>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This material does not appear obstructive, although chronic partial obstruction secondary to neoplasia cannot be excluded.  Abdominal ultrasound may be helpful.  Radiographically normal thorax for patient of this age.</t>
  </si>
  <si>
    <t>A closed mouth dorsoventral radiograph of the head, and five views of the thorax/abdomen are provided. Increased left nasal sinus opacity likely due to superimposed mandibles. No osseous lysis is appreciated. On the edge of one of the lateral views, the caudal head is visible and the nasopharynx is normally air-filled. Tympanic bullae are thin-walled and air-filled. No laryngeal abnormalities. Tracheal diameter and position are normal. The cardiac silhouette is prominent, although there is a moderate amount of fat encircling the heart and extending into the cranial mediastinum. A mild bronchial pattern is present. No pleural effusion. In the abdomen there is large volume soft tissue opaque ingesta in the stomach. Small bowel are mildly filled. Formed feces fills the colon. Normal sized kidneys, liver, spleen. No radiopaque cystic calculi. Osseous structures are unremarkable.</t>
  </si>
  <si>
    <t>1. Mild bronchial pattern suggestive of chronic airway inflammation such as asthma. This is the most likely cause for the clinical signs. No head/neck or tracheal abnormalities are appreciated._x000D_
2. Equivocal mild cardiomegaly. This may be artifact due to adjacent fat deposition. Cardiomyopathy is not ruled out and would be suspected if the patient had a murmur._x000D_
3. Normal abdomen.</t>
  </si>
  <si>
    <t>If the patient has a murmur or arrhythmia, an echocardiogram would be recommended. Otherwise, cardiac proBNP evaluation could be considered to investigate for evidence of underlying cardiac disease.</t>
  </si>
  <si>
    <t>Three radiographs of the thorax/abdomen are provided. The cardiac silhouette and pulmonary vessels are normal size and shape. There are no abnormalities in the pulmonary parenchyma. No pleural effusion. Fat deposition is seen ventral to the heart on the right lateral view. In the abdomen the liver is upper normal size to mildly enlarged with smooth margins. Normal-sized kidneys and spleen. Small volume gas and soft tissue density in the stomach. Small bowel are minimally filled. Small volume of formed feces in the colon. No radiopaque urolithiasis. Normal osseous structures.</t>
  </si>
  <si>
    <t>1. Equivocal mild hepatomegaly, consider hepatic lipidosis, acute inflammation, hepatopathy, or neoplasia._x000D_
2. Small volume gastric contents appears to be residual ingesta. Foreign material is not ruled out but given lesser consideration in the absence of vomiting._x000D_
3. Normal thorax.</t>
  </si>
  <si>
    <t>Five radiographs of the thorax and abdomen, and a lateral view of the proximal pelvic limbs are provided. Images dated 5/25/23 are available for comparison. The cardiac silhouette and pulmonary vessels are normal size and shape. There is no pleural fluid or gas. The diaphragm is intact. The lungs are clear. No rib fractures. Normal proximal thoracic limbs and thoracic spine._x000D_
_x000D_
In the abdomen the urinary bladder is minimally distended and soft tissue opaque. The gastrointestinal tract is minimally filled. No radiopaque foreign material or urolithiasis. Normal-sized kidneys, liver, spleen. No definitive narrowed intervertebral disc spaces or foramina. The vertebrae are in appropriate alignment. The sacroiliac and coxofemoral joints are congruent. No pelvic fractures. Pelvic limb musculature is symmetric and adequate. The patellas are in normal position. No stifle joint effusion. Punctate mineral density in the cranial aspect of the caudally positioned stifle on the lateral view is incidental meniscal mineralization. No tail abnormalities.</t>
  </si>
  <si>
    <t>Normal thorax, abdomen, proximal pelvic limbs. A reason for discomfort is not identified. Soft tissue sprain/strain is suspected. A non-mineralized intervertebral disc lesion is also possible.</t>
  </si>
  <si>
    <t>Recommend a CBC, blood chemistry profile, supportive care with anti-inflammatories, and rest. If there is no improvement or if the patient develops neurologic deficits, consultation with a neurologist and advanced spinal imaging with MRI would be recommended.</t>
  </si>
  <si>
    <t>Study:_x000D_
Thoracic/abdominal radiography: four images dated September 4,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 uterus is not visualized. The 13th ribs are hypoplastic. The left 13th rib is fractured and caudally displaced.</t>
  </si>
  <si>
    <t>1. Unremarkable abdomen. A cause of the reported lethargy and vomiting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thorax._x000D_
3. Left 13th rib fracture.</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</si>
  <si>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markedly fluid distended with some gas and a suspected/questionable protruding mas at the level of the pyloric antrum seen in the lateral view._x000D_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</si>
  <si>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thorax without signs of pulmonary metastases nor signs of thoracic lymphadenopathy._x000D_
2) Severe gastric fluid distension. Rule out a gastric wall neoplasm obstructing the gastric outflow vs a non neoplastic process as a mass is unlikely at this age vs. a functional ileus is less likely.</t>
  </si>
  <si>
    <t>Consider abdominal US focusing in the stomach/duodeum and urinary tract with a contralateral view of the thorax.</t>
  </si>
  <si>
    <t xml:space="preserve">
1.This result detects a minimal to moderate bronchial pulmonary pattern._x000D_
2.This result detects a minimal to mild interstitial pulmonary pattern._x000D_
3.This result does NOT detect an alveolar pulmonary pattern. _x000D_
4.This result detects mild to moderate cardiomegaly._x000D_
5.This result does NOT detect pleural fissure lines.</t>
  </si>
  <si>
    <t>Study:_x000D_
Thoracic/abdominal radiography: right lateral and orthogonal views (two images) dated September 4, 2024_x000D_
_x000D_
Compared to prior study dated August 28, 2024_x000D_
_x000D_
Findings:_x000D_
The cardiac silhouette is normal in size and shape. The pulmonary vasculature is normal in size. There is a complex pulmonary pattern characterized by a diffuse mild to moderate bronchial pulmonary pattern and multifocal patchy interstitial to alveolar infiltrates scattered throughout the lung fields. These findings are in change from the prior examination. Thin pleural fissure lines are seen between the right cranial/middle lung lobe and the segments of the left cranial lung lobe on the VD view. There is no apparent intrathoracic lymphadenopathy. The trachea is normal in diameter. The abdominal serosal detail is normal. The stomach contains unstructured heterogeneous/granular soft tissue material presumed to be ingesta with a small amount of interspersed stippled mineral. Similar material is present in the small intestines. The small intestines are normal in size size and course. The colon contains formed fecal material. The liver and spleen are normal in size and margin. The kidneys are normal in size and contour. The urinary bladder is normal in size and opacity. The osseous structures are unremarkable/age appropriate.</t>
  </si>
  <si>
    <t>1. The (static) pulmonary findings may indicate infectious bronchitis/pneumonia, fungal disease, congenital bronchiolitis obliterans and cryptogenic organizing pneumonia or severe inflammatory lower airway disease. Consider computed tomography of the thorax, airway sampling, regionally/travel appropriate appropriate fungal serology testing and toxoplasmosis titers for further evaluation._x000D_
2. The thin pleural fissure lines seen on the VD view may indicate incidental tangential visualization, pleural thickening or trace pleural effusion._x000D_
3. Postprandial gastrointestinal tract=ZZ90= otherwise, unremarkable abdomen.</t>
  </si>
  <si>
    <t xml:space="preserve">
1.This result detects a mild to moderate interstitial pulmonary pattern.  _x000D_
2.This result detects a minimal to mild bronchial pulmonary pattern._x000D_
3.Rarely, this result detects a minimal to mild alveolar pulmonary pattern._x000D_
4.Uncommonly, this result detects pulmonary soft tissue or cavitary nodules._x000D_
5.This result detects equivocal/borderline to moderate cardiomegaly. _x000D_
6.Rarely, this result detects minimal to mild pulmonary vasculature enlargement._x000D_
7.Uncommonly, this result detects minmal to moderate pleural fissure lines/fluid.  </t>
  </si>
  <si>
    <t>The cardiac silhouette may be obscured by pleural fluid and some large soft tissue thoracic masses.  Some large intra-thoracic masses may mimic cardiomegaly. If the patient is acutely dyspneic or has severe or progressive respiratory clinical signs, rule out left-sided congestive heart failure.   If present,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or patients with historic infectious/inflammatory lower airway disease. Granulomatous/fungal disease (such as blastomycosis spp.) is unlikely, unless the patient has an appropriate travel/exposure history.  If the patient has respiratory clinical signs, then differential diagnoses for mixed bronchial and interstitial pulmonary patterns include: immune-mediated lower airway disease (i.e. feline asthma) or infectious lower airway disease (such as mycoplasma spp., parasitism, viral, or other), versus evolving left-sided congestive heart failure, or less 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evovling left-sided congestive heart failure, evolving neoplasia, or less likely bronchopneumonia, or other. Differential diagnoses for pleural fluid include: malignant, chylous or idiopathic pleural fluid.  If minimal pleural fissure lines are present, tangential beam artifact/pleural thickening is also considered.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</si>
  <si>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 xml:space="preserve">
If the patient is dyspneic, or has severe or progressive respiratory clinical signs, consider therapy for left-sided congestive heart failure with diuretic trial and oxygen therapy.  Repeat thoracic radiographs after 4-6 hours to evaluate for resolution of radiographic findings,  and monitor for clinical improvement._x000D_
Depending on the volume of pleural fluid present, thoracocentesis with fluid analysis/cytology and repeat thoracic radiographs may be contributory. Consider repeat imaging following the procedure, as previously obscured lesions may be revealed._x000D_
Consider computed tomography of the thorax for further evaluation of pulmonary soft tissue nodules/masses.  Consider tissue sampling if lesions are confirmed, and oncologist consultation depending on results._x000D_
If the patient has clinical signs consistent with active infectious/inflammatory lower airway disease, then consider empirical therapy and supportive care in the interim as needed._x000D_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</si>
  <si>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Three radiographs of the thorax, and three views of the abdomen are provided. The cardiac silhouette and pulmonary vessels are normal size. The lungs are clear. No pleural effusion. Osseous structures are unremarkable._x000D_
_x000D_
In the abdomen the urinary bladder is mildly filled and soft tissue opaque. No medial iliac lymphadenomegaly. The kidneys are normal size, shape, opacity. The gastrointestinal tract is minimally filled. Normal-sized spleen and liver. The coxofemoral joints are congruent.</t>
  </si>
  <si>
    <t>Normal thorax and abdomen. There is no evidence of radiopaque urolithiasis.</t>
  </si>
  <si>
    <t>Urine culture could be considered. If further evaluation of the urinary tract is desired, ultrasound would be recommended.</t>
  </si>
  <si>
    <t>THORAX, three images dated September 03, 2024._x000D_
_x000D_
 The patient has increased subcutaneous fat. The cardiovascular structures and pulmonary parenchyma are within normal limits. The pleural and mediastinal spaces are within normal limits. No intrathoracic lymphadenopathy is seen. There is a small amount of gas within the esophagus. The stomach contains amorphous, soft-tissue-opaque material, most consistent with food. The remainder of the visible abdomen is within normal limits. No osseous abnormalities are noted.</t>
  </si>
  <si>
    <t>Normal thorax with no evidence of pulmonary metastatic disease.</t>
  </si>
  <si>
    <t>David Szabo</t>
  </si>
  <si>
    <t>Orthogonal views of the abdomen are provided:_x000D_
_x000D_
Abdomen:_x000D_
_x000D_
The stomach is almost empty._x000D_
Small intestines are mildly gas and fluid filled, not overtly distended. No signs of mechanical ileus._x000D_
Serosal detail is preserved._x000D_
Liver and spleen are within normal limits of size and smoothly marginated._x000D_
Kidneys show bilateral small renoliths. No evidence of ureteroliths. However, the urinary bladder shows two cystic calculi along with multiple distal urethral calculi._x000D_
_x000D_
Unremarkable thorax.</t>
  </si>
  <si>
    <t>1) Bilateral small renoliths along with cystic calculi and multiple distal urethral calculi.</t>
  </si>
  <si>
    <t>Consider retrograde hydropulsion with abdominal US to further evaluate the urinary tract with renal function test, urinalysis, UPC and urine culture, evaluating treatment options.</t>
  </si>
  <si>
    <t>THORAX and ABDOMEN, three images dated September 03, 2024._x000D_
_x000D_
The patient is thin. There is a mild diffuse pulmonary bronchial pattern. There is generalized enlargement of the cardiac silhouette. The pulmonary vasculature is normal. The pleural and mediastinal spaces are within normal limits. No intrathoracic lymphadenopathy is seen. The stomach contains gas and possible fluid, with gas in the pylorus in the left lateral view. The small intestines are a combination of gas-filled and fluid-filled/collapsed, and all are within normal limits in diameter. The colon contains a combination of gas and granular fecal material. There is suture material associated the ventral abdominal body wall. No other definitive abdominal abnormality is noted. There is multifocal spondylosis deformans with multifocal intervertebral disc space narrowing, particularly T9-T10 and lumbosacral.</t>
  </si>
  <si>
    <t>- The mild diffuse pulmonary bronchial pattern suggests lower airway disease of inflammatory, infectious, or parasitic etiologies._x000D_
_x000D_
- The enlarged cardiac silhouette may be secondary to increased pericardial fat and/or cardiomegaly with no evidence of left-sided congestive heart failure._x000D_
_x000D_
-Possible intestinal ileus._x000D_
_x000D_
-Intervertebral disc disease.</t>
  </si>
  <si>
    <t>Further investigation for lower airway disease could include heartworm testing, fecal Baermann, and/or airway sampling._x000D_
_x000D_
 ECG, cardiac proBNP levels, an echocardiogram, and a cardiology consult can be considered to further evaluate the heart._x000D_
_x000D_
Abdominal ultrasound to be considered as well submission of a gastrointestinal panel.</t>
  </si>
  <si>
    <t xml:space="preserve">
1.This result detects none, or equivocal/borderline to mild cardiomegaly. _x000D_
2.This result detects a minimal to mild interstitial pulmonary pattern.  _x000D_
3.This result detects a minimal to mild, or rarely moderate bronchial pulmonary pattern._x000D_
4.Rarely, this result detects a minimal to mild alveolar pulmonary pattern._x000D_
5.This result does not detect pulmonary soft tissue nodules._x000D_
6.This result does not detect pulmonary vasculature enlargement._x000D_
7.This result does not detect pleural fissure lines/fluid.  </t>
  </si>
  <si>
    <t>Four radiographs of the thorax/abdomen are provided. The cardiac silhouette and pulmonary vessels are normal size. The heart lies relatively flat along the sternum, an incidental aged feline variant. This also results in the soft tissue bulge along the cranial left aspect of the heart on the VD view (aortic knob). Punctate increased opacity overlying the cranial heart on the left lateral view and overlying the mid heart on the right lateral projection is a portion of a costal cartilage. There is hazy ovoid soft tissue opacity dorsal to the cranial sternum, measuring at least 1.3 x 1.0 cm. No soft tissue pulmonary nodules. In the abdomen the liver and kidneys are normal size. Possible enlarged/rounded splenic tail on the lateral views. The stomach contains moderate volume kibble-like soft tissue density. Small bowel are mildly filled with fluid and gas. Gas and non-formed feces in the distal colon. Punctate mineral densities overlying the urinary bladder on the right lateral view appear to be superimposed intestinal debris. Severe degenerative change in the right coxofemoral joint.</t>
  </si>
  <si>
    <t>1. Suspect enlarged/rounded splenic tail. In a feline patient this is concerning for neoplasia such as lymphoma, mast cell, or hemangiosarcoma._x000D_
2. Probable sternal lymphadenopathy. This is typically indicative of the disease process originating from the cranial abdomen. No other thoracic abnormalities.
(amended on 09/04/2024 06:16)
3. Impending diarrhea.</t>
  </si>
  <si>
    <t>THORAX and ABDOMEN, three images dated September 03, 2024._x000D_
_x000D_
There are dorsal thoracic subcutaneous gas foci, presumably secondary to an injection. The cardiovascular structures and pulmonary parenchyma are within normal limits. The pleural and mediastinal spaces are within normal limits. No intrathoracic lymphadenopathy is seen. There is decreased abdominal serosal detail with a wispy increased soft tissue opacity. The stomach contains a small amount of gas. The small intestines are a combination of gas-filled and fluid-filled/collapsed, and all are within normal limits in diameter. The colon contains a combination of gas and granular fecal material. No other definitive abdominal abnormality is noted though the poor detail limits evaluation.</t>
  </si>
  <si>
    <t>Peritonitis/abdominal effusion with no definitive cause seen. Inflammatory and infectious etiologies are considered._x000D_
_x000D_
Normal thorax.</t>
  </si>
  <si>
    <t>Abdominal ultrasound and complete blood work are recommended.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</si>
  <si>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ingesta.  The small intestines are normal in size.  Gas and feces are present in the colon.  The urinary bladder is small.  No mineral is seen associated with the urinary tract.  The kidneys are slightly small.  The remaining abdominal organs are normal.</t>
  </si>
  <si>
    <t>Mild decrease in renal size may indicate chronic renal disease.  Radiographically normal thorax for patient of this age.</t>
  </si>
  <si>
    <t>Four radiographs of the thorax/abdomen are provided. The cardiac silhouette is normal size and shape. Pulmonary vessels are normal size. There is a mild bronchial pattern throughout the lungs. Increased opacity overlies the mid ventral heart on the left lateral view, seen as hazy increased opacity to the right of the heart on the VD projection. No air bronchograms are appreciated. There is no pleural effusion. Small volume fat deposition separates the heart from the sternum on the lateral views. In the abdomen there is abundant peritoneal and retroperitoneal fat. The gastrointestinal tract is mildly filled. Normal-sized liver, spleen, kidneys, although the left kidney is slightly smaller than the right. No radiopaque cystic calculi. Osseous structures are unremarkable.</t>
  </si>
  <si>
    <t>1. Mild bronchial pattern consistent with chronic airway inflammation such as asthma. Increased opacity in the right middle lung lobe is most likely incidental lobar collapse, a common incidental sequela with asthma. Focal pneumonia is given lesser consideration._x000D_
2. Asymmetric kidneys, likely chronic renal disease. Otherwise normal abdomen.</t>
  </si>
  <si>
    <t>If the patient is febrile or has elevated white blood cell count, antibiotics would be recommended.</t>
  </si>
  <si>
    <t>3 views of the thorax are presented for review.  The cardiovascular structures are normal.  There is a diffuse bronchointerstitial pulmonary pattern that is considered appropriate for the age of the patient.  No pulmonary nodules or enlarged intrathoracic lymph nodes are seen.  The pleural and mediastinal structures are normal.  Cranial abdominal detail is adequate.</t>
  </si>
  <si>
    <t>Study:_x000D_
Thoracic/abdominal radiography: right lateral and orthogonal views dated September 2, 2024_x000D_
_x000D_
Findings:_x000D_
The cardiac silhouette and pulmonary vasculature are normal in size there is a moderate generalized bronchial pulmonary pattern. The pleural space is normal. There is no intrathoracic lymphadenopathy. The trachea is normal in diameter and course. The abdominal serosal detail is normal. The stomach contains a small volume of gas. The small intestines are normal in size, course and content. The colon contains gas and formed fecal material with a normal diameter. The liver and spleen are normal in size and margin. The kidneys are normal in size and contour. The urinary bladder is normal in size and opacity. There is mild multifocal thoracic and L7-S1 spondylosis deformans.</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</si>
  <si>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Unremarkable abdomen.</t>
  </si>
  <si>
    <t>The suspected lower disease may be unrelated to the reported sneezing and epistaxis. Consider infectious respiratory disease PCR testing, computed tomography of the head and rhinoscopy for further evaluation of the upper respiratory signs.</t>
  </si>
  <si>
    <t xml:space="preserve">Three view orthogonal radiographs (3 images) of the thorax and cranial abdomen dated September 3, 2024, are available for interpretation. No prior images are available for comparison.
The cat was not sedated.
Thorax:
Airway/pulmonary: No pulmonary nodules are noted. The pulmonary parenchyma in the perihilar region has a mild, mixed peribronchial and interstitial pattern that is more severe centrally on the lateral projection and closer to midline on the VD projection. Minimal pulmonary hyperinflation is present cranially with rounding to the cranial lung lobes.
Cardiovascular: Mild cardiomegaly is present along with mild pulmonary vessel enlargement centrally. ON the VD projection, the caudal pulmonary arteries are enlarged. On the lateral projection, the cranial portion of the descending aorta is mildly dilated but tapers to a normal diameter at the 6th intercostal space. The CVC is small. 
Mediastinum: Normal
Pleural space: No pleural fluid or pneumothorax noted.
Cranial abdomen: The liver is within the costal arch. The stomach contains a moderate amount of ingesta. The cranial abdominal detail is normal.
Msk: S7 is short but retains a smooth margin. </t>
  </si>
  <si>
    <t xml:space="preserve">1) Mild cardiomegaly. Mild pulmonary vessel enlargement with caudal pulmonary artery enlargement on the VD projection. Perihilar infiltrate concerning for resolving overcirculation edema. Lack of left atrial enlargement on today's cardiac ultrasound may be secondary to dehydration given the small CVC on radiographs. 
2) Proximal descending aortic enlargement. A PDA causing pulmonary overcirculation is a primary consideration. An aortic aneurysm is a lesser consideration. Aortic dilation secondary to SAM is not suspected as SAM was not identified on the cardiac ultrasound today. </t>
  </si>
  <si>
    <t xml:space="preserve">Await results from cardiac ultrasound performed same day.
Monitor for clinical signs of cardiogenic pulmonary edema. </t>
  </si>
  <si>
    <t>Seth Wallack</t>
  </si>
  <si>
    <t>Full body. Three radiographs (two lateral, one VD) dated September 3, 2024 are provided.
Cardiac silhouette: The cardiac silhouette is normal in size and shape.
Pulmonary vessels: The pulmonary arteries and veins are normal in size and are symmetrical.
Pulmonary parenchyma: There is mild diffuse bronchial pattern. Small airways appear as small donuts and tram tracks throughout the pulmonary parenchyma.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filled with heterogeneous ingesta admixed with gas. The small intestines are diffusely within normal limits of diameter and distribution. The colon is filled with feces and gas.
Liver: The liver is normal in size and shape.
Spleen: The spleen is normal in size with smooth margins.
Urinary: The kidneys are normal in size, shape, and margination. The urinary bladder is small in size and normal in opacity.
Peritoneal space: There is adequate serosal detail.
Musculoskeletal: There is reduced coverage of the left femoral head by the acetabulum. The left femoral neck is moderately thickened. There is mild periosteal perforation cranial to the right and left acetabula. There is mild spondylosis deformans of the lumbosacral junction and mid thoracic spine. There is evidence of elbow arthritis (unknown laterality).</t>
  </si>
  <si>
    <t>1. Mild diffuse bronchial pattern consistent with lower airway inflammation. Differentials include feline lower airway disease of allergic, infectious/inflammatory, irritant, or parasitic etiologies.
2. Unremarkable abdomen.
3. Moderate left hip osteoarthritis.
3. Elbow osteoarthritis.</t>
  </si>
  <si>
    <t>Consider respiratory PCR panel, airway sampling, and fecal analysis for further evaluation and to guide treatment.  Recheck thoracic radiographs would be recommended if clinical signs acutely change, fail to improve, or worsen.</t>
  </si>
  <si>
    <t xml:space="preserve">
1.This result detects a minimal to mild, or rarely moderate interstitial pulmonary pattern.  _x000D_
2.This result detects a minimal to mild, or rarely moderate bronchial pulmonary pattern._x000D_
3.Rarely, this result detects a minimal to mild alveolar pulmonary pattern._x000D_
4.This result does not detect pleural fissure lines/fluid.  _x000D_
5.This result does not detect pulmonary vasculature enlargement._x000D_
6.This result detects equivocal/borderline to mild cardiomegaly. </t>
  </si>
  <si>
    <t>THORAX (3 images):
Images are dated September 3, 2024.
Prior images dated August 28, 2024 are available.
Pulmonary parenchyma: In the right caudal lung lobe is an ovoid lucent structure with a thin or slightly thick, well-defined soft tissue wall.    In the ventrodorsal image, ill-defined increased soft tissue is over the right caudal lung, not well-identified in the lateral images.  A minimal to mild diffuse bronchial pattern is present.
Pulmonary vasculature: The pulmonary vasculature is subjectively normal in size and tapers in the periphery of the lungs.
Cardiac silhouette: The cardiac silhouette is mildly generally enlarged and tall in the lateral images.  
Mediastinum: The cranial mediastinum is normal.
Trachea: The trachea is normal.
Esophagus: The esophagus is not well-identified.
Pleural space: Mild pleural fluid is present with slight widening of right-sided and left-sided pleural fissures, and rounding of lung lobe margins in the diaphragmatic recesses.  
Musculoskeletal: Spondylosis deformans is ventral to T13-L1 and L1-2.  The patient is slightly thin with slightly concave soft tissues between spinous processes.  Dorsal extra-thoracic emphysema is resolved.  The remaining included musculoskeletal structures are normal.</t>
  </si>
  <si>
    <t>1. Right caudal lung lobe pulmonary bullae or atypical/evolving pulmonary neoplasm such as a primary pulmonary carcinoma.
2. Mild generalized cardiomegaly is subjectively improved from prior.
- Differential diagnoses include hypertrophic or thyrotoxic cardiomyopathy or unlikely other.
3. Right caudal lung lobe interstitial pattern in the ventrodorsal image due to artifact/superimposed pleural fluid and/or residual left-sided congestive heart failure, or evolving ill-defined pulmonary carcinoma versus other.
4. Mild pleural fluid such as from left-sided congestive heart failure and/or malignant effusion, or unlikely other.
- This is improved from prior.
5. Minimal diffuse bronchial pattern due to fibrosis from prior disease, age-related changes, infectious/immune-mediated lower airway disease (such as from feline asthma), or unlikely other.
- This is improved from prior.  
6. Thin body condition.</t>
  </si>
  <si>
    <t>Consider echocardiography, eCG, blood pressure and thoracocentesis with fluid analysis/cytology for further evaluation given improvement of images between examinations.   Routine blood work and thyroid function testing if not recently performed. Consider also computed tomography of the thorax for further evaluation of the right caudal lung lobe, and oncologist consultation depending on results.  No current evidence of pneumothorax.   Empirical therapy and supportive care in the interim as needed.  Monitoring as directed or sooner if clinical signs acutely change, fail to improve or worsen.</t>
  </si>
  <si>
    <t xml:space="preserve">
1.Uncommonly, this result detects a mild to moderate alveolar pulmonary pattern.  _x000D_
2.Uncommonly, this result detects soft tissue or cavitary pulmonary nodules._x000D_
3.This result detects a mild to moderate bronchial pulmonary pattern._x000D_
4.This result detects a mild to moderate interstitial pulmonary pattern._x000D_
5.This result detects equivocal/borderline to moderate, or rarely severe cardiomegaly._x000D_
6.This result detects minimal to moderate pleural fissure lines/fluid.</t>
  </si>
  <si>
    <t xml:space="preserve">Some alveolar patterns and pulmonary nodules/masses can mimic each others appearance on thoracic radiographs, resulting in false positive/negative results. Differential diagnoses for a pulmonary nodule/mass include: primary pulmonary carcinoma (especially if cavitary), metastatic disesae from an occult primary mass, unlikely other neoplasms (primary or multicentric), or least likely granulomatous/fungal disease (such as blastomycosis spp.). Differential diagnoses for an alveolar pattern include: bronchial plugging (such as from concurrent immune-mediated or infectious lower airway disease), atelectasis (such as from recumbency), or unlikely other such as bronchopneumonia. The mixed interstitial and bronchial pulmonary patterns are NOT suspected to represent left-sided congestive heart failure. Differential diagnoses for mixed bronchial and interstitial pulmonary patterns include: infectious lower airway disease (such as mycoplasma spp., parasitism, viral, or other), immune-mediated lower airway disease (feline asthma), or inhaled allergen/irritant, or less likely other.  Underlying changes from prior disease and age-related changes may also be present.   Differential diagnoses for pleural fluid include: malignant effusion, pleuropneumonia, or chylous effusion.  If scant pleural fluid is identified, consider also: tangential beam artifact, thickened pleura, or pleural fold.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t>
  </si>
  <si>
    <t xml:space="preserve">
Consider computed tomography of the thorax for further evaluation. Consider tissue sampling of a nodule/mass lesion if confirmed on computed tomography._x000D_
Consider empirical therapy for possible bronchopneumonia in the interim, especially if the patient has appropriate signs (fever, cough, etc.)_x000D_
Consider cardiologist consultation, echocardiography. ECG and blood pressure._x000D_
Routine blood work and thyroid function testing may be contributory if not recently performed, especially for mature or older patients._x000D_
Consider empirical therapy and supportive care for underlying lower airway disease in the interim, especially if clinical signs (e.g. coughing) are present.  Consider also airway sampling, fecal analysis/empirical deworming, and respiratory PCR panel._x000D_
If your clinical impression of this patient does not match the content of this result, consider submitting the radiographs for a formal radiologist report.</t>
  </si>
  <si>
    <t>Opposite lateral and ventrodorsal whole body radiographs (3 images) dated September 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unremarkable in size for a juvenile cat. The spleen is unremarkable. Both kidneys are normal in size and shape, and the left kidney is incidentally positioned cranial to the right kidney. The urinary bladder is small and fluid opaque. The stomach contains a moderate amount of gas and a scant amount of fluid. The small intestine is unremarkable in size, course, and content. The colon contains a moderate amount of formed stool and has a normal course. Retroperitoneal and peritoneal detail are normal. No regional lymphadenopathy is evident._x000D_
_x000D_
No disc space narrowing, osseous degenerative changes, developmental anomalies, fractures, subluxations, or aggressive processes are identified in the vertebral column. The shoulders, elbows, and remainder of the included thoracic limbs are unremarkable. The hips/pelvis and visible portions of the stifles are also unremarkable. No physeal abnormalities are detected.</t>
  </si>
  <si>
    <t>1. Unremarkable study of the axial and appendicular skeleton._x000D_
2. Normal thorax._x000D_
3. The degree of gas buildup in the stomach is atypical in the cat and may represent gastritis, aerophagia incidental from sedation (if applicable).</t>
  </si>
  <si>
    <t>CBC, chemistry, UA, thyroid, fecal, FeLV/FIV, and blood pressure. Toxoplasmosis titers._x000D_
Neurology consultation. Advanced spinal and brain imaging may be needed.</t>
  </si>
  <si>
    <t>Study:_x000D_
Thoracic radiography: right lateral and orthogonal views (two images) dated September 2, 2024_x000D_
_x000D_
Findings:_x000D_
The cardiac silhouette and pulmonary vasculature are normal in size. There is a mild caudodorsal bronchial pulmonary pattern. The pleural space is normal. There is no intrathoracic lymphadenopathy. The trachea is normal in diameter and course. The stomach contains granular soft tissue material presumed to be ingesta. The osseous structures are unremarkable.</t>
  </si>
  <si>
    <t>The mild caudodorsal bronchial pulmonary pattern may indicate allergic/inflammatory bronchitis (asthma). Infectious, parasitic and irritant bronchitis are also possible. Airway sampling plus/minus Baermann fecal flotation can be considered for further evaluation. Alternatively, a treatment trial for asthma can be considered.</t>
  </si>
  <si>
    <t xml:space="preserve">
1.This result detects a minimal to mild interstitial pulmonary pattern.  _x000D_
2.This result detects a minimal to mild bronchial pulmonary pattern._x000D_
3.This result does not detect an alveolar pulmonary pattern._x000D_
4.This result does not detect pulmonary soft tissue nodules._x000D_
5.This result detects equivocal/borderline to mild cardiomegaly. _x000D_
6.This result does not detect pulmonary vasculature enlargement._x000D_
7.This result does not detect pleural fissure lines/fluid.  </t>
  </si>
  <si>
    <t xml:space="preserve">ABDOMEN (3 images):
Images are dated August 31, 2024
Liver: The liver is slightly small and occupies 1-2 intercostal spaces width.  
Spleen: The spleen is in the mid-ventral abdomen of the right lateral image with smooth, well-defined margins.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mild volume of gas and amorphous soft tissue material.   The stomach is within normal limits for size.
The small intestine contains mild gas and fluid or is empty with a subjectively uniform population for size.   No obvious plication of intestinal segments in this examination.
The colon contains moderate well-defined soft tissue material and gas.  The colon is within normal limits for size.  
Musculoskeletal: The included musculoskeletal structures are normal.
</t>
  </si>
  <si>
    <t>1. Non-specific gastrointestinal tract appearance such as from enteritis, colitis, or individual variation of normal.
- No current evidence of small intestinal linear foreign body.
2. Minimal gastric material from recent meal, foreign material or unlikely other, without current evidence of pyloric outflow obstruction.
3. Mild microhepatia versus artifact/individual variation of normal.
- If present, consider occult portosystemic shunt, or unlikely other.
4. Equivocal splenomegaly versus variation of normal/artifact in positioning.
- If present, consider passive congestion from sedation (if administered) extramedullary hematopoiesis, lymphoid hyperplasia or unlikely other.</t>
  </si>
  <si>
    <t>Empirical therapy and supportive care in the interim as needed for dietary indiscretion.  Routine blood work and bile acid testing may be contributory if clinically indicated.  Repeat abdominal imaging for further evaluation, especially if clinical signs attributable to linear foreign body obstruction manifest in the interim.</t>
  </si>
  <si>
    <t>6 images of the thorax are provided for review and compared with the study dated 7/20/2024. There is a mild bronchial pattern in all lung lobes.  The cardiovascular structures are normal.  The mediastinal and pleural structures are normal.  Cranial abdominal detail is adequate.</t>
  </si>
  <si>
    <t>Consider continued empiric therapy versus further diagnostics such as heartworm testing, Baermann fecal, airway sampling.</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</si>
  <si>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limits.No signs of abnormal pulmonary patterns nor signs of edema._x000D_
Pleural space (no signs of pleural effusion), mediastinum, diaphragm and thoracic wall within normal limits.</t>
  </si>
  <si>
    <t>1) Unremarkable lungs do not exclude a chronic lower airway disease such as asthma, chronic bronchitis or parasitic bronchitis. A subjacent cardiomyopathy can not be excluded on plain radiographs either.</t>
  </si>
  <si>
    <t>Given the age of the patient along with the respiratory signs and lack of thoracic abnormalities in these radiographs, consider a cardiology consultation with ECG and echocardiogram prior to an empirical treatment for asthma or chronic bronchitis evaluating response to treatment. If clinical signs persist, consider a bronchoscopy with BAL, culture, cytology, Baermann test and deworming.</t>
  </si>
  <si>
    <t>WHOLE-BODY (6 total radiographs for review). _x000D_
_x000D_
- The patient has a slightly thin body condition._x000D_
- The stomach contains mild gas and gas-stippled soft-tissue opaque material_x000D_
- The small intestine contains mild multifocal gas and soft-tissue opaque material_x000D_
- The colon contains gas, soft-tissue/fluid and mild, desiccated formed fecal material._x000D_
- The left kidney is mildly small and irregularly marginated.  The right kidney is of limited assessment due to superimposition._x000D_
- The liver, spleen and urinary bladder are normal._x000D_
- The cardiac silhouette and pulmonary vasculature are normal._x000D_
- The pulmonary parenchyma is normal_x000D_
- The trachea, esophagus and mediastinum are normal._x000D_
- The pleural space, diaphragm and ribs are normal._x000D_
- The remaining intrathoracic structures are normal._x000D_
- There is mild lumbosacral spondylosis deformans.</t>
  </si>
  <si>
    <t>1.  An obvious radiographic cause for poor appetite and lethargy is not distinctly identified.  There is the impression of a mildly small and irregular left kidney, which can be consistent with the history of chronic degenerative renal disease.  Otherwise, the abdomen is relatively unremarkable besides mild constipation.  If clinically indicated, consider abdominal ultrasonography in this patient for further evaluation._x000D_
_x000D_
2. Normal thorax._x000D_
_x000D_
3. Mild degenerative lumbosacral disease._x000D_
_x000D_
4. Mildly thin body condition.</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</si>
  <si>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Bilateral renoliths.</t>
  </si>
  <si>
    <t>1) Unremarkable thorax without signs of cardiomegaly (this does not exclude a cardiomyopathy or a hyperthyroidism) pulmonary metastases nor signs of thoracic lymphadenopathy._x000D_
2) Bilateral renoliths.</t>
  </si>
  <si>
    <t>Given the lack of cardiomegaly but audible murmur, consider a cardiology consultation with ECG and echocardiogram prior to a potential CT of the nasal cavity with rhinoscopy and biopsies._x000D_
Consider abdominal US to further evaluate the urinary tract with renal function, UPC and urinalysis.</t>
  </si>
  <si>
    <t>WHOLE-BODY (3 total radiographs for review). _x000D_
_x000D_
- Peritoneal serosal detail is normal._x000D_
- The stomach contains mild gas and gas-stippled soft-tissue opaque material_x000D_
- The small intestine contains mild multifocal gas and soft-tissue opaque material_x000D_
- The colon contains gas, soft-tissue/fluid and mild to moderate desiccated formed fecal material._x000D_
- The liver, spleen, region of the kidneys and urinary bladder are normal._x000D_
- There is a mild diffuse bronchial pattern present._x000D_
- There is mild pulmonary hyperinflation identified._x000D_
- The patient has a prominent aortic root._x000D_
- The pulmonary vasculature is normal._x000D_
- The remaining intrathoracic structures are normal._x000D_
- Mid thoracic and lumbosacral spondylosis deformans.  Mild narrowing at the lumbosacral junction.</t>
  </si>
  <si>
    <t>1.  Mild constipation.  A discrete radiographic cause for this is not clearly identified.  Sonographic evaluation of the abdomen may be reasonable to consider screening for potential underlying contributory etiologies._x000D_
_x000D_
2. Prominent aortic root. This can be an incidental finding in older cats, but does have an association with systemic hypertension. There is no obvious cardiomegaly to indicate secondary concentric cardiac hypertrophy, however radiographic sensitivity can be limited. You may consider systemic blood pressure measurement in this patient, especially if a cardiac murmur is present._x000D_
_x000D_
3. Mild diffuse bronchial pattern with mild pulmonary hyperinflation. Most likely compatible with chronic lower airway disease. Feline asthma is most likely, however bronchitis of infectious (e.g. parasitic, bacterial) or inhaled irritant etiologies are also possible._x000D_
_x000D_
4.  Degenerative lumbosacral disease.</t>
  </si>
  <si>
    <t xml:space="preserve">
1.This result detects a minimal to mild, or rarely moderate interstitial pulmonary pattern.  _x000D_
2.This result detects a minimal to mild, or rarely moderate bronchial pulmonary pattern._x000D_
3.Rarely, this result detects a minimal to mild alveolar pulmonary pattern._x000D_
4.This result detects equivocal/borderline to mild cardiomegaly. _x000D_
5.This result does not detect pulmonary vasculature enlargement._x000D_
6.This result does not detect pleural fissure lines/fluid.  </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</si>
  <si>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_x000D_
Pleural space, mediastinum, diaphragm and thoracic wall within normal limits.</t>
  </si>
  <si>
    <t xml:space="preserve">
1.This result detects equivocal/borderline to moderate cardiomegaly._x000D_
2.This result detects a minimal or mild bronchial pulmonary pattern._x000D_
3.This result detects a  minimal to mild interstitial pulmonary pattern._x000D_
4.This result does NOT detect an alveolar pulmonary pattern. _x000D_
5.Rarely, this result detects minimal pleural fissure lines/fluid.</t>
  </si>
  <si>
    <t>A three view thoracoabdominal study is provided for interpretation._x000D_
_x000D_
The heart is within normal size and shape limits. Pulmonary vessels are normal. No pulmonary infiltrates or pleural effusion are identified._x000D_
_x000D_
In the left lateral view, the urinary bladder appears distended and rounded. This is not apparent in the other views and is presumed to be an artifact associated with rotational obliquity. The other abdominal organs are within normal limits. No musculoskeletal abnormalities are identified.</t>
  </si>
  <si>
    <t>No evidence of structural cardiac disease is identified in the radiographs. Concentric hypertrophy cannot be excluded.</t>
  </si>
  <si>
    <t>The heart appears radiographically normal. Hypertrophic cardiomyopathy cannot be entirely ruled out on the basis of radiographic appearance._x000D_
Echocardiography should be considered depending on the severity of ausculted abnormalities and level of clinical concern.</t>
  </si>
  <si>
    <t xml:space="preserve">
1.This result detects equivocal/borderline to mild, or rarely moderate cardiomegaly._x000D_
2.Rarely, this result detects minimal to mild pulmonary vasculature enlargement._x000D_
3.Rarely,  this result detects minimal pleural fissure lines/fluid.  _x000D_
4.This result detects a minimal to mild bronchial pulmonary pattern._x000D_
5.This results detects a minimal to mild interstitial pulmonary pattern._x000D_
6.Rarely, this result detects a minimal to moderate alveolar pulmonary pattern. </t>
  </si>
  <si>
    <t xml:space="preserve">THORAX (3 images):
Images are dated August 30, 2024.
Pulmonary parenchyma: A mild diffuse bronchial pattern is present.  Possible bronchial/pulmonary mineral is superimposed over the lungs and cardiac silhouette in the left lateral image.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</si>
  <si>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1. Mild diffuse bronchial pulmonary pattern such as from infectious/immune-mediated lower airway disease (feline asthma, mycoplasma spp., bordetella spp., parasitism, or inhaled allergen/irritant), fibrosis from prior disease, age-related changes, or less likely other.
2. Possible bronchial mineral versus superimposed normal structures.
- If present, bronchial mineral is likely due to chronic lower airway disease or unlikely systemic calcium/phosphorus imbalance or other.</t>
  </si>
  <si>
    <t>Consider respiratory PCR panel, airway sampling, and fecal analysis/deworming for further evaluation of coughing.  GI panel, and routine blood work for further evaluation of reported vomiting.  Empirical therapy and supportive care in the interim as needed. Monitoring as directed or sooner if clinical signs acutely change, fail to improve or worsen.</t>
  </si>
  <si>
    <t>1) Unremarkable lungs do not exclude a chronic lower airway disease such as asthma, chronic bronchitis or parasitic bronchitis.</t>
  </si>
  <si>
    <t>Ophthalmologist and neurologist consultation with abdominal US._x000D_
Evaluate the benefit/need of an empirical treatment for asthma or chronic bronchitis evaluating response to treatment. If clinical signs persist, consider a bronchoscopy with BAL, culture, cytology, Baermann test and deworming.</t>
  </si>
  <si>
    <t>Four orthogonal thoracic radiographs dated 29th August 2024 are available for review. There are no previous radiographs available for comparison. _x000D_
_x000D_
Airway findings: The thorax is normally inflated. The cervical trachea is poorly visible, there is extensive gas surrounding the cervical trachea, and within the fascial planes of the thoracic inlet and caudal neck, as well as the subcutaneous tissues of the neck and dorsal thorax. The thoracic trachea is poorly visible, but has a normal position. The outline of the thoracic trachea is more visible. The descending aorta is very clearly visible. There is soft tissue streaking in the cranial aspect of the thorax. There is increased interstitial opacification of the caudal pulmonary lobes._x000D_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As described above. There is also gas in the caudal oesophagus._x000D_
_x000D_
Musculoskeletal findings: As described above._x000D_
_x000D_
Included abdomen: There is increased gas in the stomach and small intestines.</t>
  </si>
  <si>
    <t>1. Severe pneumomediastinum and subcutaneous gas: This is most consistent consisting history with a tracheal rupture._x000D_
2. The streaking cranioventrally may be fluid/haemorrhage within the ventral mediastinum, however pulmonary haemorrhage or atelectasis is possible. Aspiration is possible. There is no visible retraction of the pulmonary lobes, however a mild pneumothorax is possible._x000D_
3. The gas within the stomach and small intestines is likely due to aerophagia secondary to respiratory distress.</t>
  </si>
  <si>
    <t>Intensive supportive management, potentially including oxygen therapy is advised. radiographic monitoring for the onset of pneumothorax, atelectasis, or further signs of aspiration is advised. depending on clinical progression, emergency referral, or surgical consultation is advised.</t>
  </si>
  <si>
    <t>Three orthogonal thoracic radiographs dated 29th August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mild bronchial pattern._x000D_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Dorsal to the second sternal segment, there is a poorly marginated soft tissue opacity._x000D_
_x000D_
Musculoskeletal findings: No significant abnormalities are detected._x000D_
_x000D_
Included abdomen: No significant abnormalities are detected.</t>
  </si>
  <si>
    <t>1. Diffuse mild bronchial pattern: Allergic bronchitis, chronic bacterial /viral bronchitis +/- parasitic bronchitis should be considered. Less likely are hyperardenocorticism, neoplasia (such a lymphoma) or idiopathic pulmonary fibrosis.  _x000D_
2. The sternal soft tissue opacity is suspicious of sternal lymphadomegaly which would indicate abdominal inflammatory or neoplastic process. Alternatively, positional artefact is possible.</t>
  </si>
  <si>
    <t>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 _x000D_
Depending on clinical signs, consider thoracic ultrasonography to confirm/exclude sternal lymphadomegaly.</t>
  </si>
  <si>
    <t>Orthogonal views of the torso are submitted for review.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ingesta.  The small bowel is normal in uniform diameter and contains a mild amount of gas.  Gas and formed stool is noted in the colon.  The liver and spleen are normal in size, shape, and margination.  The bilateral renal silhouettes are within normal limits.  The urinary bladder is unremarkable.  Serosal detail is normal.  _x000D_
No osseous abnormalities are seen.</t>
  </si>
  <si>
    <t>Radiographically normal thorax and postprandial abdomen.</t>
  </si>
  <si>
    <t>Correlation with blood work may be helpful.</t>
  </si>
  <si>
    <t>Study:_x000D_
Thoracic radiography: right lateral and orthogonal views (two images) dated August 28, 2024_x000D_
_x000D_
Findings:_x000D_
The cardiac silhouette and pulmonary vasculature are normal in size. There is a mild caudodorsal bronchial pulmonary pattern. The pleural space is normal. There is no intrathoracic lymphadenopathy. The trachea is normal in diameter and course. The stomach contains unstructured heterogeneous soft tissue material presumed to be ingesta. There is in situ mineralization of the L5-L6 intervertebral disc. Suture material is present in the caudoventral abdominal body wall.</t>
  </si>
  <si>
    <t>1. The mild caudodorsal bronchial pulmonary pattern may indicate allergic/inflammatory bronchitis (asthma). Infectious, parasitic and irritant bronchitis are also possible. Infectious respiratory disease PCR testing, airway sampling plus/minus heartworm testing and Baermann fecal flotation can be considered for further evaluation._x000D_
2. There is no radiographic evidence of heart disease.</t>
  </si>
  <si>
    <t>Three radiographs of the thorax and three views of the abdomen are provided. There is large volume pleural fluid. The cardiac silhouette is faintly visible and is mild to moderately enlarged. Poor mid and cranial lung aeration, with only proximal cranial lobar bronchioles visible. Remaining lung opacity is increased due to poor aeration. No mediastinal shift. Tracheal diameter and position are normal. Osseous structures are normal._x000D_
_x000D_
In the abdomen there is scant peritoneal fluid. The liver is prominent with smooth margins. Normal-sized kidneys and spleen. Blunted cranial pole of the left kidney, likely due to previous infarct which is incidental today. The gastrointestinal tract is mildly filled. No radiopaque urolithiasis. Mild degenerative change in the right coxofemoral joint. Narrowed L2-3 intervertebral disc space, of doubtful significance today.</t>
  </si>
  <si>
    <t>1. Mild to moderate cardiomegaly consistent with cardiomyopathy. There is severe pleural effusion most consistent with cardiac decompensation._x000D_
2. Scant peritoneal effusion and mild hepatomegaly, likely due to venous congestion. A metabolic abnormality or separate neoplastic or inflammatory process originating from the abdomen is given much lesser consideration.</t>
  </si>
  <si>
    <t>Recommend a CBC, blood chemistry profile, thyroid evaluation, treatment for heart failure, and follow-up echocardiogram. Therapeutic pleurocentesis should also be considered.</t>
  </si>
  <si>
    <t xml:space="preserve">
1.The cardiac silhouette and pulmonary vasculature are partially obscured by the pulmonary and pleural changes but cardiomegaly is suspected._x000D_
2.Pleural fluid or pleural fissure lines have been detected._x000D_
3.A diffuse, mixed interstitial and alveolar pattern has been detected with a perihilar component. A component of pulmonary hypoinflation is also present and is likely due to a combination of the pulmonary infiltrate; and partial atelectasis secondary to pleural effusion..</t>
  </si>
  <si>
    <t>STAT: Cardiomegaly, interstitial pattern +/- pleural fluid are present making this case most suspicious for cardiogenic pulmonary edema.  This diagnosis may be especially likely in cases with a historic or new cardiac murmur, history of cardiac disease, hyperthyroidism, or in some breeds. Other differentials for this case include cardiomegaly with primary pulmonary disease or noncardiogenic severe pleural effusion. If this case is clinically inconsistent with heart failure, submission of this study for radiologist consultation is recommended. If pleural fluid is obscuring visualization of the thoracic structures, thoracentesis followed by repeat thoracic radiographs should be considered.</t>
  </si>
  <si>
    <t xml:space="preserve">
Looking for more information &lt;a href=https://platform.v2.vetology.net/doc/feline-cardiomyopathies-I  target=_blank rel=noopener noreferrer&gt;about feline heart disease?&lt;/a&gt;_x000D_
Oxygen therapy if needed._x000D_
Cardiologist consultation. If a cardiologist consultation is not available, consider initiating a Lasix trial and repeating radiographs in 12-24 hours after starting therapy._x000D_
Renal values and urinalysis should be collected prior to initiating Lasix therapy._x000D_
Depending on the degree of pleural fluid present in this case, consider thoracentesis followed by repeat thoracic radiographs.</t>
  </si>
  <si>
    <t>Study:_x000D_
Thoracic and abdominal radiography: seven images dated August 28, 2024_x000D_
_x000D_
Findings:_x000D_
There is moderate generalized cardiomegaly (VHS approximately 9). The pulmonary vasculature is normal in size. There is a mild generalized bronchial pulmonary pattern. The pleural space is normal. There is no intrathoracic lymphadenopathy. The trachea is normal in diameter. The abdominal serosal detail is normal. The stomach contains unstructured heterogeneous soft tissue material presumed to be ingesta. Multiple small intestinal loops extend beyond the confines of the peritoneal cavity into the subcutaneous tissues of the mid-ventral abdomen. One of the small intestinal loops is on the upper limits of normal for diameter. The intra-abdominal small intestinal loops are normal in size, course and content. The colon contains formed fecal material. The liver and spleen are normal in size and margin. The renal silhouettes are normal in size and contour. The urinary bladder is normal in size and opacity. The osseous structures are unremarkable. The patient is of overweight body condition.</t>
  </si>
  <si>
    <t>1. Ventral abdominal body wall hernia containing multiple small intestinal loops. Worsening of an underlying umbilical hernia is possible. The equivocal dilation of one of the loops of bowel in the hernia may indicate early strangulation, partial obstruction or focal functional ileus. Surgical correction is recommended._x000D_
2. Moderate generalized cardiomegaly without evidence of decompensation. Hypertrophic cardiomyopathy is most likely. Echocardiography can be considered for further evaluation._x000D_
3. The generalized bronchial pulmonary pattern may indicate allergic/inflammatory bronchitis (asthma). Infectious, parasitic and irritant bronchitis are also possible. Airway sampling, heartworm testing and Baermann fecal flotation can be considered for further evaluation.</t>
  </si>
  <si>
    <t>A three view thoracoabdominal study is provided for interpretation._x000D_
_x000D_
There is a severe diffuse bronchointerstitial pulmonary pattern. Small areas of patchy interstitial opacity are present in all lobes. No alveolar pattern is seen. There are several small areas of gas pocketing in the caudal dorsal lung. The vessels to the caudal lobes appear mildly enlarged in the VD view. The thorax is mildly hyperinflated. There is abnormal angulation of the aortic arch, bowing dorsally and laterally more than average. The heart is at the upper end of normal range. No tracheal abnormalities are identified. There is a small quantity of esophageal gas._x000D_
_x000D_
The abdominal organs are all within normal limits. No musculoskeletal abnormalities are identified.</t>
  </si>
  <si>
    <t>There is a severe bronchointerstitial pattern, with areas of gas trapping in the caudal lobes and multiple small areas of patchy interstitial infiltrates. The thorax is mildly hyperinflated._x000D_
Most of these changes are consistent with chronic lower airway disease such as asthma, but the prominence of the interstitial pattern is more striking than what is typically seen in warrants consideration of infectious causes such as infectious bronchitis or parasitic infection._x000D_
_x000D_
Heartworm disease and lungworms should be ruled out, as well as bacterial infection._x000D_
_x000D_
No significant abdominal abnormalities are identified._x000D_
The unusual appearance of the aorta is suspected to be an unrelated incidental congenital anomaly.</t>
  </si>
  <si>
    <t>Sampling from the lower airways via BAL/TTW or bronchoscopy should be considered to assist definitive diagnosis._x000D_
_x000D_
CBC, Baermann fecal exam for lungworms, and heartworm testing is recommended._x000D_
_x000D_
Considering the lack of improvement with the recent steroid therapy, empiric antibiotic therapy could also be considered.</t>
  </si>
  <si>
    <t xml:space="preserve">
1.This result detects mild to moderate, or rarely severe cardiomegaly._x000D_
2.This result detects a mild to moderate interstitial pulmonary pattern.  _x000D_
3.This result detects a mild to moderate bronchial pulmonary pattern._x000D_
4.Rarely, this result detects a minimal to mild alveolar pulmonary pattern._x000D_
5.Uncommonly, this result detects minimal pulmonary vasculature enlargement._x000D_
6.This result detects minimal to mild, or rarely moderate pleural fissure lines/fluid.  </t>
  </si>
  <si>
    <t>If the patient is dyspneic, or has severe or progressive respiratory clinical signs, rule out left-sided congestive heart failure.  If the patient has mild or no respiratory clinical signs, then differential diagnoses for the bronchial and interstitial pulmonary patterns include: infectious lower airway disease (such as mycoplasma spp., parasitism, viral, or other), immune-mediated lower airway disease (feline asthma), inhaled allergen/irritant, changes from prior disease,  age-related factors, errors in patient positioning/technique, pulmonary hypoinflation, or a combination of these. Differential diagnoses for an alveolar pattern include: left-sided congestive heart failure, atelectasis or bronchial plugging such as from concurrent infectious/inflammatory lower airway disease (i.e. feline asthma) or from compression due to pleural space disease, or unlikely bronchopneumonia, evolving neoplasia, or other. Differential diagnoses for cardiomegaly include: hypertrophic or thyrotoxic cardiomyopathy in a mature or older patient, or congenital anomaly in a very young patient, or unlikely heartworm disease (unless in edemic areas). Differential diagnoses for pleural fissure lines/fluid include:  left-sided congestive heart failure, tangential beam artifact, pleural folding, or less likely chylous, malignant effusion, hemorrhage, or other.</t>
  </si>
  <si>
    <t xml:space="preserve">
If the patient is dyspneic, or has severe or progressive respiratory clinical signs, consider diuretic trial and oxygen therapy.  Repeat thoracic radiographs after 4-6 hours to evaluate for improvement of changes, and monitor for clinical improvement._x000D_
If the patient is dyspneic, and pleural fluid is at least moderate volume, consider therapeutic thoracocentesis, and reserve sample for fluid analysis/cytology.  Repeat thoracic radiographs for further evaluation after thoracocentesis, as this may reveal previously obscured lesions._x000D_
If the patient has non-severe respiratory clinical signs, consider empirical therapy and supportive care for lower airway disease, with/without airway sampling, fecal analysis/empirical deworming, and respiratory PCR panel._x000D_
Consider cardiologist consultation, echocardiography, ECG and blood pressure._x000D_
Consider routine blood work, urinalysis, and thyroid function testing if not recently performed, especially for mature or older patients._x000D_
If your clinical impression of this patient does not match the content of this result, consider submitting the radiographs for a formal radiologist report.</t>
  </si>
  <si>
    <t>Study:_x000D_
Thoracic/abdominal radiography: right lateral and VD views (two images dated August 28, 2024_x000D_
_x000D_
Findings:_x000D_
The cardiac silhouette and pulmonary vasculature are normal in size. There is a mild generalized increase in the conspicuity of the walls of the small caliber bronchi.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t>
  </si>
  <si>
    <t>1. The mild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considered._x000D_
2. Normal abdomen.</t>
  </si>
  <si>
    <t xml:space="preserve">
1.This result detects mild to severe cardiomegaly._x000D_
2.This result detects minimal to mild, mixed interstitial and bronchial pulmonary patterns._x000D_
3.Rarely, this result detects a minimal to mild alveolar pulmonary pattern._x000D_
4.This result does NOT detect pleural fissure lines.  </t>
  </si>
  <si>
    <t>3 views of the entire body are provided for review. There is a mild bronchial pattern in all lung lobes.  The cardiovascular structures are normal.  The mediastinal and pleural structures are normal.  Abdominal serosal detail is adequate in all quadrants.  The stomach contains a moderate amount of gas.  The small intestines are normal in size.  Gas and opaque feces are present in the colon.  The urinary bladder is distended.  The remaining abdominal organs are normal.</t>
  </si>
  <si>
    <t>Constipation.  Mild bronchial pulmonary pattern.  Considerations include asthma, heartworm, lungworm, atypical infection, bronchitis.</t>
  </si>
  <si>
    <t xml:space="preserve">
1.This result detects minimal to mild, mixed interstitial and bronchial pulmonary patterns._x000D_
2.This result does NOT detect an alveolar pulmonary pattern.  _x000D_
3.Rarely,  this result detects minimal pleural fissure lines/fluid.  _x000D_
4.This result detects mild to moderate, or less commonly equivocal/borderline cardiomegaly.</t>
  </si>
  <si>
    <t>Abdomen: The entire colon is moderate to severely distended with well-formed opaque fecal material.  A mass involving the distal colon/rectum is not identified.  The liver and spleen are unremarkable.  There are no abnormalities involving the urinary tract.  There is a mineralized intervertebral disc at L6-7.  Both stifles have mild degenerative changes._x000D_
_x000D_
Thorax: The pulmonary parenchyma, cardiac silhouette, and pulmonary vasculature are unremarkable.  There is no evidence of pleural effusion or lymphadenopathy.</t>
  </si>
  <si>
    <t>Constipation/obstipation._x000D_
_x000D_
Intervertebral disc disease at L6-7._x000D_
_x000D_
Bilateral stifle osteoarthrosis.</t>
  </si>
  <si>
    <t>Study:_x000D_
Thoracic and abdominal radiography: four images dated August 28, 2024_x000D_
_x000D_
Findings:_x000D_
The cardiac silhouette and pulmonary vasculature are normal in size. There is a mild generalized bronchial pulmonary pattern. Platelike atelectasis is present in the craniodorsal lung field on the right lateral view.. The pleural space is normal. There is no intrathoracic lymphadenopathy. The trachea is normal in diameter and course. The abdominal serosal detail is normal.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unremarkable._x000D_
_x000D_
Human digits are present in the primary beam on both views of the thorax.</t>
  </si>
  <si>
    <t>1. The generalized bronchial pulmonary pattern may indicate infectious bronchitis given the history of Mycoplasma on infectious respiratory disease PCR testing. Allergic/inflammatory (asthma), parasitic and inhaled irritant bronchitis are also possible. Airway sampling plus/minus heartworm testing and Baermann fecal flotation can be considered for further evaluation._x000D_
2. Unremarkable abdomen. A cause of the episode of vomiting is not evident. There is no radiographic evidence of gastrointestinal foreign material or small intestinal mechanical obstruction. Abdominal sonography can be considered for further evaluation if the vomiting recurs.</t>
  </si>
  <si>
    <t>The suspected lower disease may be unrelated to the reported sneezing and nasal discharge. Computed tomography of the head and rhinoscopy can be considered for further evaluation of the upper respiratory signs.</t>
  </si>
  <si>
    <t xml:space="preserve">
1.This result detects minimal to mild, mixed interstitial and bronchial pulmonary patterns._x000D_
2.This result detects minimal/equivocal to moderate cardiomegaly._x000D_
3.This result does NOT detect an alveolar pulmonary pattern.  _x000D_
4.This result does NOT detect soft tissue pulmonary nodules._x000D_
5.Rarely, this result detects minimal to mild pleural fissure lines/fluid.</t>
  </si>
  <si>
    <t>5 images of the thorax are presented for review.  The cardiovascular structures are normal.  There is a diffuse interstitial pulmonary pattern that is considered appropriate for the age of the patient.  A rounded soft tissue mass is present in the left caudal lung lobe.  No pulmonary nodules or enlarged intrathoracic lymph nodes are seen.  The pleural and mediastinal structures are normal.  Cranial abdominal detail is adequate.</t>
  </si>
  <si>
    <t>Left caudal lung lobe mass concerning for primary pulmonary neoplasia.</t>
  </si>
  <si>
    <t>CT could be considered in surgical planning if desired.</t>
  </si>
  <si>
    <t xml:space="preserve">
1.This result detects minimal to mild, mixed interstitial and bronchial pulmonary patterns._x000D_
2.Rarely, this result detects a minimal alveolar pulmonary pattern._x000D_
3.This result does NOT detect pleural fissure lines.  _x000D_
4.This result detects mild to moderate cardiomegaly.</t>
  </si>
  <si>
    <t>Three radiographs of the thorax are provided. The cardiac silhouette is normal size. Pulmonary vessels and caudal vena cava are normal size. There are faint bronchial markings in the lungs. No pleural effusion, pulmonary nodules, or enlarged intrathoracic lymph nodes. Fat deposition encircles the heart on the VD projection. Tracheal diameter and position are normal. No laryngeal abnormalities. The abdomen is unremarkable.</t>
  </si>
  <si>
    <t>Faint bronchial markings suggestive of airway inflammation. This could be due to inhaled irritant/allergens or infectious airway disease. There is no evidence of cardiovascular disease or pneumonia.</t>
  </si>
  <si>
    <t>If the cough continues, treatment for allergic airway disease may be necessary.</t>
  </si>
  <si>
    <t>WHOLE-BODY (3 total radiographs for review). _x000D_
_x000D_
- Peritoneal serosal detail is normal._x000D_
- The stomach contains moderate gas stippled soft-tissue opaque material._x000D_
- The small intestine contains mild multifocal gas and soft-tissue opaque material_x000D_
- The colon contains gas, soft-tissue/fluid and moderate, desiccated formed fecal material._x000D_
- The liver, spleen, region of the kidneys and urinary bladder are normal._x000D_
- The caudal thorax is normal_x000D_
- No musculoskeletal abnormalities are noted.</t>
  </si>
  <si>
    <t>1.  Fairly unremarkable postprandial abdomen with moderate constipation.  A discrete cause for the reported intermittent vomiting is not clearly identified, however radiographic sensitivity for the detection of infiltrative bowel disease such as IBD or gastrointestinal lymphoma can be limited.  I would recommend considering abdominal ultrasonography in this patient for further assessment._x000D_
_x000D_
2.  Normal thorax.  Negative examination for evidence of thoracic metastatic neoplasia.</t>
  </si>
  <si>
    <t>Study:_x000D_
Thoracic/abdominal radiography: three images dated August 28, 2024_x000D_
_x000D_
Findings:_x000D_
There is severe bilateral pleural effusion. There is associated reduced lung volume/atelectasis with alveolar consolidation of the left cranial lung lobe and right middle lung lobe. No nodules or masses are visualized in the aerated lung lobes. The severity of the effusion limits evaluation of the cardiac silhouette. There is no overt cardiomegaly. The pulmonary vasculature is normal in size. Pooling of the pleural effusion the cranial thorax limits evaluation of the cranial mediastinum. The trachea is normal in diameter. There is a moderate amount of peritoneal effusion. The stomach contains a small volume of gas. The small intestines are normal in size, course and content. The colon contains gas with a normal diameter. The liver extends mildly beyond the costal arch with smooth and sharp margins. The spleen is normal in size and margin. The renal silhouettes are normal in size and contour. The urinary bladder is normal in size and opacity. The osseous structures are unremarkable.</t>
  </si>
  <si>
    <t>1. Non-specific bicavitary effusion. Feline infectious peritonitis is considered given the reported straw colored nature of the pleural effusion. Other differentials include other infection, inflammation, bile peritonitis and pleuritis, pancreatitis, cardiac disease (less likely in the absence of any cardiomegaly, neoplasia, hypoproteinemia, coagulopathy or nonneoplastic liver disease._x000D_
2. The mild hepatomegaly is nonspecific. Rule out metabolic/vacuolar hepatopathy, hepatitis, lipidosis, congestion or infiltrative neoplasia.</t>
  </si>
  <si>
    <t>FIP PCR testing and fluid analysis of the sampled effusion can be considered if the owners are interested in further postmortem diagnostics._x000D_
_x000D_
Sorry for the loss of your patient.</t>
  </si>
  <si>
    <t xml:space="preserve">THORAX (4 images):
Images are dated August 26, 2024.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mildly widened with a "sail sign" in the ventrodorsal image.
Trachea: The trachea is normal.
Esophagus: The esophagus is not well-identified.
Pleural space: The pleural space is normal.
Musculoskeletal: The included musculoskeletal structures are normal.
</t>
  </si>
  <si>
    <t>1. Mild diffuse bronchial pulmonary pattern such as from infectious/immune-mediated lower airway disease (feline asthma and/or mycoplasma spp., bordetella spp., parasitism such as lung worms, inhaled allergen/irritant) or artifact, or unlikely other.
2. Mild cranial mediastinal widening due to normal thymus  given patients young age, or unlikely other.</t>
  </si>
  <si>
    <t>Consider respiratory PCR panel, airway sampling, and empirical deworming/fecal analysis for further evaluation.  Empirical therapy and supportive care in the interim as needed. Monitoring as directed or sooner if clinical signs acutely change, fail to improve or worsen.</t>
  </si>
  <si>
    <t>4 images of the thorax are provided for review.  The cardiac silhouette is widened with rounding of the left ventricular border.  Moderate bronchial markings are present in all lung lobes.  No perihilar pulmonary infiltrates are seen.  The pulmonary vasculature is normal in size.  The mediastinal and pleural structures are normal.  Cranial abdominal detail is adequate.</t>
  </si>
  <si>
    <t>Moderate bronchial pulmonary pattern consistent with previously diagnosed asthma.  Cardiomegaly without current evidence of cardiogenic pulmonary edema.  Changes are consistent with previously diagnosed hypertrophic cardiomyopathy.</t>
  </si>
  <si>
    <t xml:space="preserve">THORAX (3 images):
Images are dated August 27, 2024.
Prior images dated April 8, 2023 are available.
Pulmonary parenchyma:  In the right lateral image, over the ventral aspect of the 5th intercostal space is an ill-defined ovoid soft tissue opacity. A moderate diffuse bronchial pattern is present.  Lungs are mildly hyperinflated in the ventrodorsal image with tenting/undulant diaphragm margin.  
Pulmonary vasculature: The pulmonary vasculature is subjectively normal in size and tapers in the periphery of the lungs.
Cardiac silhouette: The cardiac silhouette is moderately tall in the lateral images.   Cardiac silhouette is slightly reniform in the right lateral image.
Mediastinum: The cranial mediastinum is normal.
Trachea: The trachea is normal.
Esophagus: The esophagus is not well-identified.
Pleural space: The pleural space is normal.
Musculoskeletal: L4-5, L5-6 and L7-S1 intervertebral disc spaces are narrowed.  Spondylosis deformans is present at this sites. 
 Mild sclerosis of these sites endplate is present, with well-defined endplate margins. Small right extra-thoracic soft tissue nodule lateral to the right scapula in the ventrodorsal image. Reported right paralumbar mass is not definitively identified in this examination.  The remaining included musculoskeletal structures are normal.
</t>
  </si>
  <si>
    <t>1. Possible pulmonary nodule over the left cranial lung lobe versus granuloma, artifact/superimposed extra-thoracic opacity, or unlikely other.
2. Moderate left-sided cardiomegaly such as from hypertrophic or thyrotoxic cardiomyopathy.
- There is no current evidence of left-sided congestive heart failure.
3. Moderate diffuse bronchial pattern and mild hyperinflation/suspected air-trapping from underlying lower airway disease.
- Differential diagnoses include infectious/immune-mediated lower airway disease (such as from felinas asthma, bordetella spp., mycoplasma spp., parasitism such as lung worms), fibrosis from prior disease, age-related changes, or unlikely other.
4. Similar multifocal lumbar intervertebral disc disease as above.</t>
  </si>
  <si>
    <t>Consider computed tomography of the thorax for further evaluation of the possible pulmonary nodule, and further evaluation of reported right paralumbar mass. Oncologist consultation depending on results. Echocardiography, eCG, blood pressure, urinalysis and SDMA if not recently performed for further evluation of the heart prior to advanced imaging. Alternatively, monitoring with repeat radiographs in 4-8 weeks for progression/absence of this finding.  consider respiratory PCR panel, airway sampling and therapy for infectious/immune-mediated lower airway disease in the interim as needed.
Consider MRI of the lumbar/lumbosacral spine and neurologist consultation may be contributory.  Abdominal ultrasonography, GI panel may be contributory if not recently performed.  Empirical therapy and supportive care in the interim as needed.  Monitoring as directed, or sooner if clinical signs acutely change, fail to improve or worsen.</t>
  </si>
  <si>
    <t xml:space="preserve">
1.Rarely, this result detects minimal pleural fissure lines/fluid._x000D_
2.This result detects equivocal/borderline to moderate cardiomegaly._x000D_
3.This result detects a minimal or mild bronchial pulmonary pattern._x000D_
4.This result detects a  minimal to mild interstitial pulmonary pattern._x000D_
5.This result does NOT detect an alveolar pulmonary pattern. </t>
  </si>
  <si>
    <t xml:space="preserve">THORAX (2 images):
Images are dated August 27, 2024.
Pulmonary parenchyma: A minimal to mild diffuse bronchial pattern is present.  The lungs are minimally hyperinflated, with minimal increased distance between the cardiac silhouette and diaphragm.  An alveolar pattern is in the right middle lung in the ventrodorsal image, with lobar margination with the right cranial and caudal lung lobes, and no air-bronchograms.  
Pulmonary vasculature: The pulmonary vasculature is subjectively normal in size and tapers in the periphery of the lungs.
Cardiac silhouette: The cardiac silhouette is normal in size and shape.
Mediastinum: A slight rightward mediastinal shift is suspected.  
Trachea: The trachea is normal.
Esophagus: The esophagus is not well-identified.
Pleural space: The pleural space is normal.
Musculoskeletal: The included musculoskeletal structures are normal.
</t>
  </si>
  <si>
    <t>1. Minimal-mild diffuse bronchial pulmonary pattern such as from infectious/immune-mediated lower airway disease (feline asthma with/without mycoplasma spp., bordetella spp., parasitism, or other), or unlikely other.
2. Minimal hyperinflation/air-trapping such as from underlying lower airway disease.
3. Right middle lung lobe alveolar pattern, most likely due to bronchial plugging/atelectasis or unlikely other.</t>
  </si>
  <si>
    <t>Empirical therapy and supportive care for lower airway disease in the interim as needed.  Consider airway sampling, respiratory PCR testing, fecal analysis/empirical deworming for further evaluation.  Consider computed tomography of the head/rhinoscopy for further evaluation of reported sneezing.  Monitoring as directed or sooner if clinical signs acutely change, fail to improve or worsen.</t>
  </si>
  <si>
    <t xml:space="preserve">
1.This result does NOT detect pleural fissure lines. _x000D_
2.This result detects equivocal/borderline to moderate cardiomegaly._x000D_
3.This result detects a minimal to mild bronchial pulmonary pattern._x000D_
4.This result detects a minimal to mild interstitial pulmonary pattern._x000D_
5.This result does NOT detect an alveolar pulmonary pattern.</t>
  </si>
  <si>
    <t>The mixed bronchial and interstitial pulmonary patterns are NOT suspected to represent left-sided congestive heart failure.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For patients with respiratory clinical signs,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</si>
  <si>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THORAX (3 images):
Images are dated August 27, 2024.
Pulmonary parenchyma: A minimal diffuse bronchial pattern is present.  The lungs are hyperinflated with increased distance between the cardiac silhouette and diaphragm, and flattening of the diaphragm in the lateral images.  Diaphragm is slightly undulant in the ventrodorsal image.
Pulmonary vasculature: The pulmonary vasculature is subjectively normal in size and tapers in the periphery of the lungs.
Cardiac silhouette: The cardiac silhouette is equivocally tall in the lateral image.  The cardiac silhouette is slightly rounded and widened at its base in the ventrodorsal image.
Mediastinum: The cranial mediastinum is normal.
Trachea: The trachea is normal.
Esophagus: The esophagus is not well-identified.
Pleural space: The pleural space is normal.
Musculoskeletal: The included musculoskeletal structures are normal.</t>
  </si>
  <si>
    <t>1. Equivocal left-sided cardiomegaly or given reported heart murmur, unlikely artifact from phase of the cardiopulmonary cycle and/or patient positioning.
- Given patient young age, consider congenital anomaly (atrial septal defect versus other), versus acquired cardiomyopathy (hypertrophic/thyrotoxic or other).
- There is no current evidence of left-sided congestive heart failure.  
2. Minimal diffuse bronchial pulmonary pattern such as from fibrosis from prior disease, age-related changes, infectious/immune-mediated lower airway disease or unlikely other.
3. Mild hyperinflation and suspected air-trapping versus phase of the pulmonary cycle.
- If present, this is most likely due to underlying lower airway disease.</t>
  </si>
  <si>
    <t>Consider echocardiography, ECG and blood pressure for further evaluation. Routine blood work, urinalysis, thyroid function testing may be contributory.  Empirical therapy and supportive care in the interim as needed, such as for underlying lower airway disease as needed. Consider airway sampling/respiratory PCR panel for further evaluation if clinically indicated.  Monitoring as directed or sooner if clinical signs acutely change, fail to improve or worsen.</t>
  </si>
  <si>
    <t>3 views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moderate amount of ingesta.  The small intestines are normal in size.  Gas and feces are present in the colon.  The urinary bladder is small.  No mineral is seen associated with the urinary tract.  The remaining abdominal organs are normal.</t>
  </si>
  <si>
    <t>Radiographically normal abdomen.  Cardiomegaly without current evidence of cardiogenic pulmonary edema.</t>
  </si>
  <si>
    <t>Echocardiography, proBNP, and thyroid testing may be helpful in further evaluation.</t>
  </si>
  <si>
    <t xml:space="preserve">
1.This result detects a minimal, or rarely mild interstitial pulmonary pattern._x000D_
2.This result detects a minimal  mild, or rarely moderate bronchial pulmonary pattern._x000D_
3.Rarely, this result detects a minimal alveolar pulmonary pattern._x000D_
4.This result does not detect pulmonary soft tissue nodules._x000D_
5.This result detects no cardiomegaly to equivocal/borderline cardiomegaly. _x000D_
6.This result does not detect pulmonary vasculature enlargement._x000D_
7.Rarely, this result detects minimal pleural fissure lines/fluid.</t>
  </si>
  <si>
    <t xml:space="preserve">For patients with respiratory clinical signs, the primary differential diagnoses for a predominantly bronchial pulmonary pattern are immune-mediated lower airway disease (i.e. feline asthma) or infectious lower airway disease (such as mycoplasma spp., parasitism, viral, or other).  Additional differential diagnoses include inhaled allergen/irritant, or less likely other.  For patients with no respiratory clinical signs, differential diagnoses for mixed bronchial and interstitial pulmonary patterns include: changes from prior disease,  age-related factors, errors in patient positioning/technique, pulmonary hypoinflation, or a combination of these. The primary differential diagnosis for a minimal alveolar pattern is atelectasis or bronchial plugging such as from concurrent infectious/inflammatory lower airway disease (i.e. feline asthma), or unlikely other. Differential diagnoses for equivocal cardiomegaly include: phase of the cardiopulmonary cycle, patient positioning/technique, individual variation of normal (especially in younger patients), or evolving cardiomyopathy.  The primary differential diagnosis for minimal pleural fissure lines is tangential beam artifact.  Scant pleural fluid (such as from idiopathic or chylous effusions) is considered unlikely.  </t>
  </si>
  <si>
    <t xml:space="preserve">
If respiratory clinical signs (e.g. coughing) are present, consider empirical therapy and supportive care for infectious and/or immune-mediated lower airway disease in the interim.  Consider also airway sampling, fecal analysis/empirical deworming, and respiratory PCR panel._x000D_
If your clinical impression of this patient does not match the content of this result, consider submitting the radiographs for a formal radiologist report.</t>
  </si>
  <si>
    <t xml:space="preserve">THORAX (3 images):
Images are dated August 27, 2024.
Pulmonary parenchyma: A minimal to mild diffuse bronchial pattern is present.
Pulmonary vasculature: The pulmonary vasculature is subjectively normal in size and tapers in the periphery of the lungs.
Cardiac silhouette: The cardiac silhouette is enlarged in the lateral images with a reniform shape.  The cardiac silhouette is enlarged in the region of the aortic arch and base of the cardiac silhouette in the ventrodorsal image. Descending aorta is mildly prominent and slightly redundant.
Mediastinum: The cranial mediastinum is normal.
Trachea: The trachea is normal.
Esophagus: The esophagus is not well-identified.
Pleural space: The pleural space is normal.
Musculoskeletal: The patient is slightly thin with concave soft tissue between spinous processes.  Minimal spondylosis deformans at T7-8, T8-9, and T9-10. The remaining included musculoskeletal structures are normal.
</t>
  </si>
  <si>
    <t>1. Mild-moderate generalized cardiomegaly such as from hypertrophic or thyrotoxic cardiomyopathy, or less likely other.
- No current evidence of left-sided congestive heart failure.
- Aortic changes due to age of possible evolving systemic hypertension.
2. Minimal-mild diffuse bronchial pulmonary pattern due to infectious/immune-mediated lower airway disease (feline asthma, and/or mycoplasma spp., bordetella spp., parasitism such as lung worms, or inhaled allergen/irritant), versus fibrosis from prior disease, age-related changes, or unlikely other.
3. Slightly thin patient versus artifact.</t>
  </si>
  <si>
    <t>Consider routine blood work, thyroid function testing, urinalysis, echocardiography, ECG and blood pressure for further evaluation.  Consider fecal analysis/empirical deworming and respiratory PCR panel for further evaluation of the reported clinical signs. Empirical therapy and supportive care in the interim as needed. Monitoring as directed or sooner if clinical signs acutely change, fail to improve or worsen.</t>
  </si>
  <si>
    <t xml:space="preserve">
1.This result detects equivocal/borderline to mild cardiomegaly. _x000D_
2.This result detects a minimal or less commonly mild interstitial pulmonary pattern.  _x000D_
3.This result detects a moderate or less commonly severe bronchial pulmonary pattern._x000D_
4.Rarely, this result detects a mild alveolar pulmonary pattern._x000D_
5.This result does not detect pulmonary vasculature enlargement._x000D_
6.Rarely, this result detects minimal pleural fissure lines/fluid.  </t>
  </si>
  <si>
    <t xml:space="preserve">Some bronchial patterns may mimic pulmonary soft tissue nodules due to bronchial plugging, or granuloma from prior disease and vice versa.  This may be exacerbated if technical errors/artifacts (obliquity, motion, etc.) are present in the image. If the patient has respiratory clinical signs, then differential diagnoses for a predominantly bronchial pulmonary pattern include: immune-mediated lower airway disease (i.e. feline asthma) or infectious lower airway disease (such as mycoplasma spp., parasitism, viral, or other).  Additional differential diagnoses include evolving neoplasia such as an ill-defined primary carcinoma versus metastatic disease (especially if nodules or masse are also present), or inhaled allergen/irritant, or less likely evolving left-sided congestive heart failure, or unlikely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evolving neoplasia, bronchopneumonia, or unlikely other. Differential diagnoses for equivocal cardiomegaly include: phase of the cardiopulmonary cycle, patient positioning/technique, individual variation of normal (especially in younger patients), or evolving cardiomyopathy (such as hypertrophic or thyrotoxic cardiomyopathy).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</si>
  <si>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A poorly defined soft tissue mass is present in the right mid abdomen.  The stomach contains a moderate amount of gas.  The small intestines are normal in size.  Gas and feces are present in the colon.  The urinary bladder is moderately distended.  The remaining abdominal organs are normal.</t>
  </si>
  <si>
    <t>Mid abdominal mass.  Consider intestinal, mesenteric, or lymph node origin neoplasia.  Radiographically normal thorax for patient of this age.</t>
  </si>
  <si>
    <t>Abdominal ultrasound could be considered.</t>
  </si>
  <si>
    <t xml:space="preserve">
1.This result does not detect pulmonary vasculature enlargement._x000D_
2.This result does not detect pleural fissure lines/fluid._x000D_
3.Uncommonly, this result detects a minimal interstitial pulmonary pattern.  _x000D_
4.This result detects a minimal to mild bronchial pulmonary pattern._x000D_
5.This result does not detect an alveolar pulmonary pattern._x000D_
6.This result does not detect pulmonary soft tissue nodules._x000D_
7.This result detects equivocal/borderline to mild, or rarely moderate cardiomegaly.</t>
  </si>
  <si>
    <t>If the patient has respiratory clinical signs, then differential diagnoses for bronchial and interstitial pulmonary patterns include: immune-mediated lower airway disease (i.e. feline asthma) or infectious lower airway disease (such as mycoplasma spp., parasitism, viral, or other), less likely inhaled allergen/irritant, or unlikely other.  Left-sided congestive heart failure is not suspected. If the patient has no respiratory clinical signs, then differential diagnoses for bronchial and interstitial pulmonary patterns include: changes from prior disease,  age-related factors, errors in patient positioning/technique, pulmonary hypoinflation, or a combination of these. If cardiomegaly is present, differential diagnoses include: evolving cardiomyopathy in a mature or older patient (such as hypertrophic or thyrotoxic), variation of normal or congenital anomaly in a very young patient, or unlikely other.</t>
  </si>
  <si>
    <t xml:space="preserve">
If respiratory clinical signs (e.g. coughing) are present, consider empirical therapy and supportive care for infectious and/or immune-mediated lower airway disease in the interim.  Consider also airway sampling, fecal analysis/empirical deworming, and respiratory PCR panel._x000D_
Consider cardiologist consultation, echocardiography, ECG and blood pressure, especially if a cardiac murmur is identified._x000D_
If clinical signs are present, consider routine blood work, urinalysis, and thyroid function testing if not recently performed, especially for mature or older patients._x000D_
If your clinical impression of this patient does not match the content of this result, consider submitting the radiographs for a formal radiologist report.</t>
  </si>
  <si>
    <t>Study:_x000D_
Thoracic/abdominal radiography: three images dated August 26, 2024_x000D_
_x000D_
Findings:_x000D_
The cardiac silhouette is normal in size and shape. The pulmonary vasculature is normal in size. There is incidental platelike atelectasis in the craniodorsal lung field on the left lateral projection. The pleural space is normal. There is no intrathoracic lymphadenopathy. The trachea is normal in diameter. There is no esophageal dilation. The stomach contains a small amount of unstructured heterogeneous soft tissue material presumed to be ingesta.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osseous structures are unremarkable/age appropriate. The patient is of thin body condition.</t>
  </si>
  <si>
    <t>1. Normal thorax. There is no radiographic evidence of heart disease. Consider echocardiography for further evaluation of the reported heart murmur._x000D_
2. Postprandial stomach=ZZ90= otherwise, unremarkable abdomen. Consider abdominal sonography to further evaluate for a cause of the inability to gain weight and diarrhea._x000D_
3. A cause of patient ataxia is not evident. Neurology consultation can be considered.</t>
  </si>
  <si>
    <t>Six orthogonal radiographs of the abdomen dated 26th August 2024 are available for review. There are no previous radiographs available for comparison. _x000D_
_x000D_
Intra-abdominal findings: The stomach contains some granular food material and gas. There is mild caudal displacement of the gastric axis. There is mild loss of serosal detail in the cranial right aspect of the abdomen. The hepatic silhouette is enlarged, with smooth borders, predominantly on the right side. The spleen is positioned along the left body wall and is mildly prominent. The small intestines are diffusely filled/mildly distended with fluid/soft tissue opaque material and some gas. The transverse and descending colon contains an increased amount of formed faeces and some gas. The urinary bladder is mildly dilated.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</si>
  <si>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1. The findings are most consistent with a post-prandial abdomen. Intestinal stasis may be present, in light of increased compacted faeces. The loss of serosal detail in the cranial right aspect of the abdomen may be due to pancreatitis, however superimposition of the liver may be present. There is no evidence for segmental dilation or radiopaque foreign body. A non-specific enteritis may be present._x000D_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 _x000D_
3. Mild splenomegaly: differential diagnoses include passive congestion from sedation (if administered), splenitis, extramedullary hematopoiesis, lymphoid hyperplasia, or neoplasia.</t>
  </si>
  <si>
    <t>Supportive management including rehydration, gastroprotectants,  full blood work, faecal analysis if clinically indicated is advised, if not already performed. Repeat 3-view post fasting radiographs depending on clinical progression or consider an abdominal ultrasound.</t>
  </si>
  <si>
    <t>Thorax: The pulmonary parenchyma, cardiac silhouette, and pulmonary vasculature are unremarkable.  There is no evidence of pleural effusion or lymphadenopathy.  There is no evidence of a peritoneal pericardial hernia._x000D_
_x000D_
Abdomen (lateral view): There is a somewhat bilobed soft tissue opacity superimposed over the center of the urinary bladder.  There are no abnormalities involving the remainder of the abdominal viscera.  There is a region of mineralization within the soft tissues cranial to the femurs.</t>
  </si>
  <si>
    <t>The soft tissue opacity superimposed over the urinary bladder is of unknown origin.  This may represent a summation artifact or possible mass within the abdomen superimposed over the urinary bladder._x000D_
_x000D_
Region of dystrophic mineralization within soft tissues cranial to the femurs.  This may represent dystrophic mineralization from previous inflammation/trauma or possible neoplasia.</t>
  </si>
  <si>
    <t xml:space="preserve">
1.Rarely, this result detects a minimal to mild alveolar pulmonary pattern._x000D_
2.This result does not detect pulmonary soft tissue nodules._x000D_
3.This result does not detect pulmonary vasculature enlargement._x000D_
4.This result does not detect pleural fissure lines/fluid.  _x000D_
5.This result detects none, or equivocal/borderline to mild cardiomegaly. _x000D_
6.This result detects a minimal to mild interstitial pulmonary pattern.  _x000D_
7.This result detects a minimal to mild, or rarely moderate bronchial pulmonary pattern.</t>
  </si>
  <si>
    <t xml:space="preserve">
If the patient has clinical signs consistent with active infectious/inflammatory lower airway disease and/or bronchopneumonia, then consider empirical therapy and supportive care in the interim as needed._x000D_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</si>
  <si>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Thorax: The pulmonary parenchyma, cardiac silhouette, and pulmonary vasculature are unremarkable.  There is no evidence of pleural effusion or lymphadenopathy.</t>
  </si>
  <si>
    <t>Unremarkable thorax._x000D_
_x000D_
Although the pulmonary parenchyma is unremarkable, in light of clinical signs, feline asthma cannot be ruled out.</t>
  </si>
  <si>
    <t>Eight radiographs are provided, with images of the thorax, abdomen, and pelvic limbs. The cardiac silhouette and pulmonary vessels are normal size and shape. The lungs are clear. There is no pleural fluid or gas. No rib fractures. The diaphragm is intact. Normal proximal thoracic limbs and cervicothoracic spine._x000D_
_x000D_
In the abdomen peritoneal and retroperitoneal detail is adequate. The urinary bladder is well delineated and minimally distended. The gastrointestinal tract is moderately filled. Normal-sized kidneys, spleen, liver. There is severe ventral spondylosis deformans at L6-7, and the left side of L7 is partially transitional, incidental. The sacroiliac joints are congruent. Degenerative change in both coxofemoral joints, of doubtful clinical significance today. No pelvic limb fractures. Punctate mineral density in the cranial aspect of one notes the stifles is incidental meniscal mineralization. Patella location is normal. No tarsal or pes osseous or soft tissue abnormalities.</t>
  </si>
  <si>
    <t>Normal thorax, abdomen, pelvic limbs. There is no evidence of trauma on this study.</t>
  </si>
  <si>
    <t>Recommend supportive care as needed.</t>
  </si>
  <si>
    <t>THORAX and LEFT FORELIMB (6 total radiographs for review).  No previous examinations are available for comparison._x000D_
_x000D_
- There is a small osseous fragment along the cranial surface of the proximal aspect of the left radial head, and minimal multifocal osteophyte formation along the margins of the left cubital joint._x000D_
- Mild left carpal joint enthesophyte and osteophyte formation._x000D_
-The remaining soft tissue and osseous structures of the left thoracic limb are unremarkable. _x000D_
- There is a mild to moderate diffuse bronchial pattern present._x000D_
- The patient has a prominent aortic root._x000D_
- There is questionable, mild generalized cardiomegaly characterized by rounding of the cranial and caudal cardiac margins and a widening of the cardiac silhouette on the VD image._x000D_
- There is mild gas in the mid thoracic esophagus._x000D_
- The stomach contains mild to moderate gas stippled soft-tissue opaque material._x000D_
- The remaining cranial abdominal structures are normal._x000D_
- The patient has an excessive body habitus.</t>
  </si>
  <si>
    <t>1.  There is mild to moderate left cubital and carpal joint osteoarthritis.  The small bony fragment cranial to the head of the left radius can be a fragmented osteophyte or dystrophic mineralization.  Correlate to the impression of the orthopedic examination and consider consultation with a specialist and/or forelimb CT if the patient=ZZ91=s lameness is worsening or not improving despite medical management._x000D_
_x000D_
2. Mild to moderate diffuse bronchial pattern.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considered._x000D_
_x000D_
3. Prominent aortic root. This can be an incidental finding in older cats, but does have an association with systemic hypertension You may consider systemic blood pressure measurement in this patient, especially if a cardiac murmur is present._x000D_
_x000D_
4.  Impression of mild generalized cardiomegaly may be partially artifactual due to a large degree of pericardial fat deposition.  Nonetheless, true cardiac disease such as secondary to remodeling from systemic hypertension or primary cardiomyopathy (e.g. HCM) are not excluded, and I would recommend considering careful cardiac auscultation, and if a murmur is present echocardiography and ECG for further evaluation._x000D_
_x000D_
5.  Recent meal._x000D_
_x000D_
6.  Excessive body habitus.</t>
  </si>
  <si>
    <t>3 views of the thorax are provided for review and compared with 3 images dated 8/16/2024.  No significant changes are seen between studies.  The cardiac silhouette is widened with rounding of the left ventricular border.  Fat is present within the pericardium, causing poorly defined opacity to the right of the heart on the VD views.  Moderate bronchial markings are present in all lung lobes.  No perihilar pulmonary infiltrates are seen.  The pulmonary vasculature is normal in size.  The mediastinal and pleural structures are normal.  There is persistent narrowing of the trachea in the caudal cervical region.  Cranial abdominal detail is adequate.</t>
  </si>
  <si>
    <t>Moderate bronchial pulmonary pattern.  Considerations include asthma, heartworm, lungworm, atypical infection, bronchitis.  Consider empiric therapy versus further diagnostics such as heartworm testing, Baermann fecal, airway sampling.  Cardiomegaly without current evidence of cardiogenic pulmonary edema.  Echocardiography, proBNP, and thyroid testing may be helpful in further evaluation.  Persistent cervical tracheal narrowing.  Although rare, tracheal collapse has been reported in cats.  Neoplasia could also be considered as a cause for tracheal luminal narrowing.  Bronchoscopy could be considered.</t>
  </si>
  <si>
    <t xml:space="preserve">
1.Rarely, this result detects minimal pleural fissure lines/fluid._x000D_
2.This result detects equivocal/borderline to mild cardiomegaly. _x000D_
3.This result does not detect pulmonary vasculature enlargement._x000D_
4.This result detects a minimal to mild interstitial pulmonary pattern.  _x000D_
5.This result detects a minimal to mild, or rarely moderate bronchial pulmonary pattern._x000D_
6.This result does not detect an alveolar pulmonary pattern._x000D_
7.This result does not detect pulmonary soft tissue nodules.</t>
  </si>
  <si>
    <t>Study:_x000D_
Thoracic radiography: three images dated August 26,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heterogeneous/granular soft tissue material presumed to be ingesta with few interspersed punctate mineral foci. No skeletal abnormalities are present.</t>
  </si>
  <si>
    <t>he generalized bronchial pulmonary pattern may indicate allergic/inflammatory bronchitis (asthma). Infectious, parasitic and inhaled irritant bronchitis are also possible. Airway sampling, heartworm testing and Baermann fecal flotation can be considered for further evaluation. Alternatively, a treatment trial for asthma can be considered.</t>
  </si>
  <si>
    <t xml:space="preserve">
1.No airway or pulmonary abnormalities have been detected. The lung parenchyma appears normal with no interstitial, alveolar, or bronchial pattern identified. No definitive pulmonary nodules or other abnormalities are identified._x000D_
2.No cardiomegaly detected._x000D_
3.No significant pleural fluid detected.</t>
  </si>
  <si>
    <t>Three orthogonal thoracic radiographs dated 25th August 2024 are available for review. There are no previous radiographs available for comparison. Some motion artefact is present._x000D_
_x000D_
Airway findings: The cervical and thoracic trachea have a normal size, outline and position. The carina, tracheal bifurcation and mainstem bronchi are normal. There is a mild-moderate diffuse interstitial opacification of the lung parenchyma. Some slight mineralisation is visible dorsal to the corona in the left lateral image._x000D_
_x000D_
Cardiovascular findings: The cardiac silhouette is partially border effaced. The overall size is within normal limits. The visible pulmonary vessels are normal. The mainstem vasculature is normal._x000D_
_x000D_
Mediastinum and pleural space: There is mild increased ventral pleural fat._x000D_
_x000D_
Musculoskeletal findings: No significant abnormalities are detected._x000D_
_x000D_
Included abdomen: No significant abnormalities are detected.</t>
  </si>
  <si>
    <t>Diffuse interstitial opacification: Differentials include viral pneumonia, pulmonary oedema (cardiogenic, non-cardiogenic), eosinophilic bronchopneumopathy, round cell infiltration. Feline asthma can present as an interstitial pattern, however uncommon. Aspiration is considered unlikely. The mineralisation dorsal to the corona is most likely dystrophic mineralisation within a vessel or bronchial wall. Some of the interstitial opacification can be attributed to motion artefact.</t>
  </si>
  <si>
    <t>Considering equivocal origin of lower airway disease versus potential cardiac insufficiency, ECG, blood pressure measurements and echocardiography are advised. Consider T4 testing. Correlate with any cardiac murmur present. _x000D_
Respiratory workup including CBC, serum chemistry, urinalysis, Baermann faecal testing, 4DX, +/- respiratory panel or fungal testing as indicated is advised.  Alternatively, empirical therapy for lower airway disease, empirical deworming, and removal of allergens and environmental irritants (i.e. smoke, dust, perfumes, etc.) can be considered.</t>
  </si>
  <si>
    <t>Orthogonal views of the thorax are provided:_x000D_
_x000D_
Thorax:_x000D_
_x000D_
Cardiac silhouette has a normal shape and size._x000D_
Pulmonary vessels are within normal limits of size and shape._x000D_
Pulmonary parenchyma shows a generalized bronchial pattern. _x000D_
No signs of tracheobronchial lymphadenopathy._x000D_
Pleural space, mediastinum, diaphragm and thoracic wall within normal limits._x000D_
_x000D_
Splenic silhouette is most likely seen just caudal to the hepatic parenchyma._x000D_
Visible spine is unremarkable without signs of disc herniation, aggressive bone lesions, vertebral fractures or subluxations.</t>
  </si>
  <si>
    <t>1) Generalized bronchial pattern is compatible with a chronic lower airway disease such as asthma vs feline chronic bronchitis vs bronchitis of parasitic origin.</t>
  </si>
  <si>
    <t>Consider a bronchoscopy with BAL, culture, cytology and Baermann test with deworming vs empirical treatment for asthma and deworming._x000D_
Consider abdominal Us if clinically necessary as well as a full neuro exam evaluating the need of an MRI.</t>
  </si>
  <si>
    <t xml:space="preserve">
1.This result detects a minimal to mild interstitial pulmonary pattern.  _x000D_
2.This result detects a minimal to mild, or rarely moderate bronchial pulmonary pattern._x000D_
3.Rarely, this result detects a minimal to mild alveolar pulmonary pattern._x000D_
4.This result does not detect pulmonary soft tissue nodules._x000D_
5.This result detects none, or equivocal/borderline to mild cardiomegaly. _x000D_
6.This result does not detect pulmonary vasculature enlargement._x000D_
7.This result does not detect pleural fissure lines/fluid.  </t>
  </si>
  <si>
    <t>4 images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t>
  </si>
  <si>
    <t>Consider biopsy of the reported femoral mass.</t>
  </si>
  <si>
    <t xml:space="preserve">
1.This result detects mild to moderate cardiomegaly._x000D_
2.This result detects a minimal to mild bronchial pulmonary pattern._x000D_
3.This result detects a minimal to mild interstitial pulmonary pattern._x000D_
4.This result does NOT detect  an alveolar pulmonary pattern._x000D_
5.This result does NOT detect soft tissue pulmonary nodules.  _x000D_
6.This result does NOT detect pleural fissure lines. </t>
  </si>
  <si>
    <t>Two views of the thorax are provided for review. There is a moderate bronchial pattern in all lung lobes.  The cardiovascular structures are normal with normal tapering of the cardiac silhouette and no left atrial enlargement.  The mediastinal and pleural structures are normal.  Cranial abdominal detail is adequate.</t>
  </si>
  <si>
    <t>Study:_x000D_
Thoracic/abdominal radiography: three images dated August 24,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amount of unstructured heterogeneous soft tissue material presumed to be ingesta. There is a mild smoothly marginated fragmented gas pattern in the small intestines. The small intestines are normal in size and course. The colon contains formed fecal material. The liver and spleen are normal in size and margin. The kidneys are normal in size and contour. The urinary bladder is normal in size and opacity. There is no uterine dilation. The osseous structures are unremarkable.</t>
  </si>
  <si>
    <t>1. Gastric contents likely represent ingesta. Foreign material cannot be completely excluded. The smoothly marginated fragmented gas pattern seen in the small intestines can be an indicator of nonspecific enteritis. There is no evidence of small intestinal mechanical obstruction. Repeat fasted radiography can be considered to ensure gastric emptying if clinically relevant based on recent dietary history. Alternatively, sonography can be considered if clinical signs persist or worsen in spite of medical management._x000D_
2. Normal thorax.</t>
  </si>
  <si>
    <t xml:space="preserve">
1.This result detects none, or equivocal/borderline to moderate cardiomegaly. _x000D_
2.Rarely, this result detects minimal pleural fissure lines/fluid.  _x000D_
3.This result detects a minimal to mild interstitial pulmonary pattern.  _x000D_
4.This result detects a minimal to mild, or rarely moderate bronchial pulmonary pattern._x000D_
5.Rarely, this result detects a minimal alveolar pulmonary pattern._x000D_
6.This result does not detect pulmonary vasculature enlargement.</t>
  </si>
  <si>
    <t>Study:_x000D_
Thoracic radiography: three images dated August 24, 2024_x000D_
_x000D_
Findings:_x000D_
The cardiac silhouette and pulmonary vasculature are normal in size. There is a mild caudodorsal bronchial pulmonary pattern. The pleural space is normal. There is no intrathoracic lymphadenopathy. The trachea is normal in diameter and course. The stomach contains unstructured heterogeneous soft tissue material presumed to be ingesta. The osseous structures are unremarkable.</t>
  </si>
  <si>
    <t>Three radiographs of the thorax and three views of the abdomen are provided. The cardiac silhouette is normal size on the lateral views. The left heart appears prominent on the VD projection due to adjacent fat deposition. There are no abnormalities in the pulmonary parenchyma. No pleural effusion or enlarged intrathoracic lymph nodes. Broad-based mild soft tissue thickening (5.5 x 0.9 cm) in the mid lateral left extrathoracic tissues. No scapular or rib abnormalities. Normal tracheal diameter._x000D_
_x000D_
In the abdomen serosal detail is adequate. The liver, spleen, left kidney are normal size. Cortical indentation in the lateral aspect of the left kidney is likely previous infarct, incidental. The right kidney is reduced in size. The gastrointestinal tract is minimally filled. No radiopaque urolithiasis. Mineral opacity overlying the dorsal aspect of the distal descending colon is superficial debris seen overlying the right flank region.</t>
  </si>
  <si>
    <t>1. Reduced right renal size most consistent with chronic renal disease. Otherwise normal abdomen._x000D_
2. Thickening in the left extrathoracic tissues, likely the area of excessive licking. No intrathoracic abnormalities.</t>
  </si>
  <si>
    <t>If repeat surgery is desired, there is no contraindication for general anesthesia based on this study.</t>
  </si>
  <si>
    <t>WHOLE-BODY (3 radiographs for review). A previous examination is available for comparison from 2020._x000D_
_x000D_
- The thoracic vertebrae are normal._x000D_
- The thoracolumbar junction is normal._x000D_
- There is mild spondylosis deformans at L6-7._x000D_
- The lumbosacral junction is normal._x000D_
- The sacroiliac joints, pelvic bones and coxofemoral joints are normal._x000D_
- Bilaterally, there is moderate osteophyte and enthesophyte formation along the margins of the stifle joints. Within both stifle joint capsules, there are multiple mineralized osseous bodies. There is reduction of the joint space width of the right stifle joint. On the left, there is a large osseous body in the medial portion of the joint capsule._x000D_
- The stomach contains moderate gas-stippled soft-tissue opaque material._x000D_
- The small intestine contains mild multifocal gas and soft-tissue opaque material._x000D_
- The colon contains gas and formed fecal material._x000D_
- The liver, spleen, kidneys and urinary bladder are normal._x000D_
- There is a mild diffuse bronchial pattern and mild pulmonary hyperinflation._x000D_
- The cardiac silhouette, pulmonary vasculature, pleural space, trachea and remaining intrathoracic structures are normal.</t>
  </si>
  <si>
    <t>1. A discrete radiographic cause for the reported clinical signs (twitching of the hindlimbs) is not distinctly identified. _x000D_
_x000D_
2. The appearance of the stifle joints reflects moderate to severe bilateral degenerative joint disease, with probable intra-capsular injury (cranial cruciate ligament +/- meniscus), and synovial osteochondromatosis (which is a benign degenerative change involving the formation of large, mineralized intra-articular bodies). I am uncertain of the clinical significance in relation to the current clinical complaint_x000D_
_x000D_
3. Unremarkable post-prandial abdomen._x000D_
_x000D_
4. The bronchopulmonary structures can reflect chronic lower airway disease such as feline asthma or chronic bronchitis. Correlate to respiratory history of the patient._x000D_
_x000D_
5. Mild L6-7 spondylosis deformans.</t>
  </si>
  <si>
    <t xml:space="preserve">
1.This result detects none, or equivocal/borderline to moderate cardiomegaly. _x000D_
2.This result detects a minimal to mild interstitial pulmonary pattern.  _x000D_
3.This result detects a minimal to mild, or rarely moderate bronchial pulmonary pattern._x000D_
4.Rarely, this result detects a minimal alveolar pulmonary pattern._x000D_
5.Rarely, this result detects minimal pleural fissure lines/fluid.  _x000D_
6.This result does not detect pulmonary vasculature enlargement.</t>
  </si>
  <si>
    <t>Opposite lateral and VD thoracoabdominal views are provided for interpretation._x000D_
_x000D_
The stomach appears empty and contracted. There are a few loops of small intestine that have slight gas dilation in the right caudal abdomen. The appearance is not suggestive of an obstructive pattern. No pathologic dilation or plication the intestine is seen. No foreign bodies are identified in the GI tract. Serosal detail in the abdomen is normal. The liver is at the upper end of normal range. The spleen is prominent at the upper end of except able size range. The margins are smooth. The other organs are within normal limits._x000D_
_x000D_
The cardiovascular structures are within normal limits. No esophageal abnormalities are identified. No pulmonary infiltrates or pleural effusion is seen.</t>
  </si>
  <si>
    <t>No significant anatomic abnormalities are identified. There is no visible foreign material or obstructive pattern._x000D_
Pancreatitis or other metabolic disease should be ruled out.</t>
  </si>
  <si>
    <t>Supportive care as needed and symptomatic therapy for gastroenteritis/pancreatitis is recommended.</t>
  </si>
  <si>
    <t>Three radiographs of the thorax, and three views of the abdomen are provided. The cardiac silhouette is normal size and shape on the VD view. The heart appears larger on the lateral views due to adjacent fat deposition. There are mild bronchial markings in the lungs. There is a rounded 0.6 cm soft tissue density in the right 8th intercostal space on the VD projection, not seen on the lateral views. No pleural effusion. Normal tracheal diameter. The patient is overweight._x000D_
_x000D_
In the abdomen the urinary bladder is distended and soft tissue opaque. No abnormalities in the region of the medial iliac lymph nodes. The kidneys are normal size, shape, opacity. Formed feces fills the colon. The stomach and small bowel are minimally distended. Normal-sized liver and spleen. No osseous abnormalities.</t>
  </si>
  <si>
    <t>1. Mild bronchial pattern most consistent with chronic airway inflammation such as asthma. The small nodular contour seen only on the VD view is concerning for early neoplasia (primary pulmonary neoplasia versus metastatic disease). Since this is not seen on the lateral views, it could be summating normal anatomy for superimposed superficial nipple/nodule._x000D_
2. Normal abdomen.</t>
  </si>
  <si>
    <t>Also recommend urinalysis. Consider palpating for any external nodules, painting these structures with small-volume barium paste, and repeating the VD thoracic view to determine if the contour is persistent. Alternatively, repeat thoracic radiographs in one month to determine if persistent.</t>
  </si>
  <si>
    <t xml:space="preserve">
1.This result detects mild to moderate, or less commonly equivocal/borderline cardiomegaly._x000D_
2.This result detects minimal to mild, mixed interstitial and bronchial pulmonary patterns._x000D_
3.This result does NOT detect an alveolar pulmonary pattern.  _x000D_
4.Rarely,  this result detects minimal pleural fissure lines/fluid.  </t>
  </si>
  <si>
    <t>Three radiographs of the thorax/abdomen are provided. The cardiac silhouette is normal size and shape. The lungs are clear. There is no pleural effusion or intrathoracic lymphadenomegaly. In the abdomen the right liver is mildly enlarged with a caudal and leftward deviation of the gastric axis. Normal sized kidneys and spleen. Punctate nephroliths are likely incidental. The stomach and small bowel are minimally distended. Formed feces in the colon. No radiopaque cystic calculi. Degenerative change in the caudal lumbar spine is likely incidental.</t>
  </si>
  <si>
    <t>Mild hepatomegaly. With the weight loss, neoplasia is suspected. An inflammatory process, hepatopathy, or hepatic lipidosis are next on the differential list. Otherwise normal abdomen and thorax.</t>
  </si>
  <si>
    <t>A VD view of the thorax and abdomen is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small.  The kidneys are small with mildly irregular margins.  The remaining abdominal organs are normal.
(amended on 08/24/2024 15:31)
3 total images now provided for review.  No additional abnormal findings on the provided images.</t>
  </si>
  <si>
    <t>Mild renal changes suggestive of chronic renal disease.  Radiographically normal thorax for patient of this age.
(amended on 08/24/2024 15:31)
No change from previous report.</t>
  </si>
  <si>
    <t>If the other 2 claimed images are sent separately, I can add them as an addendum to this report for no charge.</t>
  </si>
  <si>
    <t xml:space="preserve">
1.Rarely,  this result detects minimal pleural fissure lines/fluid.  _x000D_
2.This result detects a minimal to mild bronchial pulmonary pattern._x000D_
3.This results detects a minimal to mild interstitial pulmonary pattern._x000D_
4.Rarely, this result detects a minimal alveolar pulmonary pattern. _x000D_
5.This result detects equivocal/borderline to mild cardiomegaly._x000D_
6.Rarely, this result detects minimal to mild pulmonary vasculature enlargement.</t>
  </si>
  <si>
    <t>4 images of the thorax are provided for review. There is a moderate bronchial pattern in all lung lobes.  The cardiovascular structures are normal.  The mediastinal and pleural structures are normal.  Cranial abdominal detail is adequate.</t>
  </si>
  <si>
    <t>Orthogonal views of the thorax are provided:_x000D_
_x000D_
Thorax:_x000D_
_x000D_
Questionable sternal lymphadenopathy vs superimposed fore limbs._x000D_
Cardiac silhouette has a normal shape and size._x000D_
Pulmonary vessels are within normal limits of size and shape._x000D_
Pulmonary parenchyma shows a subtle bronchial pattern. _x000D_
No signs of tracheobronchial lymphadenopathy._x000D_
Pleural space, mediastinum, diaphragm and thoracic wall within normal limits._x000D_
_x000D_
Liver extends beyond the costal arch with sharp margins.</t>
  </si>
  <si>
    <t>1) Rule out sternal lymphadenopathy vs superimposed fore limbs._x000D_
2) Subtle bronchial pattern is compatible with a chronic lower airway disease such as asthma vs feline chronic bronchitis vs bronchitis of parasitic origin._x000D_
3) Hepatomegaly: Metabolic vs Vacuolar infiltration vs Hepatic nodular hyperplasia vs Inflammatory vs Toxic vs Neoplastic or a combination of these differentials.</t>
  </si>
  <si>
    <t>Consider a bronchoscopy with BAL, culture, cytology and Baermann test with deworming vs empirical treatment for asthma and deworming. Consider also opposite lateral views with the fore limbs pulled cranially to better evaluate potential sternal lymphadenopathy with abdominal US to further evaluate the liver and potential causes for the sternal lymphadenopathy.</t>
  </si>
  <si>
    <t xml:space="preserve">
1.This result detects a minimal to mild bronchial pulmonary pattern._x000D_
2.This results detects a minimal to mild interstitial pulmonary pattern._x000D_
3.Rarely, this result detects a minimal alveolar pulmonary pattern. _x000D_
4.This result detects equivocal/borderline to mild cardiomegaly._x000D_
5.Rarely, this result detects minimal to mild pulmonary vasculature enlargement._x000D_
6.Rarely,  this result detects minimal pleural fissure lines/fluid.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</si>
  <si>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gas.  The small intestines are normal in size.  Gas is present in the colon.  The urinary bladder is small.  The left kidney is slightly smaller than the right and below normal limits for size.  The remaining abdominal organs are normal.</t>
  </si>
  <si>
    <t>Gastric dilation may indicate aerophagia or ileus.  An obstructive lesion is not visible.  Pancreatitis or infiltrative neoplasia could be considered and abdominal ultrasound may be helpful.  Small left kidney suggestive of chronic renal disease.  Radiographically normal thorax for patient of this age.</t>
  </si>
  <si>
    <t>Study:_x000D_
Thoracic radiography: three images dated August 22, 2024_x000D_
_x000D_
Findings:_x000D_
The cardiac silhouette is normal in size and shape. The pulmonary vasculature is normal in size. There is a moderate generalized bronchial pulmonary pattern. The pleural space is normal. There is no intrathoracic lymphadenopathy. The trachea is normal in diameter and course. The stomach contains unstructured heterogeneous/granular soft tissue material presumed to be ingesta. The included abdomen is otherwise unremarkable. No skeletal abnormalities are present.</t>
  </si>
  <si>
    <t>The moderate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t>
  </si>
  <si>
    <t xml:space="preserve">
1.This result does not detect pulmonary soft tissue nodules._x000D_
2.This result detects equivocal/borderline to mild, or rarely moderate cardiomegaly. _x000D_
3.This result does not detect pulmonary vasculature enlargement._x000D_
4.This result does not detect pleural fissure lines/fluid.  _x000D_
5.This result detects none, or a minimal to mild interstitial pulmonary pattern.  _x000D_
6.This result detects none, or a minimal to mild bronchial pulmonary pattern._x000D_
7.Rarely, this result detects a minimal alveolar pulmonary pattern.</t>
  </si>
  <si>
    <t xml:space="preserve">THORAX (2 images):
Images are dated August 22, 2024.
Pulmonary parenchyma: A mild diffuse bronchial pattern is present.
Pulmonary vasculature: The pulmonary vasculature is subjectively normal in size and tapers in the periphery of the lungs.
Cardiac silhouette: The cardiac silhouette is moderate to severely enlarged with an obvious reniform shape in the lateral image.  The cardiac silhouette is rounded and widened in the ventrodorsal image, exacerbated by obliquity.  
Mediastinum: The cranial mediastinum is normal.
Trachea: The trachea is normal.
Esophagus: The esophagus is not well-identified.
Pleural space: The pleural space is normal.
Musculoskeletal: The included musculoskeletal structures are normal.
</t>
  </si>
  <si>
    <t>1. Moderate-severe cardiomegaly such as from congenital anomaly given patients young age, such as atrial/ventricular septal defect or unlikely mitral valvular dysplasia given absence of reported murmur.
- There is no current evidence of left-sided congestive heart failure.  
2. Mild diffuse bronchial pulmonary pattern due to artifact, fibrosis from prior disease, age-related changes, or unlikely infectious/immune-mediated lower airway disease or other.</t>
  </si>
  <si>
    <t>Echocardiography, blood pressure, and ECG for further evaluation.  Routine blood work and urinalysis if not recently performed.  Empirical therapy and supportive care for cough in the interim as needed.  Monitoring as directed, or sooner if clinical signs acutely change, fail to improve or worsen.</t>
  </si>
  <si>
    <t xml:space="preserve">
1.No cardiomegaly detected._x000D_
2.No significant pleural fluid detected._x000D_
3.No airway or pulmonary abnormalities have been detected. The lung parenchyma appears normal with no interstitial, alveolar, or bronchial pattern identified. No definitive pulmonary nodules or other abnormalities are identified.</t>
  </si>
  <si>
    <t>WHOLE-BODY (2 radiographs are available for review). A previous examination is available for comparison._x000D_
_x000D_
- The patient has an excessive body habitus._x000D_
- Peritoneal serosal detail is normal._x000D_
- The stomach contains moderate heterogeneous soft-tissue opaque material._x000D_
- The small intestine contains mild soft-tissue/fluid, gas and a few tiny mineral opaque foci._x000D_
- The colon contains mild formed fecal material and gas._x000D_
- The liver, spleen, kidneys and urinary bladder are normal._x000D_
- There is a mild, diffuse bronchial pattern identified._x000D_
- The cardiac silhouette, pulmonary vasculature, pleural space, trachea are normal._x000D_
- Mild multifocal vertebral spondylosis deformans.</t>
  </si>
  <si>
    <t>1. A clear radiographic cause for the reported clinical signs (weight gain, howling at night, inappropriate urination) is not distinctly identified._x000D_
_x000D_
2. Excessive body habitus._x000D_
_x000D_
3. Post-prandial stomach. Otherwise normal abdomen._x000D_
_x000D_
4. Mild diffuse bronchial pattern. DDx age-related airway degeneration vs. chronic lower airway disease (e.g. feline asthma). _x000D_
_x000D_
5. Otherwise normal thorax. Despite lack of radiographic evidence of cardiomegaly, given the reported heart murmur it may be reasonable to consider echocardiography and cardiologist consultation regardless. _x000D_
_x000D_
6. Multifocal vertebral spondylosis deformans.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</si>
  <si>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A rounded soft tissue to fat opacity mass protrudes from the right ventral liver region.  The stomach contains a moderate amount of gas.  The small intestines are normal in size.  Gas and feces are present in the colon.  The urinary bladder is small.  The remaining abdominal organs are normal.</t>
  </si>
  <si>
    <t>Right cranioventral abdominal mass.  This mass appears slightly more opaque than the falciform fat but less opaque than the adjacent liver.  A partially fatty mass could be considered, such as liposarcoma.  Hepatic origin is most likely, although mesenteric or GI origin cannot be completely excluded.  Abdominal ultrasound may be helpful.  Radiographically normal thorax for patient of this age.</t>
  </si>
  <si>
    <t>Three radiographs of the thorax, and three views of the abdomen are provided. The cardiac silhouette and pulmonary vessels are normal size and shape. There is increased opacity overlying the heart on the left lateral projection, with equivocal faint air bronchograms. On the VD projection there is hazy increased opacity to the right of the heart. No pleural effusion. Adequate tracheal diameter._x000D_
_x000D_
In the abdomen there is moderate volume gas in the stomach and throughout the intestines. Smoothly irregular ovoid 1.0 x 0.8 cm mineral density in the pylorus. No other foreign material is appreciated. Small volume of formed feces in the distal colon. Normal-sized liver, spleen, kidneys. No radiopaque cystic calculi. Mineral densities in the stifles are incidental meniscal mineralizations.</t>
  </si>
  <si>
    <t>1. The appearance of the right middle lung lobe is most likely aspiration pneumonia. Lobar collapse due to atelectasis or chronic insult (asthma or heartworm disease) could also cause this appearance. No other thoracic abnormalities._x000D_
2. Gastric foreign material. This could be administered medications. Ingested foreign material is given lesser consideration in the absence of vomiting. Otherwise normal abdomen.</t>
  </si>
  <si>
    <t>Current treatment is appropriate. If hyporexia persists, abdominal ultrasound would be recommended.</t>
  </si>
  <si>
    <t xml:space="preserve">
1.This result detects none, or equivocal/borderline to moderate cardiomegaly. _x000D_
2.This result does not detect pulmonary vasculature enlargement._x000D_
3.Rarely, this result detects minimal pleural fissure lines/fluid.  _x000D_
4.This result detects a minimal to mild interstitial pulmonary pattern.  _x000D_
5.This result detects a minimal to mild, or rarely moderate bronchial pulmonary pattern._x000D_
6.Rarely, this result detects a minimal alveolar pulmonary pattern.</t>
  </si>
  <si>
    <t>3 views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</si>
  <si>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dietary indiscretion, etc.</t>
  </si>
  <si>
    <t>Study:_x000D_
Thoracic/abdominal radiography: three images dated August 21,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with the pylorus is probably gas-filled on the left lateral image. The small intestines are normal in size, course and content. The colon contains gas and a small amount of poorly formed fecal material. The liver and spleen are normal in size and margin. The kidneys are normal in size and contour. The urinary bladder is normal in size and opacity. Suture material from prior ovariohysterectomy is present caudal to each kidney and in the mid-ventral abdominal body wall. Mild periarticular bone formation is present at the craniolateral margin of the acetabular bilaterally. There is narrowing of the lumbosacral intervertebral disc space with sclerotic endplates. There is mild multifocal thoracic and L7-S1 spondylosis deformans. On the VD view, there is a small mineral body adjacent to the medial epicondyle the left humerus.</t>
  </si>
  <si>
    <t>1. Unremarkable abdomen. A cause of the reported vomiting and anorexia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 There is no radiographic evidence of cardiopulmonary disease._x000D_
3. L7-S1 intervertebral disc disease._x000D_
4. Mild bilateral shoulder osteoarthrosis._x000D_
5. Left humeral medial epicondylitis.</t>
  </si>
  <si>
    <t>Abdomen: The right kidney is enlarged and has slightly lobar margins.  The left kidney is normal for size.  The remainder of the abdominal viscera is unremarkable._x000D_
_x000D_
Thorax: There is a alveolar pattern occupying the caudal dorsal aspect of the left caudal lung lobe.  The remainder of the pulmonary parenchyma is unremarkable.  The cardiac silhouette and pulmonary vasculature are unremarkable.</t>
  </si>
  <si>
    <t>Primary differential consideration for the size and appearance of the right kidney is a neoplastic infiltrative process._x000D_
_x000D_
The alveolar pattern involving the right caudal lung lobe is suspicious for neoplasia.</t>
  </si>
  <si>
    <t xml:space="preserve">
1.Rarely, this result detects a minimal to mild interstitial pulmonary pattern._x000D_
2.Rarely, this result detects a minimal alveolar pulmonary pattern._x000D_
3.Negative for pulmonary vasculature enlargement._x000D_
4.Negative for pleural fissure lines/pleural fluid._x000D_
5.Cardiac silhouette: Normal in most cases; rarely, minimal to mild generalized cardiomegaly is present._x000D_
6.Uncommonly, this result detects a minimal to mild bronchial pulmonary pattern.</t>
  </si>
  <si>
    <t>Orthogonal views of the thorax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t>
  </si>
  <si>
    <t>1) No signs of cardiomegaly (this does not exclude a cardiac disease such as a congenital L. to R shunt).</t>
  </si>
  <si>
    <t>Given the lack of cardiomegaly but audible murmur, consider a cardiology consultation with ECG and echocardiogram.</t>
  </si>
  <si>
    <t xml:space="preserve">
1.This result detects equivocal/borderline cardiomegaly._x000D_
2.This result detects a minimal, or rarely mild interstitial pulmonary pattern._x000D_
3.This result detects a minimal to moderate bronchial pulmonary pattern._x000D_
4.This result does NOT detect an alveolar pulmonary pattern._x000D_
5.Rarely, this result detects minimal pleural fissure lines/fluid.</t>
  </si>
  <si>
    <t>Three radiographs of the thorax/abdomen are provided. The cardiac silhouette is normal size and shape. Pulmonary vessels are normal size. There are equivocal faint peripheral bronchial markings. Increased opacity overlying the cranial heart on the right lateral view is due to summating ribs. There is no pleural effusion. Increased opacity overlying the ventral heart is caused by pleural fat deposition. Normal tracheal diameter and position. No esophageal dilation. In the abdomen there is abundant peritoneal fat. No effusion. Normal-sized liver, kidneys, and spleen. The gastrointestinal tract is mildly filled. Small intestines reside predominantly in the right abdomen on the VD view, an incidental feline variant. No radiopaque urolithiasis.</t>
  </si>
  <si>
    <t>Equivocal faint peripheral bronchial markings suggestive of chronic airway inflammation. This may be due to inhaled irritants/allergens or infectious airway disease. There is no evidence of pneumonia or cardiovascular disease.</t>
  </si>
  <si>
    <t>Consider symptomatic treatment for the cough. If gagging behavior persists, visual inspection of the pharyngeal/laryngeal region should be considered.</t>
  </si>
  <si>
    <t xml:space="preserve">
1.This result does not detect pulmonary vasculature enlargement._x000D_
2.This result detects a minimal to mild, or rarely moderate interstitial pulmonary pattern.  _x000D_
3.This result detects a minimal to mild, or rarely moderate bronchial pulmonary pattern._x000D_
4.Rarely, this result detects a minimal to mild alveolar pulmonary pattern._x000D_
5.This result does not detect pleural fissure lines/fluid.  _x000D_
6.This result detects equivocal/borderline to mild cardiomegaly. </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</si>
  <si>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</si>
  <si>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thorax without signs of pulmonary metastases nor signs of thoracic lymphadenopathy._x000D_
2) Unremarkable abdomen.</t>
  </si>
  <si>
    <t>Consider abdominal US to further evaluate causes of vomition and a CT of the nasal cavity with rhinoscopy and biopsies.</t>
  </si>
  <si>
    <t xml:space="preserve">THORAX (3 images):
Images are dated Images are dated August 21, 2024.
Pulmonary parenchyma: A mild to moderate diffuse bronchial pattern is present.
Pulmonary vasculature: The pulmonary vasculature is subjectively normal in size and tapers in the periphery of the lungs.
Cardiac silhouette: The cardiac silhouette is mildly tall in the lateral images, with a rounded base in the right lateral image.  The cardiac silhouette is mild to moderately widened at its base in the ventrodorsal image, likely exacerbated by obliquity.  
Mediastinum: The cranial mediastinum is normal.
Trachea: The trachea is normal.
Esophagus: The esophagus is not well-identified.
Pleural space: The pleural space is normal.
Musculoskeletal: The included musculoskeletal structures are normal.
</t>
  </si>
  <si>
    <t xml:space="preserve">1. Mild generalized cardiomegaly is consistent with reported murmur.  
-  Differential diagnoses include hypertrophic or thyrotoxic cardiomyopathy or unlikely other.
- There is no current evidence of left-sided congestive heart failure.  
2. Mild-moderate diffuse bronchial pulmonary pattern.
- Differential diagnoses include fibrosis from prior disease, age-related changes, or less likely infectious/immune-mediated lower airway disease, or inhaled allergen/irritant, or unlikely other.  </t>
  </si>
  <si>
    <t>Consider echocardiography, eCG, blood pressure, thyroid function testing and routine blood work for further evaluation. Empirical therapy and supportive care in the interim as needed. Monitoring as directed or sooner if clinical signs acutely change, fail to improve or worsen.</t>
  </si>
  <si>
    <t>Two orthogonal thoracic radiographs dated 21st August 2024 are available for review. There are no previous radiographs available for comparison. _x000D_
_x000D_
Airway findings: The cervical and thoracic trachea have a normal size, outline and position. The carina, tracheal bifurcation and mainstem bronchi are normal. The pulmonary parenchyma is normal._x000D_
_x000D_
Cardiovascular findings: There is increased pericardial fat, creating an impression of cardiomegaly. The right atrium is subjectively prominent. The pulmonary vasculature and mainstem vessels are normal._x000D_
_x000D_
Mediastinum and pleural space: There is mild widening of the cranial mediastinum adjacent to the heart._x000D_
_x000D_
Musculoskeletal findings: No significant abnormalities are detected._x000D_
_x000D_
Included abdomen: No significant abnormalities are detected.</t>
  </si>
  <si>
    <t>1. Suspicion of early right atrial dilation: This may be positional, or due to early hypertrophic cardiomyopathy, less likely are heart worm. The apparent cardiomegaly is due to an increased amount of fat in the pericardium._x000D_
2. The pulmonary parenchyma is normal. There is no evidence for pulmonary oedema. The opacification cranial to the heart is most likely due to the widened mediastinum. This may be due to fat accumulation, less likely mediastinitis, lymphadenomegaly, or other mass formation. Allergic lower airway disease can be present in spite of normal radiographs.</t>
  </si>
  <si>
    <t>Radiography is insensitive for early cardiac insufficiency, therefore ECG, blood pressure measurements, and echocardiography is advised, as well as T4 testing._x000D_
Consider airway sampling to exclude lower airway allergic disease.</t>
  </si>
  <si>
    <t xml:space="preserve">
1.This result detects a minimal to mild interstitial pulmonary pattern._x000D_
2.This result detects a minimal to mild bronchial pulmonary pattern._x000D_
3.This result does NOT detect an alveolar pulmonary pattern._x000D_
4.This result does NOT detect pulmonary soft tissue nodules.  _x000D_
5.Rarely, this result detects minimal pleural fissure lines/fluid._x000D_
6.This result detects equivocal/borderline to moderate cardiomegaly.</t>
  </si>
  <si>
    <t>Two orthogonal thoracic radiographs dated 25th August 2024 are available for review. There are no previous radiographs available for comparison. _x000D_
_x000D_
Airway findings: The trachea is mildly undulating. The tracheal bifurcation is normal. There is a mild bronchial pattern. At the distal aspect of the left caudal ventral bronchus there is a poorly marginated spherical soft tissue opacity. This is not visible on the ventrodorsal image._x000D_
_x000D_
Cardiovascular findings: The cardiac axis is rotated creating increased cardiac sternal contact. The base of the artery is prominent. The overall cardiac silhouette is subjectively enlarged. There is no clear Valentine shape in the ventrodorsal image. The visible pulmonary vasculature is normal. The caudal vena cava is normal._x000D_
_x000D_
Mediastinum and pleural space: No significant abnormalities are detected._x000D_
_x000D_
Musculoskeletal findings: No significant abnormalities are detected._x000D_
_x000D_
Included abdomen: No significant abnormalities are detected.</t>
  </si>
  <si>
    <t>1. The cardiac rotation and prominent aorta may be due to normal ageing. Aortic stenosis, post stenotic dilatation, hypertrophic cardiomyopathy, heart worm is possible._x000D_
2. Diffuse mild bronchial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 The opacity at the distal left bronchus may be due to and on vasculature, or tortuosity of the bronchus. A nodular opacity such as a single neoplasm, abscess or cyst is considered less likely.</t>
  </si>
  <si>
    <t>ECG, blood pressure measurements and echocardiography are advised to differentiate._x000D_
Respiratory workup including CBC, serum chemistry, urinalysis, Baermann faecal testing, 4DX, +/- respiratory panel are advised.</t>
  </si>
  <si>
    <t xml:space="preserve">
1.This result detects equivocal/borderline to mild cardiomegaly. _x000D_
2.This result detects a minimal or less commonly mild interstitial pulmonary pattern.  _x000D_
3.This result detects a mild to moderate bronchial pulmonary pattern._x000D_
4.Rarely, this result detects a minimal alveolar pulmonary pattern._x000D_
5.This result does not detect pulmonary soft tissue nodules._x000D_
6.This result does not detect pleural fissure lines/fluid.  _x000D_
7.This result does not detect pulmonary vasculature enlargement.</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</si>
  <si>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less likely bronchopneumonia, or unlikely evolving neoplasia,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</si>
  <si>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One of the kidneys (poorly distinguished in the VD view if right or left, suspected the right one) is abnormally atrophic, irregular with renoliths, the other kidney being slightly enlarged._x000D_
Urinary bladder WNL.</t>
  </si>
  <si>
    <t>1) Unremarkable thorax without signs of cardiomegaly (this does not exclude a cardiomyopathy or a hyperthyroidism) pulmonary metastases nor signs of thoracic lymphadenopathy._x000D_
2) Hepatomegaly: Metabolic vs Vacuolar infiltration vs Hepatic nodular hyperplasia vs Inflammatory vs Toxic vs Neoplastic or a combination of these differentials._x000D_
3) Chronic renal changes in one kidney with most likely compensating hypertrophy of the other kidney.</t>
  </si>
  <si>
    <t>Given the lack of cardiomegaly but audible murmur, consider a cardiology consultation with ECG and echocardiogram and abdominal US to further evaluate the distal abdominal aorta and iliac arteries, the liver and the urinary tract with renal function, UPC and urinalysis, prior to an MRI based on neuro exam.</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</si>
  <si>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filled with fluid and food._x000D_
Small intestines are mildly gas and fluid filled, not overtly distended. _x000D_
Serosal detail is preserved._x000D_
Liver and spleen are within normal limits of size and smoothly marginated._x000D_
Both kidneys are enlarged and markedly irregular with protruding nodules and suspected retroperitoneal fluid._x000D_
Urinary bladder WNL.</t>
  </si>
  <si>
    <t>1) Unremarkable thorax without signs of pulmonary metastases nor signs of thoracic lymphadenopathy._x000D_
2) Bilateral irregular renomegaly compatible with FIP related granulomata/inflammatory changes vs renal lymphoma vs PKD, other differentials being less likely, any of these with suspected retroperitoneal fluid (rule out renal insufficiency).</t>
  </si>
  <si>
    <t>Consider abdominal US to further evaluate the urinary tract with renal function, UPC and urinalysis.</t>
  </si>
  <si>
    <t>WHOLE-BODY (4 total radiographs for review). Compared to a previous examination (case ID 2180896)._x000D_
_x000D_
- The patient again has an excessive body habitus._x000D_
- There is a similar, moderate, diffuse bronchial pattern present._x000D_
- The cardiac silhouette and pulmonary vasculature are normal._x000D_
- The pulmonary parenchyma is normal_x000D_
- The trachea, esophagus and remainder of the mediastinum are normal._x000D_
- The pleural space and remaining intrathoracic structures are normal._x000D_
- Peritoneal serosal detail is normal._x000D_
- The stomach contains mild gas-stippled soft-tissue opaque material_x000D_
- The small intestine contains mild multifocal gas and soft-tissue opaque material_x000D_
- The colon contains gas, soft-tissue/fluid and mild, desiccated formed fecal material._x000D_
- The liver, spleen, region of the kidneys and urinary bladder are normal._x000D_
- No musculoskeletal abnormalities are noted.</t>
  </si>
  <si>
    <t>1. Similar, mild-to-moderate diffuse bronchial pattern. Most likely compatible with chronic lower airway disease. Feline asthma is again most likely, however bronchitis of infectious (e.g. parasitic, bacterial) or inhaled irritant etiologies are also possible.  Consider continuation of treatment for chronic lower airway disease and if there is lack of improvement or worsening despite medical management, internal medicine consultation, thoracic CT +/- lower airway sampling might be considered._x000D_
_x000D_
2. Unremarkable postprandial abdomen with mild constipation._x000D_
_x000D_
3. Similar excessive body habitus</t>
  </si>
  <si>
    <t xml:space="preserve">
1.Rarely, this result detects minimal pleural fissure lines/fluid.  _x000D_
2.This result does not detect pulmonary vasculature enlargement._x000D_
3.This result detects none, or equivocal/borderline to moderate cardiomegaly. _x000D_
4.This result detects a minimal to mild interstitial pulmonary pattern.  _x000D_
5.This result detects a minimal to mild, or rarely moderate bronchial pulmonary pattern._x000D_
6.Rarely, this result detects a minimal alveolar pulmonary pattern.</t>
  </si>
  <si>
    <t>A three view study of the thorax including the neck and a lateral neck view that includes the head marked rotation are provided for interpretation._x000D_
_x000D_
Slight narrowing of the C4-C5 intervertebral disc space is suspected. Positional artifact cannot be excluded as a cause of this appearance. The soft tissues of the neck are unremarkable. No laryngeal abnormalities are identified. Some of the oropharynx is visible and appears normal. Most of the nasopharynx is obscured due to rotation of the skull._x000D_
_x000D_
There is a small quantity of gas transiently visible in the esophagus. There is a mild bronchial pulmonary pattern. The cardiovascular structures are within normal limits. The cranial abdominal organs are unremarkable.</t>
  </si>
  <si>
    <t>The mild bronchial pattern is not suspected to be associated with the sneezing. The appearance is compatible with prominent age related changes or chronic lower airway disease such as asthma. Overall this is a mild change and infectious causes of bronchitis cannot be excluded but are considered unlikely._x000D_
_x000D_
The cough could be secondary to asthma or allergic lung disease. Viral tracheitis/tracheobronchitis or laryngitis should also be considered._x000D_
_x000D_
Nasopharyngeal polyp cannot be excluded on the basis of this study.</t>
  </si>
  <si>
    <t>Visual evaluation of the nasopharynx sedated pharyngeal exam or cross sectional imaging such as MRI or CT should be considered, depending on the severity of clinical signs.</t>
  </si>
  <si>
    <t xml:space="preserve">
1.Cardiac silhouette: Normal in most cases; rarely, minimal to mild generalized cardiomegaly is present._x000D_
2.Uncommonly, this result detects a minimal to mild bronchial pulmonary pattern._x000D_
3.Rarely, this result detects a minimal to mild interstitial pulmonary pattern._x000D_
4.Rarely, this result detects a minimal alveolar pulmonary pattern._x000D_
5.Negative for pulmonary vasculature enlargement._x000D_
6.Negative for pleural fissure lines/pleural fluid.</t>
  </si>
  <si>
    <t>Three orthogonal thoracic radiographs dated 20th August 2024 are available for review. There are no previous radiographs available for comparison. _x000D_
_x000D_
Airway findings: The thorax is well inflated in the images. The trachea has a normal position, shape and size. The carina and tracheal bifurcation are normal. There is a mild diffuse bronchial pattern, with caudal dorsal emphasis.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 _x000D_
_x000D_
Mediastinum and pleural space: No significant abnormalities are detected. _x000D_
_x000D_
Musculoskeletal findings:  No significant abnormalities are detected. _x000D_
_x000D_
Included abdomen: No significant abnormalities are detected.</t>
  </si>
  <si>
    <t>1.Caudal dorsal mild bronchial pattern: Consideration should be given to normal ageing and hypoinflation. Allergic bronchitis, chronic bacterial /viral bronchitis +/- parasitic bronchitis is possible. Less likely are heart worm, hyperardenocorticism, neoplasia (such a lymphoma) or idiopathic pulmonary fibrosis.</t>
  </si>
  <si>
    <t>Evaluate for upper airway disease as clinically indicated. Respiratory workup including CBC, serum chemistry, urinalysis, Baermann faecal testing, 4DX, +/- respiratory panel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t>
  </si>
  <si>
    <t>Three radiographs of the thorax/abdomen are provided. The cardiac silhouette is normal size on the right lateral view. The heart appears larger on the other two projections due to adjacent fat deposition. Fat deposition is responsible for the increased opacity cranial to the heart on the lateral views. There are no abnormalities in the pulmonary parenchyma. No pleural effusion. Osseous structures are age-appropriate. In the abdomen there is no peritoneal or retroperitoneal effusion. Moderate volume soft tissue opacity in the stomach. Small bowel are moderately filled with a mixture of fluid and gas. Gas and small volume semi-formed feces in the colon. Normal-sized liver, spleen, kidneys. Nondistended uterus is questionably visible. The urinary bladder is mildly filled and soft tissue opaque.</t>
  </si>
  <si>
    <t>Small intestinal functional ileus, a nonspecific finding that may be due to enteritis, stress/discomfort, metabolic abnormality, or primary gastrointestinal disorder. Otherwise normal postprandial abdomen. Gastric contents appears to be normal ingesta. Foreign material is not definitively ruled out. The thorax is normal.</t>
  </si>
  <si>
    <t>Recommend CBC, blood chemistry profile, and fecal examination. Repeat fasted abdominal radiographs +/- positive contrast gastrogram could be considered to rule out gastric foreign material. Strictly fasted abdominal ultrasound is another option, as long as there is minimal gas in the stomach at the time of imaging.</t>
  </si>
  <si>
    <t>3 views of the entire body are presented for review.  The cardiovascular and pulmonary structures are normal.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t>
  </si>
  <si>
    <t>Radiographically normal thorax.  Gastric contents are consistent with normal ingesta, although chronic foreign material cannot be completely excluded.</t>
  </si>
  <si>
    <t>Consider fasted images to rule out the presence of chronic foreign material resulting in the reported vomiting.</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</si>
  <si>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left kidney is small.  Mineral is present in the right renal diverticula.  The remaining abdominal organs are normal.  There is spondylosis deformans of the lumbosacral spine.</t>
  </si>
  <si>
    <t>Chronic renal changes, worse on the left.  Radiographically normal thorax for patient of this age.</t>
  </si>
  <si>
    <t xml:space="preserve">THORAX (4 images):
Images are dated August 20, 2024
Pulmonary parenchyma: A minimal to mild diffuse bronchial and minimal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</si>
  <si>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Minimal-mild diffuse bronchial and minimal interstitial pulmonary patterns.
- Differential diagnoses include fibrosis from prior disease, age-related changes, infectious/immune-mediated lower airway disease (feline asthma versus mycoplasma spp., bordetella spp., parasitism such as lung worms, or less likely other) or unlikely other.
2. No evidence of left-sided congestive heart failure.  
</t>
  </si>
  <si>
    <t>Absence of radiographic cardiomegaly does not rule out underlying cardiomyopathy, especially given reported patient history and prior echocardiography.  Routine blood work, urinalysis and thyroid function testing as directed.  Empirical therapy and supportive care as needed.  Monitoring as directed or sooner if clinical signs acutely change, fail to improve or worsen.</t>
  </si>
  <si>
    <t>Three orthogonal thoracic radiographs dated 20th August 2024 are available for review. There are no previous radiographs available for comparison. _x000D_
_x000D_
Thorax: _x000D_
Airway findings: The cervical and thoracic trachea have a normal size, outline and position. The carina, tracheal bifurcation and mainstem bronchi are normal. A mild increase bronchointerstitial opacification is visible in the caudal dorsal lung regions. In the ventrodorsal image, there is interstitial opacification of the left caudal dorsal region._x000D_
_x000D_
Cardiovascular findings: The cardiac silhouette is normal in shape, size and margination. The cranial pulmonary vasculature is normal. The caudal pulmonary arteries are prominent. The caudal vena cava is normal. The aorta and mainstem pulmonary artery have a normal outline in the vd/dv l image._x000D_
_x000D_
Mediastinum and pleural space: There is some ventral pleural fat._x000D_
_x000D_
Abdomen: No significant abnormalities are detected._x000D_
_x000D_
Musculoskeletal findings: No significant abnormalities are detected.</t>
  </si>
  <si>
    <t>1. Part of the bronchointerstitial opacification can be attributed to body habitus and hypoinflation.  Allergic bronchitis, chronic bacterial /viral bronchitis +/- parasitic bronchitis is possible. Heart worm is possible definitely considering prominent caudal pulmonary arteries. Less likely are hyperardenocorticism, neoplasia (such a lymphoma) or idiopathic pulmonary fibrosis.  _x000D_
2. Normal cardiac silhouette. Hypertrophic cardiomyopathy can be present initially in spite of normal radiographs. Heart worm should also be considered in light of pulmonary findings.</t>
  </si>
  <si>
    <t>Correlate with palpation testing for upper respiratory disease. Respiratory workup including CBC, serum chemistry, urinalysis, Baermann faecal testing, 4DX, +/- respiratory panel as indicated may be considered.  _x000D_
Considering equivocal cardiac pathology, ECG, blood pressure measurements and echocardiography are advised, as well as T4 testing.</t>
  </si>
  <si>
    <t xml:space="preserve">
1.This result detects mild to moderate cardiomegaly._x000D_
2.Rarely, this result detects minimal pulmonary vasculature enlargement._x000D_
3.This result detects a mild to mild interstitial pulmonary pattern.  _x000D_
4.This result detects a minimal to mild bronchial pulmonary pattern._x000D_
5.This result does not detect an alveolar pulmonary pattern._x000D_
6.Rarely, this result detects minimal pleural fissure lines/fluid.  </t>
  </si>
  <si>
    <t>If the patient is dyspneic, or has severe or progressive respiratory clinical signs, rule out left-sided congestive heart failure.  If the patient has mild or no respiratory clinical signs, then differential diagnoses for the bronchial and interstitial pulmonary patterns include: infectious lower airway disease (such as mycoplasma spp., parasitism, viral, or other), immune-mediated lower airway disease (feline asthma), inhaled allergen/irritant, changes from prior disease,  age-related factors, errors in patient positioning/technique, pulmonary hypoinflation, or a combination of these. Differential diagnoses for cardiomegaly include: hypertrophic or thyrotoxic cardiomyopathy in a mature or older patient, or congenital anomaly in a very young patient, or unlikely heartworm disease (unless in edemic areas). Differential diagnoses for pleural fissure lines/fluid include:  left-sided congestive heart failure, tangential beam artifact, pleural folding, or less likely chylous, malignant effusion, or unlikely hemorrhage or other.</t>
  </si>
  <si>
    <t>Lateral and VD views of the thorax and abdomen are provided._x000D_
_x000D_
The patient has obese body condition. There is increased pericardial fat that increases the appearance of heart size in the VD view, but actual heart size is believed to be normal. In the VD view, there is a discrete rounded shadow consistent with a subpleural nodule in the left mid to caudal lung at the level of the eighth intercostal space. A corresponding shadow is seen superimposed over the caudal vena cava in the second lateral view (timestamp 8:18 AM). Additional more subtle nodular shadows are suspected in this view superimposed over the caudal aspect of the heart. In the other lateral view (timestamp 8:17 AM) nodular shadows are suspected in the caudal dorsal lung, the most prominent of which is seen just ventral to the ninth thoracic vertebra. No pleural effusion is seen._x000D_
_x000D_
The colon is moderately to markedly distended with gas and normal appearing fecal material. The upper GI tract appears empty and nondistended. The kidneys are at the small end of normal size range. The other abdominal organs are within normal limits. No mass lesions are seen in the abdomen._x000D_
There is severe spondylosis involving L6-L7. No destructive bone lesions are seen.</t>
  </si>
  <si>
    <t>There is one discrete nodular shadow in the left peripheral mid to caudal lung. Additional smaller less defined nodules are suspected, but these are less consistently visible and less definitive. The overall appearance is still a concern for neoplasia, possibly metastases from a tumor not visible in the radiographs._x000D_
_x000D_
No mass lesions are identified in the abdomen. More advanced imaging such as ultrasound should still be considered._x000D_
_x000D_
The large intestine is distended, and the distal colon has a mildly impacted appearance. Overall the appearance is much improved relative to the previous radiographs made three years ago, but constipation should still be ruled out as a contributor to the clinical signs.</t>
  </si>
  <si>
    <t>CT would be ideal for more definitive evaluation of suspected pulmonary nodules._x000D_
CT could also be used to look for a primary tumor elsewhere in the body. This is not an option, ultrasound of the abdomen is recommended._x000D_
_x000D_
If the patient is defecating adequately, the distended appearance of the colon may be normal for this patient. If not, enema is probably indicated.</t>
  </si>
  <si>
    <t xml:space="preserve">
1.This result detects equivocal/borderline to mild cardiomegaly. _x000D_
2.This result does not detect pulmonary vasculature enlargement._x000D_
3.Rarely, this result detects minimal pleural fissure lines/fluid.  _x000D_
4.This result detects a minimal to mild interstitial pulmonary pattern.  _x000D_
5.This result detects a mild, or rarely moderate bronchial pulmonary pattern._x000D_
6.Rarely, this result detects a minimal alveolar pulmonary pattern.</t>
  </si>
  <si>
    <t>Patient Name : charlie wood, Date of study: Aug 20, 2024
3 images are provided for review
Feline Thorax (3 Images) - 2 Lateral, 1 Vd
There are no previous radiographs for comparison. Ungloved human digits primary beam ventrodorsal image.  
Pulmonary parenchyma: A mild diffuse bronchial pattern is present.
Pulmonary vasculature: The pulmonary vasculature is subjectively normal in size and tapers in the periphery of the lungs.
Cardiac silhouette: The cardiac silhouette is slightly tall in the lateral images. The cardiac silhouette is slightly widened at its base in the ventrodorsal image.
Mediastinum: The cranial mediastinum is normal.
Trachea: The trachea is normal.
Esophagus: The esophagus is not well-identified.
Pleural space: The pleural space is normal.
Musculoskeletal: The included musculoskeletal structures are normal.</t>
  </si>
  <si>
    <t>1. Mild diffuse bronchial pulmonary pattern.
- Differential diagnoses include infectious/immune-mediated lower airway disease such as from feline asthma, mycoplasma spp., bordetella spp., parasitism, or inhaled allergen/irritant, fibrosis from prior disease, age-related changes, or unlikely other.
2. Equivocal generalized cardiomegaly versus artifact from phase of the cardiopulmonary cycle and patient positioning.
- If present, differential diagnoses include hypertrophic cardiomyopathy or unlikely other.
- There is no evidence of cardiogenic pulmonary edema.</t>
  </si>
  <si>
    <t>Echocardiography as planned and consider abdominal ultrasonography if not recently performed with/without GI panel given reported pancreatitis.  Empirical therapy and supportive care as needed.  Monitoring as directed or sooner if clinical signs acutely change, fail to improve or worsen.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</si>
  <si>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</si>
  <si>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Radiographically normal thorax for patient of this age.</t>
  </si>
  <si>
    <t xml:space="preserve">
1.This result does NOT detect pleural fissure lines._x000D_
2.This result detects equivocal/borderline to moderate cardiomegaly._x000D_
3.This result detects a minimal to moderate bronchial pulmonary pattern._x000D_
4.This result detects a minimal to mild interstitial pulmonary pattern._x000D_
5.This result does NOT detect an alveolar pulmonary pattern.</t>
  </si>
  <si>
    <t>Three radiographs of the thorax and three views of the abdomen are provided. Images dated 7/13/21 are available for comparison. The cardiac silhouette is normal size. The heart lies relatively flat along the sternum on the lateral views, an incidental variant. Pulmonary vessels are normal size. There are no abnormalities in the pulmonary parenchyma. Hazy soft tissue density dorsal to the 2nd sternal segment on the lateral views is not definitively seen on the VD projection and is likely superimposed thoracic limb tissue. Normal tracheal diameter._x000D_
_x000D_
In the abdomen the colon is filled with gas and scant minimally formed feces. The stomach contains small volume gas. Small intestines are moderately filled with fluid and small volume gas. No radiopaque foreign material. Normal-sized liver, spleen, kidneys. No radiopaque urolithiasis. Punctate mineral density in at least one of the stifles is incidental meniscal mineralization.</t>
  </si>
  <si>
    <t>Mild diarrhea and small intestinal functional ileus. This is nonspecific and may be due to enteritis, metabolic abnormality, other primary gastrointestinal disorder. There is no evidence of an obstructive process. The thorax is normal.</t>
  </si>
  <si>
    <t xml:space="preserve">Patient Name : Saidy Zaitz, Date of study: Aug 19, 2024
4 images are provided for review
There are no previous radiographs for comparison.  Ventrodorsal image is mislabeled given spleen position.
Pulmonary parenchyma: A minimal diffuse bronchial and interstitial pattern is present.  The lungs are hypoinflated in the lateral images and thoracic limbs superimpose over the cranial thorax in the lateral images.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patient is obese.  The remaining included musculoskeletal structures are normal.
</t>
  </si>
  <si>
    <t>1. Minimal diffuse bronchial and interstitial pulmonary patterns such as from infectious/immune-mediated lower airway disease (feline asthma, and/or mycoplasma spp., bordetella spp., parasitism, or other), inhaled allergen/irritant, fibrosis from prior disease, age-related changes, artifact from obesity/underinflation, or unlikely other.
2. Obesity.</t>
  </si>
  <si>
    <t>Consider respiratory PCR panel, airway sampling, and fecal analysis/empirical deworming for further evaluation.  Routine blood work if not recently performed for further evaluation.  Empirical therapy and supportive care as needed in the interim.  Monitoring as directed or sooner if clinical signs acutely change, fail to improve or worsen.</t>
  </si>
  <si>
    <t xml:space="preserve">
1.This result detects equivocal/borderline to mild cardiomegaly. _x000D_
2.This result detects a minimal to mild, or rarely moderate interstitial pulmonary pattern.  _x000D_
3.This result detects a minimal to mild, or rarely moderate bronchial pulmonary pattern._x000D_
4.Rarely, this result detects a minimal to mild alveolar pulmonary pattern._x000D_
5.This result does not detect pleural fissure lines/fluid.  _x000D_
6.This result does not detect pulmonary vasculature enlargement.</t>
  </si>
  <si>
    <t>Thorax: There is mild to moderate generalized cardiomegaly.  The pulmonary vasculature is small.  The aorta has a undulating appearance.  There is a mild peribronchial pattern.  There is no evidence of pleural effusion or lymphadenopathy.  There are regions of spondylosis deformans._x000D_
_x000D_
Abdomen: There are no abnormalities involving the visible portions of the abdominal viscera.  Serosal detail is normal.</t>
  </si>
  <si>
    <t>Generalized cardiomegaly.  At this point there does not appear to be cardiac decompensation._x000D_
_x000D_
Undulating aorta which may reflect systemic hypertension._x000D_
_x000D_
Small diameter of the pulmonary vasculature.  Even though the cardiac silhouette appears enlarged, dehydration/hypovolemia cannot be ruled out._x000D_
_x000D_
Mild peribronchial pattern which may represent a lower airway inflammatory process.</t>
  </si>
  <si>
    <t xml:space="preserve">
1.This result detects a minimal, or rarely mild interstitial pulmonary pattern._x000D_
2.This result detects a minimal to moderate bronchial pulmonary pattern._x000D_
3.This result does NOT detect an alveolar pulmonary pattern._x000D_
4.This result detects equivocal/borderline cardiomegaly._x000D_
5.Rarely, this result detects minimal pleural fissure lines/fluid.</t>
  </si>
  <si>
    <t>Three orthogonal thoracic radiographs dated 19th August 2024 are available for review. These are compared with previous radiographs dated 11th August 2024._x000D_
_x000D_
Airway findings: The cervical and thoracic trachea have a normal size, outline and position. The carina, tracheal bifurcation and mainstem bronchi are normal. The thoracic limbs are not protracted on the left lateral image, however no clear alveolar pattern is present. The previously visible lobar sign is also absent. A minimal bronchointerstitial pattern is remaining._x000D_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The hepatic silhouette is large, consistent with very young age.</t>
  </si>
  <si>
    <t>Resolution of right middle lung lobe opacification, consistent with resolution of pneumonia/aspiration pneumonia. The remaining mild bronchial opacification may be a remnant of disease, or still consistent with young age.</t>
  </si>
  <si>
    <t>Discontinuation of antibiotic therapy needs to be based on clinical signs, laboratory pathology, and imaging findings.</t>
  </si>
  <si>
    <t>THORAX (3 total radiographs for review). _x000D_
_x000D_
- The cardiac silhouette and pulmonary vasculature are normal._x000D_
- The pulmonary parenchyma is normal_x000D_
- The trachea, esophagus and remainder of the mediastinum are normal._x000D_
- The pleural space and remaining intrathoracic structures are normal._x000D_
- The cranial abdominal structures are normal._x000D_
- Mild cranial lumbar spondylosis deformans.</t>
  </si>
  <si>
    <t>1. Normal thorax._x000D_
_x000D_
2. L3-4 spondylosis deformans.</t>
  </si>
  <si>
    <t>Whole body and abdominal radiographs (5 images) dated August 19, 2024. Only the abdomen is requested for interpretation in the whole body images._x000D_
_x000D_
The liver is mildly enlarged. The spleen is unremarkable in size and shape. Both kidneys are normal in size and shape. The urinary bladder is moderately distended with homogeneous fluid opacity. The stomach contains a small volume of gas. The small intestine has a moderate variation in diameter and predominantly contains gas while the remaining small bowel is empty or minimally fluid and gas-filled. The colon contains a small amount of unremarkable stool. Retroperitoneal and peritoneal detail are normal. No regional lymphadenopathy is evident. No aggressive osseous lesions are identified.</t>
  </si>
  <si>
    <t>1. The variable distention of the small intestine with gas is suggestive of enteritis. A small intestinal mechanical obstruction is unlikely._x000D_
2. Mild hepatomegaly. Rule out a benign metabolic/vacuolar hepatopathy vs. hepatitis/cholangiohepatitis vs. infiltrative round cell neoplasia vs. FIP.</t>
  </si>
  <si>
    <t>Supportive care with fluid rehydration, antiemetics, gastroprotectants/omeprazole, and bland diet.  General health profile (CBC, chemistry, UA, fecal, FeLV/FIV,) +/- fPLI to screen for underlying causes.  Repeat fasted abdominal radiographs or ideally abdominal ultrasound if the patient fails medical management.</t>
  </si>
  <si>
    <t xml:space="preserve">
1.This result detects moderate to severe, or rarely mild cardiomegaly._x000D_
2.This result detects a minimal to mild interstitial pulmonary pattern.  _x000D_
3.This result detects a minimal to mild, or rarely moderate bronchial pulmonary pattern._x000D_
4.Rarely, this result detects a minimal alveolar pulmonary pattern._x000D_
5.Rarely, this result detects minimal pulmonary vasculature enlargement._x000D_
6.Rarely, this result detects minimal pleural fissure lines/fluid.  </t>
  </si>
  <si>
    <t>If the patient has respiratory clinical signs, then differential diagnoses for the bronchial and interstitial pulmonary patterns include: infectious lower airway disease (such as mycoplasma spp., parasitism, viral, or other), immune-mediated lower airway disease (feline asthma), inhaled allergen/irritant, changes from prior disease, versus evolving left-sided congestive heart failure.  Additional differential diagnoses include: age-related factors, errors in patient positioning/technique, pulmonary hypoinflation, or a combination of these. Differential diagnoses for an alveolar pulmonary pattern include: left-sided congestive heart failure, atelectasis such as from bronchial plugging (such as from concurrent immune-mediated or infectious lower airway disease) or recumbency, or less likely bronchopneumonia, or other. Differential diagnoses for cardiomegaly include: hypertrophic or thyrotoxic cardiomyopathy in a mature or older patient, or congenital anomaly in a very young patient, or unlikely heartworm disease (unless in edemic areas). Differential diagnoses for pleural fissure lines/fluid include:  left-sided congestive heart failure, tangential beam artifact, pleural folding, or less likely chylous, malignant effusion, hemorrhage, or other.</t>
  </si>
  <si>
    <t>WHOLE-BODY (4 total radiographs for review).  A previous examination is available for comparison from 07/11/2024._x000D_
_x000D_
- Peritoneal serosal detail is normal._x000D_
- The stomach contains mild gas and gas-stippled soft-tissue opaque material_x000D_
- The small intestine is mildly generally distended and contains mild multifocal gas and soft-tissue opaque material, as well as a few small mineral opaque foci._x000D_
- The colon contains gas, soft-tissue/fluid and minimal formed fecal material._x000D_
- The liver, spleen, region of the kidneys and urinary bladder are normal._x000D_
- Mild diffuse bronchial pulmonary pattern._x000D_
- Mild pulmonary hyperinflation._x000D_
- Wedge-shaped mixed fat and soft tissue opacity in the region of the right middle lung lobe._x000D_
- Transitional lumbosacral vertebral segment with fusion of the right transverse process of the caudal most lumbar vertebral segment to the wing of the right ilium. _x000D_
- Mild multifocal vertebral spondylosis deformans.</t>
  </si>
  <si>
    <t>1.  The appearance of the gastrointestinal tract can be within normal limits, however can also be consistent with a generalized functional ileus, such as gastroenterocolitis or infiltrative bowel disease (e.g. IBD or lymphoma).  Otherwise, a clear cause for the reported clinical signs is not distinctly detected.  I would recommend considering abdominal ultrasonography in this patient for further assessment if clinically indicated._x000D_
_x000D_
2. Mild diffuse bronchial pattern with pulmonary hyperinflation and right middle lung lobe collapse (probably from bronchial mucus plugging). Most likely compatible with chronic lower airway disease. Feline asthma is most likely, however bronchitis of infectious (e.g. parasitic, bacterial) or inhaled irritant etiologies are also possible. _x000D_
_x000D_
3. Transitional lumbosacral vertebra and mild multifocal spondylosis deformans.</t>
  </si>
  <si>
    <t>Study:_x000D_
Thoracic radiography: three images dated August 19, 2024_x000D_
_x000D_
Findings:_x000D_
The cardiac silhouette is normal in size and shape. The pulmonary vasculature is normal in size. There is a mild bronchial pulmonary pattern in the caudodorsal lung fields on the lateral projections. No nodules or masses are present. The pleural space is normal. There is no intrathoracic lymphadenopathy. The trachea is normal in diameter and course. The included abdomen is normal. The osseous structures are unremarkable. The patient is of overweight body condition.</t>
  </si>
  <si>
    <t>The mild caudodorsal bronchial pulmonary pattern may indicate allergic/inflammatory bronchitis (asthma). Infectious, parasitic and irritant bronchitis are also possible. Airway sampling, heartworm testing and Baermann fecal flotation can be considered for further evaluation.</t>
  </si>
  <si>
    <t>Three radiographs of the thorax/abdomen are provided. The cardiac silhouette and pulmonary vessels are normal size and shape. There are no abnormalities in the pulmonary parenchyma. In the abdomen there is no effusion. The urinary bladder is mildly filled and soft tissue opaque. No evidence of medial iliac lymphadenomegaly. Inguinal lymph nodes are visible but not enlarged. The kidneys, spleen, and liver are normal size and shape. The stomach and colon are moderately filled. No osseous abnormalities.</t>
  </si>
  <si>
    <t>Normal thorax and abdomen. There is no radiopaque urolithiasis.</t>
  </si>
  <si>
    <t>If cystitis does not resolve with current treatment, additional imaging of the urinary bladder with ultrasound should be considered.</t>
  </si>
  <si>
    <t>Three orthogonal thoracic radiographs dated 19th August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</si>
  <si>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1. Normal thorax. There is no evidence for aspiration or significant lower airway disease. Allergic lower airway disease (feline asthma) can be present without radiographic signs in the early phases.</t>
  </si>
  <si>
    <t>Respiratory workup including CBC, serum chemistry, urinalysis, Baermann faecal testing, 4DX, +/- respiratory panel or fungal testing may be considered.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t>
  </si>
  <si>
    <t>Study:_x000D_
Thoracic/abdominal radiography: three images dated August 19,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No mineral opaque calculi are present in the bladder or region the urethra. No skeletal abnormalities are present. The inguinal lymph nodes are enlarged (approximately 1 cm in thickness)._x000D_
_x000D_
Human digits are present in the primary beam on the VD view.</t>
  </si>
  <si>
    <t>1. Unremarkable abdomen. A cause of the reported anorexia and vomiting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thorax._x000D_
3. The mild bilateral inguinal lymphadenopathy may be reactive or neoplastic. Fine needle aspiration and cytology can considered for further evaluation.</t>
  </si>
  <si>
    <t xml:space="preserve">Three orthogonal thoracic radiographs dated 17th August 2024 are available for review. There are no previous radiographs available for comparison. 
Airway findings: The cervical and thoracic trachea have a normal size, outline and position. The carina, tracheal bifurcation and mainstem bronchi are normal. The lung parenchyma is normal. A triangular shaped region of interstitial opacification is visible between the left cranial and left caudal lung lobes.
Cardiovascular findings: The cardiac silhouette is normal in shape, size and margination. The cranial and caudal pulmonary vasculature is normal. The caudal vena cava is normal. The aorta and mainstem pulmonary artery have a normal outline in the vd/dv l image.
Mediastinum and pleural space: No significant abnormalities are detected.
Musculoskeletal findings: No significant abnormalities are detected.
Included abdomen: No significant abnormalities are detected. </t>
  </si>
  <si>
    <t>1. Relatively unremarkable thorax. This does not preclude the presence of lower airway allergic disease. The triangular region of interstitial opacification may be due to fat accumulation, superimposition of extrathoracic tissues as this is not seen on the lateral images. Partial positional collapse of the dorsal aspect of the left cranial lung lobe is possible.</t>
  </si>
  <si>
    <t>Definitive diagnosis of lower airway allergic disease can be achieved with airway sampling. Alternatively, empirical therapy for lower airway disease, empirical deworming, and removal of allergens and environmental irritants (i.e. smoke, dust, perfumes, etc.) can be considered.</t>
  </si>
  <si>
    <t>Six radiographs of the thorax and abdomen are provided. The cardiac silhouette and pulmonary vessels are normal size and shape. There are no abnormalities in the pulmonary parenchyma or pleural space. Suspect hazy 1.5 x 0.6 cm soft tissue density dorsal to the 4th sternal segment on the lateral views, not appreciated on the VD projection. Normal tracheal diameter. In the abdomen serosal detail is adequate. The patient is thin. There is a smoothly marginated ovoid 1.3 x 1.0 cm mineral density in the mid ventral abdomen consistent with incidental Bates body. Large volume gas and small volume fluid in the stomach. Small intestines are minimally filled with fluid and gas. Gas and small volume formed feces in the colon. No radiopaque foreign material. Normal-sized liver, spleen, kidneys. Probable punctate nephroliths, incidental. No radiopaque cystic calculi.</t>
  </si>
  <si>
    <t>1. Possible mild sternal lymphadenopathy versus artifact caused by superimposed extrathoracic tissue. If not an artifact, sternal lymphadenopathy is typically indicative of a disease process originating from the cranial abdomen. Otherwise normal thorax._x000D_
2. Other than thin body condition, no intra-abdominal abnormalities are appreciated. Gastritis is suspected. Small radiolucent gastric foreign material/trichobezoar is not ruled out.</t>
  </si>
  <si>
    <t>Fasting abdominal ultrasound is recommended. A positive contrast gastrogram (liquid barium, no food admixed) is another option.</t>
  </si>
  <si>
    <t xml:space="preserve">
1.This result detects mild to moderate cardiomegaly._x000D_
2.Rarely, this result detects minimal pleural fissure lines/fluid._x000D_
3.This result detects a minimal to moderate bronchial pulmonary pattern._x000D_
4.This result detects a minimal to mild interstitial pulmonary pattern._x000D_
5.This result does NOT detect an alveolar pulmonary pattern.</t>
  </si>
  <si>
    <t>5 images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moderate amount of ingesta.  The small intestines are normal in size.  Gas and opaque feces are present in the colon.  The urinary bladder is small.  The kidneys are slightly small with irregular margins.  The remaining abdominal organs are normal.  There is spondylosis deformans of the lumbosacral spine.</t>
  </si>
  <si>
    <t>Constipation.  Chronic renal changes.  Cardiomegaly without current evidence of cardiogenic pulmonary edema.</t>
  </si>
  <si>
    <t xml:space="preserve">
1.This result detects mild to moderate cardiomegaly._x000D_
2.This result detects a minimal to mild interstitial pulmonary pattern._x000D_
3.This result does NOT detect an alveolar pulmonary pattern. _x000D_
4.This result does NOT detect pleural fissure lines._x000D_
5.This result detects a minimal to moderate bronchial pulmonary pattern.</t>
  </si>
  <si>
    <t>9 images of the entire body are provided for review.  The lung lobes are retracted from the thoracic wall and fluid is present in the pleural space.  The cardiac silhouette cannot be visualized due to silhouetting but appears grossly normal in size following thoracocentesis.  The visible pulmonary vasculature is normal in size.  No distinct pulmonary infiltrates are seen.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</si>
  <si>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Pleural effusion.</t>
  </si>
  <si>
    <t>Echocardiography and/or thoracic ultrasound may be helpful in further evaluation with thoracic CT as needed.</t>
  </si>
  <si>
    <t xml:space="preserve">
1.This result detects a minimal to severe bronchial pulmonary pattern._x000D_
2.This result detects a minimal to moderate interstitial pulmonary pattern._x000D_
3.Rarely, this result detects a minimal to mild alveolar pulmonary pattern._x000D_
4.This result detects moderate to severe, or rarely mild cardiomegaly._x000D_
5.Rarely, this result detects minimal to mild pulmonary vasculature enlargement._x000D_
6.This result detects minimal to moderate pleural fissure lines/fluid. </t>
  </si>
  <si>
    <t xml:space="preserve">If the patient is dyspneic, or has an elevated heart rate/respiratory rate, or has otherwise severe pulmonary clinical signs, consider early left-sided congestive heart failure as the primary differential diagnosis for combined cardiomegaly, pulmonary pattern, pleural fluid and possible pulmonary vasculature enlargement. Moderate pleural fluid may obscure the cardiac silhouette and compress the lung, complicating a diagnosis of cardiomegaly and pulmonary patterns. Differential diagnoses for cardiomegaly include: hypertrophic or thyrotoxic cardiomyopathy in a mature or older patient, or congenital anomaly in a very young patient.  Consider heartworm disase in endemic areas, or if not already ruled out.  Differential diagnoses for an alveolar pattern include: bronchial plugging (such as from concurrent immune-mediated or infectious lower airway disease), atelectasis (such as from recumbency), coalescing pulmonary edema/left-sided congestive heart failure, or unlikely other such as bronchopneumonia. Differential diagnoses for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t>
  </si>
  <si>
    <t xml:space="preserve">
For patients with no respiratory clinical signs, differential diagnoses for a minimal or mild mixed bronchial and interstitial pattern include: changes from prior disease,  age-related factors, and errors in patient positioning/technique, or pulmonary hypoinflation._x000D_
If the patient is dyspneic, consider oxygen therapy, diuretic therapy and monitoring for clinical improvement.  Repeat thoracic radiographs in 4-6 hours to monitor for improvement of radiographic changes._x000D_
Consider cardiologist consultation, echocardiography. ECG and blood pressure._x000D_
Prior to diuretic therapy, consider routine blood work, urine collection (if possible), and thyroid function testing if not recently performed, especially for mature or older patients._x000D_
Depending on the volume of pleural fluid present, thoracocentesis with fluid analysis/cytology and repeat thoracic radiographs may be contributory._x000D_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If your clinical impression of this patient does not match the content of this result, consider submitting the radiographs for a formal radiologist report._x000D_
Looking for more information &lt;a href=https://platform.v2.vetology.net/doc/feline-cardiomyopathies-I  target=_blank rel=noopener noreferrer&gt;about feline heart disease?&lt;/a&gt;</t>
  </si>
  <si>
    <t>3 views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moderate amount of ingesta.  The small intestines are normal in size.  Gas and feces are present in the colon.  The urinary bladder is distended.  The kidneys are small with mildly irregular margins.  The remaining abdominal organs are normal.</t>
  </si>
  <si>
    <t>Chronic renal changes.  Cardiomegaly without current evidence of cardiogenic pulmonary edema.  Echocardiography and thyroid testing may be helpful in further evaluation.</t>
  </si>
  <si>
    <t xml:space="preserve">
1.This result detects no cardiomegaly to equivocal/borderline cardiomegaly. _x000D_
2.This result detects a minimal, or rarely mild interstitial pulmonary pattern._x000D_
3.This result detects a minimal  mild, or rarely moderate bronchial pulmonary pattern._x000D_
4.Rarely, this result detects a minimal alveolar pulmonary pattern._x000D_
5.This result does not detect pulmonary soft tissue nodules._x000D_
6.This result does not detect pulmonary vasculature enlargement._x000D_
7.Rarely, this result detects minimal pleural fissure lines/fluid.</t>
  </si>
  <si>
    <t>Three orthogonal thoracic radiographs dated 16th August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has a minimal bronchial pattern._x000D_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</si>
  <si>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1.Diffuse minimal bronchial pattern:  Allergic bronchitis (feline asthma), chronic bacterial /viral bronchitis +/- parasitic bronchitis should also be considered. Less likely are hyperardenocorticism, neoplasia (such a lymphoma) or idiopathic pulmonary fibrosis. Normal ageing, or fibrosis from previous disease is considered less likely considering young age. The overall findings are mild._x000D_
2. The murmur may be physiologic, however early hypertrophic cardiomyopathy can be present in spite of normal radiographs.</t>
  </si>
  <si>
    <t>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t>
  </si>
  <si>
    <t>Orthogonal radiographs of the thorax/abdomen are provided. The cardiac silhouette and pulmonary vessels are normal size on the lateral view. The heart appears slightly larger on the VD projection due to expiration. There are no abnormalities in the pulmonary parenchyma. No pleural effusion. In the abdomen peritoneal and retroperitoneal detail is adequate. There is moderate volume of gas in the stomach. Small intestines are mildly filled with a mixture of fluid and gas. The majority of small bowel reside in the right abdomen on the VD projection, an incidental feline variant. Gas and small volume formed feces in the colon. Normal size liver, spleen, kidneys. No radiopaque urolithiasis. Mild degenerative change in the right coxofemoral joint is of doubtful clinical significance today.</t>
  </si>
  <si>
    <t>Normal thorax and abdomen. Gastroenteritis/pancreatitis secondary to dietary indiscretion/change should be considered. There is no convincing evidence of an obstructive process. Small radiolucent gastric foreign material is not definitively ruled out.</t>
  </si>
  <si>
    <t>Study:_x000D_
Thoracic/abdominal radiography: three images dated August 15, 2024_x000D_
_x000D_
Findings:_x000D_
The cardiac silhouette and pulmonary vasculature are normal in size. The pulmonary parenchyma is unremarkable. The pleural space is normal. There is no intrathoracic lymphadenopathy. The trachea is normal in diameter and course. The stomach is empty.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 There are two lobulated soft tissue opaque nodules in the subcutaneous tissues of the right mid abdomen. The inguinal lymph nodes appear normal in size.</t>
  </si>
  <si>
    <t>1. Normal thorax. There is no radiographic evidence of pulmonary metastatic disease._x000D_
2. Unremarkable abdomen. There is no radiographic evidence of gastrointestinal foreign material, small intestinal mechanical obstruction or intra-abdominal neoplasia. Abdominal sonography can be considered for further evaluation if vomiting persists or worsens in spite of medical management._x000D_
3. Mammary masses. Rule out recurrent carcinoma versus adenoma. Tissue sampling should be considered.</t>
  </si>
  <si>
    <t xml:space="preserve">
1.This result detects a minimal to mild, or rarely moderate interstitial pulmonary pattern.  _x000D_
2.This result detects a minimal to mild bronchial pulmonary pattern._x000D_
3.This result does not detect an alveolar pulmonary pattern._x000D_
4.This result does not detect pulmonary soft tissue nodules._x000D_
5.This result detects none, or equivocal/borderline to mild cardiomegaly. _x000D_
6.This result does not detect pulmonary vasculature enlargement._x000D_
7.Rarely, this result detects minimal pleural fissure lines/fluid.  </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</si>
  <si>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moderately distended.  The kidneys are small with mineral in the right renal diverticula.  The remaining abdominal organs are normal.</t>
  </si>
  <si>
    <t>Chronic renal changes.  Radiographically normal thorax for patient of this age.</t>
  </si>
  <si>
    <t>Study:_x000D_
Thoracic radiography: three images dated August 16, 2024_x000D_
_x000D_
Findings:_x000D_
The cardiac silhouette and pulmonary vasculature are normal in size. There is a mild generalized bronchial pulmonary pattern. The pleural space is normal. There is no intrathoracic lymphadenopathy. The larynx is normal. The trachea is normal in diameter and course. The stomach contains unstructured heterogeneous soft tissue material presumed to be ingesta. The osseous structures are unremarkable.</t>
  </si>
  <si>
    <t>The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t>
  </si>
  <si>
    <t>6 images of the thorax and abdomen are provided for review. There is a moderate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</si>
  <si>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Moderate bronchial pulmonary pattern.  Considerations include asthma, heartworm, lungworm, atypical infection, bronchitis.</t>
  </si>
  <si>
    <t xml:space="preserve">
1.This result detects a minimal to mild interstitial pulmonary pattern.  _x000D_
2.Rarely, this result detects minimal pleural fissure lines/fluid.  _x000D_
3.This result detects none, or equivocal/borderline to moderate cardiomegaly. _x000D_
4.This result detects a minimal to mild, or rarely moderate bronchial pulmonary pattern._x000D_
5.Rarely, this result detects a minimal alveolar pulmonary pattern._x000D_
6.This result does not detect pulmonary vasculature enlargement.</t>
  </si>
  <si>
    <t>Three radiographs of the thorax/abdomen are provided. The cardiac silhouette and pulmonary vessels are normal size and shape. The lungs are clear. There is no pleural effusion. Normal tracheal diameter. In the abdomen peritoneal and retroperitoneal detail is adequate. The stomach is minimally distended. Small bowel are mildly filled with fluid and scant gas. Moderate volume semi-formed feces in the colon. Normal-sized liver, spleen, kidneys. No radiopaque urolithiasis. Osseous structures are unremarkable.</t>
  </si>
  <si>
    <t>Normal thorax and abdomen. There is no evidence of cardiovascular disease on this study.</t>
  </si>
  <si>
    <t>No specific recommendations based on this study.</t>
  </si>
  <si>
    <t>Three radiographs of the thorax/abdomen are provided. The cardiac silhouette is upper normal size to mildly enlarged for a feline patient. Pulmonary vessels are normal size. There are no abnormalities in the pulmonary parenchyma. Normal tracheal diameter. No pleural effusion._x000D_
_x000D_
In the abdomen there is large volume of formed feces in the colon. Fecal balls are somewhat angular and measure up to 3.6 cm diameter. The stomach and small bowel are minimally filled. Normal-sized liver, kidneys, spleen. The urinary bladder is moderately filled and soft tissue opaque. Normal osseous structures.</t>
  </si>
  <si>
    <t>1. Equivocal mild cardiomegaly. This may be artifact due to adjacent fat deposition. Otherwise normal thorax._x000D_
2. Constipation. No other abdominal abnormalities.</t>
  </si>
  <si>
    <t>If cardiac proBNP is elevated, an echocardiogram should be considered.</t>
  </si>
  <si>
    <t>Patient Name : Pepper Barr, Date of study: Aug 16, 2024
3 images are provided for review
There are no previous radiographs for comparison.
Pulmonary parenchyma: A minimal diffuse bronchial pattern is present.  Ill-defined interstitial soft tissue over the cranial lungs in the left lateral image is not corroborated in the ventrodorsal image.
Pulmonary vasculature: The pulmonary vasculature is subjectively normal in size and tapers in the periphery of the lungs.
Cardiac silhouette: The cardiac silhouette is equivocal enlarged and rounded.
Mediastinum: The cranial mediastinum is mildly symmetrically widened in the ventrodorsal image.
Trachea: The trachea is normal.
Esophagus: The esophagus is not well-identified.
Pleural space: The pleural space is normal.
Liver: The liver is minimally enlarged and occupies approximately four intercostal spaces width, with a slightly rounded caudoventral margin.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to large volume of admixed heterogeneous soft tissue material and gas.  Moderate granular mineral is admixed with gastric content.  Gas is in the pylorus in the left lateral image.   The stomach is within normal limits for size.
The small intestine contains moderate heterogeneous soft tissue and fluid admixed with gas.  Moderate granular mineral is admixed with small intestinal content.  The small intestine has a subjectively uniform population for size. 
The colon contains mild admixed soft tissue material and gas.  The colon is within normal limits for size.  
Musculoskeletal: The included musculoskeletal structures are normal.</t>
  </si>
  <si>
    <t>1. Equivocal generalized cardiomegaly versus artifact from phase of the cardiopulmonary cycle or patient positioning/technique.
- If present, consider congenital anomaly such as atrial/ventricular septal defect or mitral valve dysplasia or unlikely other.
- There is no current evidence of left-sided congestive heart failure.  
2. Widened cranial mediastinum due to fat deposition/individual variation of normal, thymic tissue given patient age, or unlikely evolving lymphadenomegaly or other.
3.  Minimal diffuse bronchial pulmonary pattern due to fibrosis from prior disease, age-related changes, or unlikely other.
4. Gastric material due to recent meal, or given reported history, less likely gastritis/delayed gastric emptying.
5. Non-specific small intestinal appearance such as from enteritis or given reported history, variation of normal/passage of ingesta.
6. Mild hepatomegaly due to artifact/variation of normal and/or underlying hepatitis/cholangiohepatitis, or unlikely other.</t>
  </si>
  <si>
    <t>Consider echocardiography, eCG, urinalysis, and blood pressure, especially given reported history.  Consider monitoring with repeat abdominal radiographs after 8-12 hours of fasting for passage of gastrointestinal content if clinically indicated.  Empirical therapy and supportive care in the interim as needed.  Monitoring as directed or sooner if clinical signs acutely change, fail to improve or worsen.</t>
  </si>
  <si>
    <t>Study:_x000D_
Thoracic/abdominal radiography: right lateral and orthogonal views (two images) dated August 15, 2024_x000D_
_x000D_
Findings:_x000D_
The cardiac silhouette is normal in size and shape. The pulmonary vasculature is normal in size. There is a mild caudodorsal bronchial pulmonary pattern. The pleural space is normal. There is no intrathoracic lymphadenopathy. The trachea is normal in diameter. The serosal detail is normal.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</si>
  <si>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The mild caudodorsal bronchial pulmonary pattern may indicate infectious bronchitis or allergic/inflammatory bronchitis (asthma). Bronchitis secondary to inhaled irritant or parasites (lungworms) are less likely. Infectious respiratory disease PCR testing and airway sampling can be considered for further evaluation._x000D_
2. Unremarkable abdomen. There is no radiographic evidence of gastrointestinal foreign material or small intestinal mechanical obstruction. Abdominal sonography can be considered for further evaluation if the right lethargy and anorexia persist or worsen in spite of medical management.</t>
  </si>
  <si>
    <t xml:space="preserve">
1.This result detects equivocal/borderline to mild cardiomegaly. _x000D_
2.This result detects a minimal to mild, or rarely moderate interstitial pulmonary pattern.  _x000D_
3.This result does not detect pleural fissure lines/fluid.  _x000D_
4.This result does not detect pulmonary vasculature enlargement._x000D_
5.This result detects a minimal to mild, or rarely moderate bronchial pulmonary pattern._x000D_
6.Rarely, this result detects a minimal to mild alveolar pulmonary pattern.</t>
  </si>
  <si>
    <t>Study:_x000D_
Thoracic radiography: three images dated August 15, 2024_x000D_
_x000D_
Findings:_x000D_
There is severe bilateral pleural effusion. There is associated reduced lung volume/atelectasis. No pulmonary nodules or masses are present in the aerated lungs. The severity of the effusion limits evaluation of the cardiac silhouette. There is no overt cardiomegaly. The pulmonary vasculature is normal in size. There is no evidence of cranial mediastinal mass. The trachea is normal in diameter. The stomach contains unstructured heterogeneous soft tissue material presumed to be ingesta and a small amount of interspersed stippled mineral. The osseous structures are unremarkable.</t>
  </si>
  <si>
    <t>Severe bilateral nonspecific pleural effusion. A cause is not radiographically evident. Recommend therapeutic thoracocentesis with fluid analysis, echocardiography plus/minus computed tomography of the thorax for further evaluation.</t>
  </si>
  <si>
    <t xml:space="preserve">
1.This result detects mild to severe cardiomegaly._x000D_
2.Rarely, this result detects minimal to mild pulmonary vasculature enlargement._x000D_
3.This result detects minimal to moderate pleural fissure lines/fluid. _x000D_
4.This result detects a mild to severe bronchial pulmonary pattern._x000D_
5.This result detects a mild to severe interstitial pulmonary pattern._x000D_
6.This result detects a minimal to moderate alveolar pulmonary pattern.</t>
  </si>
  <si>
    <t>Three orthogonal thoracic radiographs dated 15th August 2024 are available for review. There are no previous radiographs available for comparison. _x000D_
_x000D_
Airway findings: The cervical and thoracic trachea have a normal size, outline and position. The carina, tracheal bifurcation and mainstem bronchi are normal. There is moderate opacification of the cranioventral thorax. This causes border effacement of the cranial aspect of the cardiac silhouette. In the caudal dorsal lung fields there is a mild interstitial opacification._x000D_
_x000D_
Cardiovascular findings: There is partial border effacement of the cardiac silhouette. The visible cardiac silhouette is normal in shape, size and margination. The cranial and caudal pulmonary vasculature is normal. The caudal vena cava is normal. The aorta and mainstem pulmonary artery have a normal outline in the vd/dv l image._x000D_
_x000D_
Mediastinum and pleural space: The cranial mediastinum is mildly widened._x000D_
_x000D_
Musculoskeletal findings: No significant abnormalities are detected._x000D_
_x000D_
Included abdomen: No significant abnormalities are detected.</t>
  </si>
  <si>
    <t>1. Diffuse interstitial opacification: This could be due to viral pneumonia, less likely irritant inhalant. The ventral opacification is suspected to be caused by a cranial mediastinal widening. This may be due to remaining thymic tissue, or unlikely mediastinitis. Aspiration is considered unlikely. Lower airway allergic disease (feline asthma) can sometimes present as an interstitial pattern. Round cell infiltration, eosinophilic bronchopneumopathy, pulmonary oedema is considered unlikely.</t>
  </si>
  <si>
    <t>Respiratory workup including CBC, serum chemistry, urinalysis, Baermann faecal testing, 4DX, +/- respiratory panel or fungal testing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 Repeat radiographs prior to end of therapy.</t>
  </si>
  <si>
    <t>Three radiographs of the thorax, and three views of the abdomen are provided. The cardiac silhouette is normal size and shape. The heart lies flat on the sternum on the lateral views, an incidental aged feline variant. Prominence of the aortic arch on the VD projection is due to heart position and mild rotation. A mild bronchial pattern is present. Otherwise the lungs are clear. There is no pleural effusion or enlarged intrathoracic lymph nodes._x000D_
_x000D_
In the abdomen there is moderate volume of formed feces in the colon. Small intestines are moderately filled with fluid and gas. Appearance of thickened loop of small bowel in the midabdomen on the left lateral view must be interpreted with caution, as fluid-gas interface can mimic wall thickening. Small volume of gas in the stomach. Scant mineral opaque debris within the gastrointestinal tract, likely incidental. Normal-sized liver, kidney, spleen. Incidental marked multipartite medial fabella in the left limb.</t>
  </si>
  <si>
    <t>1. Small intestinal functional ileus, a nonspecific finding that may be due to metabolic abnormality, stress/discomfort, enteritis, or other primary gastrointestinal disorder. No other abdominal abnormalities._x000D_
2. Mild bronchial pattern suggestive of chronic airway inflammation. In the absence of associated chronic cough, significance is doubtful. Otherwise normal thorax.</t>
  </si>
  <si>
    <t xml:space="preserve">
1.This result detects a minimal to mild bronchial pulmonary pattern._x000D_
2.This results detects a minimal to mild interstitial pulmonary pattern._x000D_
3.Rarely, this result detects a minimal to moderate alveolar pulmonary pattern. _x000D_
4.This result detects equivocal/borderline to mild, or rarely moderate cardiomegaly._x000D_
5.Rarely, this result detects minimal to mild pulmonary vasculature enlargement._x000D_
6.Rarely,  this result detects minimal pleural fissure lines/fluid.  </t>
  </si>
  <si>
    <t>Opposite lateral and VD views of the thorax and abdomen are provided._x000D_
_x000D_
The cardiovascular structures are within normal limits. Bronchial markings are mildly increased relative to the age of the patient. No alveolar infiltrates or pleural effusion are seen. No rib fractures or pneumothorax are identified._x000D_
_x000D_
The intestinal tract has moderately increased gas. No dilation or plication the intestine is seen. Serosal detail in the abdomen is normal. The organs are within normal size and shape limits. No spinal abnormalities are identified. The pelvis and hips are unremarkable.</t>
  </si>
  <si>
    <t>No findings consistent with traumatic injury are identified._x000D_
_x000D_
The small intestine is mildly gassy but no obstructive pattern or evidence of foreign body or peritonitis is seen. This appearance would be compatible with enteritis or aerophagia._x000D_
_x000D_
There is a mild bronchial pattern but this is a subtle change, and unlikely to be relevant to the presenting complaint._x000D_
_x000D_
No musculoskeletal abnormalities that would explain the difficulty walking are identified.</t>
  </si>
  <si>
    <t>Conservative management with symptomatic therapy and supportive care is recommended.</t>
  </si>
  <si>
    <t>Abdomen: There is a moderate amount of well-formed fecal material throughout the colon and rectum.  The liver and spleen are unremarkable.  The urinary tract is unremarkable.  There are no abnormalities involving the visible portions of the gastrointestinal tract.  Serosal detail is normal.  Spondylosis deformans is noted at the lumbosacral junction._x000D_
_x000D_
Thorax: The pulmonary parenchyma, cardiac silhouette, and pulmonary vasculature are unremarkable.  There is no evidence of pleural effusion or lymphadenopathy.</t>
  </si>
  <si>
    <t>Well-formed fecal material throughout the colon and rectum.  This may be incidental however constipation cannot be ruled out.</t>
  </si>
  <si>
    <t>Three radiographs of the thorax, and three views of the abdomen are provided. The cardiac silhouette is upper normal size to mildly enlarged on the right lateral view. The heart appears larger on the other two views due to adjacent fat deposition and mild expiration. Pulmonary vessels are normal size. Faint bronchial markings are present in the lungs. There is no pleural effusion. Normal tracheal diameter. No esophageal dilation._x000D_
_x000D_
In the abdomen there is a large volume of gas in the stomach. Small intestines are moderately dilated with fluid and gas. Small volume of formed feces in the proximal colon, with gas in the distal colon. No radiopaque foreign material. Normal-sized liver, kidneys, spleen. No radiopaque cystic calculi. Normal osseous structures.</t>
  </si>
  <si>
    <t>1. Equivocal prominent heart, concerning for cardiomyopathy. In the absence of a murmur or arrhythmia, significance is doubtful._x000D_
2. Mild bronchial pattern suggestive of chronic airway inflammation such as asthma. In the absence of a chronic cough, significance is doubtful._x000D_
3. Aerophagia otherwise normal abdomen.</t>
  </si>
  <si>
    <t>A CBC and blood chemistry profile are recommended. If the patient has a murmur or arrhythmia, an echocardiogram would be recommended.</t>
  </si>
  <si>
    <t>Three radiographs of the thorax/abdomen are provided. The cardiac silhouette is normal size. The heart lies flat along the sternum, an incidental finding in older feline patients. This causes ventral positioning and focal bulge appearance of the aortic arch. Hazy 2.9 cm soft tissue opacity cranial to the heart on the lateral views is in the expected location of the aortic arch, however is more prominent than expected. Pulmonary vessels are normal size. No abnormalities of the pulmonary parenchyma. No pleural effusion._x000D_
_x000D_
In the abdomen serosal detail is adequate. Moderate volume granular soft tissue density in the stomach. Small bowel and mildly filled with fluid and gas. Small bowel reside predominantly in the right abdomen, an incidental feline variant. Small volume formed feces in the colon. No radiopaque urolithiasis. Osseous structures are unremarkable.</t>
  </si>
  <si>
    <t>Soft tissue density cranioventral to the heart is most likely normal aortic variant caused by age-related cardiac position. A mass lesion adjacent to the aortic arch (branchial cyst, heart based mass, lymphadenopathy) is not ruled out. No other thoracic abnormalities, and the abdomen is normal.</t>
  </si>
  <si>
    <t>A CBC and blood chemistry profile are recommended. Abdominal ultrasound should be considered, and the mid ventral thorax/heart base could be evaluated at the same time.</t>
  </si>
  <si>
    <t>THORAX (3 radiographs are available for review). No priors are available for comparison._x000D_
_x000D_
- The pulmonary parenchyma is normal._x000D_
- The cardiac silhouette, pulmonary vasculature, pleural space and trachea are normal._x000D_
- The mediastinum and remaining intrathoracic structures are normal._x000D_
- The stomach contains moderate gas-stippled soft-tissue opaque material._x000D_
- The liver is within normal._x000D_
- The cranial abdominal structures are otherwise normal._x000D_
- The included osseous structures are normal.</t>
  </si>
  <si>
    <t>1. Normal thorax. There is no discrete evidence of pulmonary consolidation to suggest active pneumonia identified. _x000D_
_x000D_
2. Recent meal.</t>
  </si>
  <si>
    <t xml:space="preserve">
1.This result detects equivocal/borderline to moderate cardiomegaly._x000D_
2.This result detects a minimal to mild bronchial pulmonary pattern._x000D_
3.This result detects a minimal to mild interstitial pulmonary pattern._x000D_
4.This result does NOT detect an alveolar pulmonary pattern._x000D_
5.This result does NOT detect pulmonary soft tissue nodules._x000D_
6.This result does NOT detect pleural fissure lines.</t>
  </si>
  <si>
    <t>WHOLE-BODY (2 radiographs are available for review)._x000D_
_x000D_
- Mild, diffuse bronchial pulmonary pattern._x000D_
- Cardiac silhouette, pulmonary vasculature, pleural space normal._x000D_
- Trachea, mediastinum normal._x000D_
- Remaining intrathoracic structures are normal._x000D_
- Peritoneal serosal detail is normal._x000D_
- The stomach contains moderate gas and mild gas-stippled soft-tissue opaque material._x000D_
- The small intestine contains mild multifocal gas and soft-tissue opaque material._x000D_
- The colon contains formed fecal material and gas._x000D_
- There is a small mineral opacity superimposed over a kidney of indeterminate laterality (probably the right) on the lateral projection that is not distinctly noted orthogonally._x000D_
- The liver, spleen and urinary bladder are normal._x000D_
- The included osseous structures are normal</t>
  </si>
  <si>
    <t>1. Mild, diffuse bronchial pulmonary pattern can support chronic lower airway disease, such as feline asthma or bronchitis of infectious (e.g. parasitic), allergic or inhaled irritant etiologies. If clinically indicated, treatment for lower airway disease may be considered._x000D_
_x000D_
2. Questionable small, suspect right-sided nephrolith. For further assessment, consider sonographic assessment of the renal architecture._x000D_
_x000D_
3. Aerophagia.</t>
  </si>
  <si>
    <t>Study:_x000D_
Thoracic/abdominal radiography: three images dated August 14, 2024_x000D_
_x000D_
Findings:_x000D_
There is incidental cranioventral rotation of the cardiac silhouette. The cardiac silhouette is normal in size and shape. The pulmonary parenchyma is unremarkable. The pleural space is normal. There is no intrathoracic lymphadenopathy. The trachea is normal in diameter and course. The stomach contains unstructured heterogeneous soft tissue material presumed to be ingesta. The small intestines are gas and fluid-filled and normal in size and course. The colon contains formed fecal material. The liver and spleen are normal in size and margin. The right renal silhouette appears normal in size and contour. The left kidney is not clearly visualized due to visceral crowding. The urinary bladder is normal in size and opacity. The osseous structures are unremarkable.</t>
  </si>
  <si>
    <t>1. Unremarkable abdomen. A cause of the increase vomiting is not evident. Consider abdominal sonography for further evaluation if clinical signs persist or worsen in spite of medical management._x000D_
2. Normal thorax. There is no radiographic evidence of heart disease. Consider echocardiography for further evaluation of the reported heart murmur.</t>
  </si>
  <si>
    <t xml:space="preserve">
1.This result does not detect pleural fissure lines/fluid.  _x000D_
2.This result detects a minimal to mild interstitial pulmonary pattern.  _x000D_
3.This result detects a minimal to mild, or rarely moderate bronchial pulmonary pattern._x000D_
4.Rarely, this result detects a minimal alveolar pulmonary pattern._x000D_
5.This result detects equivocal/borderline to mild cardiomegaly. _x000D_
6.This result does not detect pulmonary vasculature enlargement.</t>
  </si>
  <si>
    <t>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</si>
  <si>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Three radiographs of the thorax/abdomen are provided. The cardiac silhouette is normal size on the VD view. The heart appears larger on the lateral projections, particularly the left lateral view. This is due to adjacent fat deposition. Pulmonary vessels are normal size. There is a small cluster of punctate to small ovoid mineral densities in the mid dorsal right lungs. No other pulmonary parenchymal abnormalities. There is no pleural effusion. Normal tracheal diameter and position. In the abdomen there is no peritoneal or retroperitoneal effusion. There is scant gas and fluid in the stomach. Small bowel and minimally filled. Small volume fluid in the distal colon, with gas in the proximal colon. No radiopaque foreign material. Normal-sized liver, kidneys, spleen. No radiopaque cystic calculi.</t>
  </si>
  <si>
    <t>1. Impending liquid diarrhea. Gastroenterocolitis is suspected. There is no evidence of an obstructive process. Otherwise normal abdomen._x000D_
2. Mineral densities in the right lungs are small granulomas associated with pulmonary vessels. These are consistent with previous insult, and are incidental today. No other thoracic abnormalities.</t>
  </si>
  <si>
    <t>CBC, blood chemistry profile, fecal examination, and supportive care should be considered. Depending on patient response and lab work results, further investigation with abdominal ultrasound may be indicated.</t>
  </si>
  <si>
    <t>Study:_x000D_
Thoracic/abdominal, pelvic and pelvic limb radiography: six images dated August 14, 2024_x000D_
_x000D_
Findings:_x000D_
There is mild generalized cardiomegaly. The pulmonary vasculature is normal in size. The pulmonary parenchyma is unremarkable. The pleural space is normal. There is no intrathoracic lymphadenopathy. The trachea is normal in diameter. The stomach is empty. The small intestines are normal in size, course and content. The colon contains formed fecal material. The liver extends mildly beyond the costal arch with smooth margins. The spleen is moderately enlarged with smooth margins. The renal silhouettes are normal in size but have a mildly irregular shape. The urinary bladder is normal in size and opacity. There is narrowing of the T7-T8 intervertebral disc space. There is mild multifocal thoracolumbar and lumbosacral spondylosis deformans. There is mild to moderate remodeling/thickening of the right femoral head and neck. The left coxofemoral joint is unremarkable. The patella is in the correct anatomic location bilaterally. There is no stifle joint effusion/capsular thickening or degenerative change. The tarsus and pes are unremarkable bilaterally. The pelvic limb musculature is similar in size bilaterally.</t>
  </si>
  <si>
    <t>1. Mild generalized cardiomegaly without evidence of decompensation. Hypertrophic or myopathy is most likely. Consider echocardiography for further evaluation._x000D_
2. The mild hepatomegaly is nonspecific. Rule out metabolic/vacuolar hepatopathy, hepatitis, lipidosis, congestion or infiltrative neoplasia. Correlate with any liver enzyme abnormalities. Sonography can be considered for further evaluation._x000D_
3. The generalized splenomegaly is also nonspecific. Rule out extramedullary hematopoiesis, lymphoid hyperplasia, splenitis, congestion or infiltrative neoplasia. Sonography can be considered for further evaluation._x000D_
4. The mildly irregular shape of the kidneys may be secondary to chronic kidney disease, cortical infarction, cystic renal disease or neoplasia. Correlate with renal vies, estimate testing and urinalysis. Abdominal sonography can be also be considered for further evaluation this finding._x000D_
5. Moderate right coxofemoral osteoarthrosis.</t>
  </si>
  <si>
    <t>Study:_x000D_
Thoracic/abdominal radiography: four images dated August 18,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unstructured heterogeneous soft tissue material. The small intestines are gas-filled and normal in size and course. The colon contains formed fecal material with a normal diameter. The liver and spleen are normal in size and margin. The renal silhouettes are normal in size and contour. The urinary bladder is normal in size and opacity. No skeletal abnormalities are present.</t>
  </si>
  <si>
    <t>1. Gastric contents likely represent ingesta. Foreign material cannot be completely excluded. There is no evidence of small intestinal mechanical obstruction. Repeat fasted radiography can be considered to ensure gastric emptying. Alternatively, sonography can be considered if clinical signs persist or worsen in spite of medical management._x000D_
2. Normal thorax.</t>
  </si>
  <si>
    <t xml:space="preserve">
1.This result detects mild cardiomegaly. _x000D_
2.This result detects a minimal, or rarely mild interstitial pulmonary pattern.  _x000D_
3.This result detects a minimal to mild, or rarely moderate bronchial pulmonary pattern._x000D_
4.This result does not detect an alveolar pulmonary pattern._x000D_
5.This result does not detect pulmonary vasculature enlargement._x000D_
6.Rarely, this result detects minimal pleural fissure lines/fluid.  </t>
  </si>
  <si>
    <t>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pleural fluid include: tangential beam artifact/pleural thickening, or unliklely scant pleural fluid (such as from chylous or idiopathic, or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</si>
  <si>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A three view study of the thorax is provided for interpretation. This study is compared to the previous dated 10-13-21._x000D_
_x000D_
The heart appears slightly enlarged and rounded. Heart size appears to have increased slightly relative to the previous radiographs. The fat opacity seen between the apex of the heart and the diaphragm in the previous study is unchanged. The pulmonary vessels and parenchyma are within normal limits. No tracheal abnormalities are identified. The cranial abdomen is unremarkable.</t>
  </si>
  <si>
    <t>Heart size is borderline to slightly enlarged, and appears slightly larger than it did previously. Hypertrophic cardiomyopathy would be the primary differential for this patient._x000D_
There is no evidence of heart failure or other significant thoracic disease.</t>
  </si>
  <si>
    <t>Echocardiography is recommended to better define the nature of the cardiac disease in this patient.</t>
  </si>
  <si>
    <t xml:space="preserve">
1.This result does not detect pulmonary soft tissue nodules._x000D_
2.This result detects equivocal/borderline to mild, or rarely moderate cardiomegaly._x000D_
3.This result does not detect pulmonary vasculature enlargement._x000D_
4.This result does not detect pleural fissure lines/fluid._x000D_
5.Uncommonly, this result detects a minimal interstitial pulmonary pattern.  _x000D_
6.This result detects a minimal to mild bronchial pulmonary pattern._x000D_
7.This result does not detect an alveolar pulmonary pattern.</t>
  </si>
  <si>
    <t>3 views of the thorax are provided for review.  The cardiac silhouette is widened with rounding of the left ventricular border.  No pulmonary infiltrates are seen.  The pulmonary vasculature is normal in size.  The mediastinal and pleural structures are normal.  Cranial abdominal detail is adequate.</t>
  </si>
  <si>
    <t>Four orthogonal survey radiographs of the thorax and abdomen dated 14th August 2024 are available for review. These are compared with previous radiographs dated 29th July 2024._x000D_
_x000D_
Thorax: _x000D_
Airway findings: The cervical and thoracic trachea have a normal size, outline and position. The carina, tracheal bifurcation and mainstem bronchi are normal. The previous described mild interstitial opacification is still present. There is cranial ventral interstitial opacification due to poor protraction of the thoracic limbs and triceps muscle superimposition._x000D_
_x000D_
Cardiovascular findings: There is border effacement of the cardiac silhouette on the lateral image. The visible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increased ventral pleural fat._x000D_
_x000D_
Abdomen: No significant abnormalities are detected._x000D_
_x000D_
Musculoskeletal findings: No significant abnormalities are detected._x000D_
.</t>
  </si>
  <si>
    <t>1. Comparable mild interstitial opacification to previously, which is most likely due to hypoinflation and body habitus. Increased cranial ventral opacification due to triceps muscle superimposition.</t>
  </si>
  <si>
    <t>Correlate with clinical signs, not reported. Discontinuation of antibiotic therapy needs to be based on clinical signs, laboratory pathology, and imaging findings.</t>
  </si>
  <si>
    <t>Five radiographs of the thorax and abdomen are provided. There is elongation of the cardiac silhouette, with rounding of the caudal heart waist on the lateral views. Pulmonary vessels are normal size. There are no abnormalities in the pulmonary parenchyma or pleural space. No intrathoracic lymphadenomegaly. Osteoarthritis in the elbows, incidental today. In the abdomen peritoneal and retroperitoneal serosal detail is adequate. There is abundant retroperitoneal fat, causing the appearance of ventral displacement of intestines. Both kidneys are within normal size parameters for a feline patient. The right kidney is slightly smaller than the left. Normal-sized liver and spleen. The gastrointestinal tract is minimally filled. No radiopaque cystic calculi. Punctate mineral density in at least one of the stifles is incidental meniscal mineralization.</t>
  </si>
  <si>
    <t>1. Prominent heart, concerning for cardiomyopathy. This may also be underestimated due to hypovolemia. No other thoracic abnormalities._x000D_
2. Asymmetric kidneys consistent with chronic renal disease.</t>
  </si>
  <si>
    <t>Thyroid evaluation is recommended. Recommend cautious fluid supplementation, monitoring for development of cardiac decompensation, as there is concern for underlying cardiac disease. Plan for abdominal ultrasound is appropriate.</t>
  </si>
  <si>
    <t xml:space="preserve">
1.No cardiomegaly or pulmonary vessel enlargement is noted._x000D_
2.No pleural effusion is noted._x000D_
3.The lungs are hyperinflated on the VD projection(s) and normally inflated on the lateral projection(s). On both the lateral and VD projection, an increase in pulmonary opacity is identified in the cranial thorax however the VD opacity is attributed to obliquity while the lateral projection is likely due to increased opacity cranial to heart due to overlying soft tissue or mediastinal fat deposition vs. exclusion of the cranial thorax from the image.</t>
  </si>
  <si>
    <t xml:space="preserve">Patient Name : TOBI SMITH, Date of study: Aug 13, 2024
5 images are provided for review
Feline Thorax (5 Images) - 3 Lateral, 2 Vd
This examination complements echocardiography dated the same day.  
Pulmonary parenchyma: A mild diffuse bronchial pattern is present.  
Pulmonary vasculature: The pulmonary vasculature is subjectively normal in size and tapers in the periphery of the lungs.
Cardiac silhouette: The cardiac silhouette is equivocally rounded in the lateral and ventrodorsal images.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</si>
  <si>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pulmonary pattern.
- Differential diagnoses include infectious/immune-mediated lower airway disease such as from mycoplasma spp., bordetella spp., parasitism, or inhaled allergen/irritant, and/or fibrosis from prior disease, age-related changes, or unlikely other.
2. Equivocal cardiomegaly versus artifact from phase of the cardiopulmonary cycle and patient positioning.
- If present, differential diagnoses include hypertrophic or thyrotoxic cardiomyopathy.
- There is no current evidence of left-sided congestive heart failure.  </t>
  </si>
  <si>
    <t>Empirical therapy and supportive care in the interim as needed.  Routine blood work and recheck tyhroid function testing as directed. Monitoring as directed or sooner if clinical signs acutely change, fail to improve or worsen.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</si>
  <si>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moderately distended.  The kidneys are small with irregular margins.  The remaining abdominal organs are normal.</t>
  </si>
  <si>
    <t xml:space="preserve">
1.This result detects mild to moderate cardiomegaly._x000D_
2.This result does NOT detect pleural fissure lines.  _x000D_
3.This result detects minimal to mild, mixed interstitial and bronchial pulmonary patterns._x000D_
4.Rarely, this result detects a minimal alveolar pulmonary pattern.</t>
  </si>
  <si>
    <t xml:space="preserve">Patient Name : Lily Bump, Date of study: Aug 13, 2024
3 images are provided for review
Feline Thorax (3 Images) - 2 Lateral, 1 Vd
There are no previous radiographs for comparison.
Pulmonary parenchyma: Numerous, ill-defined and well-defined, round soft tissue pulmonary nodules are present throughout the lungs.  These nodules are discrete or coalescing and some have ill-defined margins.  A mild to moderate diffuse bronchial pattern is present.  A well-defined alveolar pattern is in the right middle lung lobe without air-bronchograms and with well-defined lobar margination with the right cranial/caudal lung lobes.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Multifocal thoracolumbar spondylosis deformans.  The remaining  included musculoskeletal structures are normal.
</t>
  </si>
  <si>
    <t xml:space="preserve">1. Numerous pulmonary soft tissue nodules.
- Differential diagnoses include metastatic neoplasia from an occult primary malignancy (thyroid carcinoma, mammary carcinoma or other), or unlikely fungal pneumonia/granulomatous disease such as from blastomycosis spp., coccidiomycosis spp. or least likely pulmonary abscessation such as from systemic infectious disease, or other.
2. Right middle lung lobe alveolar pattern due to atypical metastatic/primary neoplasia, or unlikely fungal/granulomatous pneumonitis, versus bronchial plugging/atelectasis, or least likely hemorrhage or bacterial pneumonia, or other.  
3. Mild-moderate diffuse bronchial pulmonary pattern.
- Differential diagnoses include infectious/immune-mediated lower airway disease such as from bordetella spp., mycoplasma spp., parasitism such as lung worms, or least likely inhaled allergen/irritant, fibrosis from prior disease, age-related changes, or less likely atypical metastatic neoplasia.
</t>
  </si>
  <si>
    <t>Consider routine blood work, abdominal imaging, and fungal serology depending on travel/exposure history.  Consider computed tomography of the thorax for further evaluation and to guide sampling for a definitive diagnosis.  Oncologist or internsit consultaiton dependning on results.  Empirical therapy and supportive care in the interim as needed.  Monitoring as directed or sooner if clinical signs acutely change, fail to improve or worsen.</t>
  </si>
  <si>
    <t xml:space="preserve">
1.This result detects no or equivocal/borderline cardiomegaly most commonly.  Rarely, this result detects mild or moderate cardiomegaly._x000D_
2.This result does not detect pulmonary vasculature enlargement._x000D_
3.This result commonly detects minimal to mild, or rarely moderate pleural fissure lines/fluid._x000D_
4.This result detects a minimal to mild, or less commonly moderate interstitial pulmonary pattern.  _x000D_
5.This result detects a moderate to severe, or less commonly mild  bronchial pulmonary pattern._x000D_
6.Uncommonly, this result detects a minimal to mild alveolar pulmonary pattern._x000D_
7.This result commonly detects pulmonary soft tissue nodules and masses.</t>
  </si>
  <si>
    <t>Some bronchial patterns may mimic pulmonary soft tissue nodules due to bronchial plugging, or granuloma from prior disease.  This is exacerbated if technical errors/artifacts (motion, etc.) are present in the image. The primary differential diagnoses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Granulomatous/fungal disease (such as blastomycosis spp.) is unlikely, unless the patient has an appropriate travel/exposure history.  Differential diagnoses for a bronchial and interstitial pulmonary pattern include: infectious/immune-mediated lower airway disease (such as mycoplasma spp., parasitism, or feline asthma), atypical metastatic/multicentric neoplasia, or unlikely other. Differential diagnoses for an alveolar pattern include: atelectasis or bronchial plugging such as from concurrent infectious/inflammatory lower airway disease (i.e. feline asthma) or from compression due to pleural space disease, evolving neoplasia, bronchopneumonia, or unlikely other. Differential diagnoses for equivocal cardiomegaly include: phase of the cardiopulmonary cycle, patient positioning/technique, individual variation of normal (especially in younger patients), or evolving cardiomyopathy.  Differential diagnoses for pleural fluid include: malignant effusion, chylous, idiopathic, hemorrhage, or less likely other.  If the volume is minimal, then also consider: tangential beam artifact, pleural thickening/fold.</t>
  </si>
  <si>
    <t xml:space="preserve">
If the patient is dyspneic, and pleural fluid is moderate or severe, consider therapeutic thoracocentesis, and reserve sample for fluid analysis/cytology.  Repeat thoracic radiographs for further evaluation after thoracocentesis, as this may reveal previously obscured lesions._x000D_
If the patient has clinical signs consistent with bronchopneumonia or active infectious/inflammatory lower airway disease, then consider empirical therapy and supportive care in the interim as needed._x000D_
Consider computed tomography of the thorax for further evaluation of pulmonary soft tissue nodules/masses.  Consider tissue sampling if lesions are confirmed, and oncologist consultation depending on results._x000D_
Consider respiratory PCR panel, fecal analysis/empirical deworming, and airway sampling (such as with broncho-alveolar lavage, BAL) for further evaluation._x000D_
Consider echocardiography, ECG and blood pressure._x000D_
Consider routine blood work and urinalysis._x000D_
If your clinical impression of this patient does not match the content of this result, consider submitting the radiographs for a formal radiologist report.</t>
  </si>
  <si>
    <t>Study:_x000D_
Thoracic radiography: three images dated August 13, 2024_x000D_
_x000D_
Findings:_x000D_
The cardiac silhouette and pulmonary vasculature are normal in size. There is a mild caudodorsal bronchial pulmonary pattern. The pleural space is normal. There is no intrathoracic lymphadenopathy. The trachea is normal in diameter and course. The stomach contains unstructured heterogeneous/granular soft tissue material presumed to be ingesta. The osseous structures are unremarkable. The patient is of overweight body condition.</t>
  </si>
  <si>
    <t xml:space="preserve">
1.This result detects a minimal to mild bronchial pulmonary pattern._x000D_
2.This result detects a minimal to mild interstitial pulmonary pattern._x000D_
3.This result does NOT detect an alveolar pulmonary pattern._x000D_
4.This result detects equivocal/borderline to moderate cardiomegaly._x000D_
5.This result does NOT detect pleural fissure lines. </t>
  </si>
  <si>
    <t>7 images of the thorax, cervical region, and abdomen are provided for review. There is a moderate bronchial pattern in all lung lobes.  The cardiovascular structures are normal.  The trachea is normal in diameter.  The laryngeal structures are normal.  The pharynx is gas-filled.  The mediastinal and pleural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  Mineral opaque intervertebral discs are seen in situ at T11-L2 and L3-6.</t>
  </si>
  <si>
    <t>Radiographically normal abdomen.  Moderate bronchial pulmonary pattern.  Considerations include asthma, heartworm, lungworm, atypical infection, bronchitis.  Consider empiric therapy versus further diagnostics such as heartworm testing, Baermann fecal, airway sampling.  Pharyngeal distention may indicate upper airway obstruction such as secondary to nasal disease.  Nasal evaluation may be helpful (CT, rhinoscopy, etc.).  Multiple sites of mineral opaque intervertebral disc consistent with intervertebral disc disease.</t>
  </si>
  <si>
    <t xml:space="preserve">Patient Name : Mindy Smuda-Behr, Date of study: Aug 13, 2024
3 images are provided for review
Feline Thorax (3 Images) - 2 Lateral, 1 Vd
There are no previous radiographs for comparison.
Airway findings: The cervical and thoracic trachea have a normal size, outline and position. The carina, tracheal bifurcation and mainstem bronchi are normal. The pulmonary parenchyma is normal. There is mild opacification of the cranioventral region, most likely due to triceps muscle superimposition.
Cardiovascular findings: In the left lateral image the cardiac silhouette has a mild globoid appearance. A minimal Valentine shape is present in the ventrodorsal image.The cranial and caudal pulmonary vasculature is normal. The caudal vena cava is normal. The aorta and mainstem pulmonary artery have a normal outline in the vd/dv l image. 
Mediastinum and pleural space: No significant abnormalities are detected.
Musculoskeletal findings: No significant abnormalities are detected.
Included abdomen: No significant abnormalities are detected. </t>
  </si>
  <si>
    <t>1. The cardiac findings are most likely due to phase of contraction. Early hypertrophic cardiomyopathy is considered unlikely.
2. The cranioventral opacification is most likely due to incomplete protraction of the triceps muscle. Pulmonary oedema, viral pneumonia is considered unlikely.</t>
  </si>
  <si>
    <t>Consider T4 testing. Observational management is advised. depending on clinical progression, ECG, blood pressure measurements and echocardiography may be considered.</t>
  </si>
  <si>
    <t>Three radiographs of the thorax, and three views of the abdomen are provided. The cardiac silhouette is normal size and shape. Pulmonary vessels are normal size. There is a well-defined smoothly marginated ovoid stippled mineral opaque 1.2 x 0.9 cm nodule in the caudoventral right thorax (right laterality marker located on the left side of the patient on the VD views). On all projections, this nodule is in close proximity to the 7th costochondral junction. No other similar lesions are present. There is no pleural effusion. Normal tracheal diameter._x000D_
_x000D_
In the abdomen large volume of formed feces fills the colon. Small bowel and minimally filled. Small volume gas in the stomach. Normal size liver, spleen, left kidney. The right kidney is incompletely visible but possibly reduced in size. No radiopaque urolithiasis.</t>
  </si>
  <si>
    <t>1. Mineralized right intrathoracic nodule. The mineral opacity and close proximity to the rib is suggestive of a benign process such as osteochondroma or a granuloma. A neoplastic process such as primary pulmonary neoplasia is not ruled out. The thorax is otherwise normal. There is no evidence of cardiovascular disease or pneumonia. Inhaled irritant/allergens should be considered._x000D_
2. Normal abdomen.</t>
  </si>
  <si>
    <t>Consider symptomatic treatment for the cough, and repeat thoracic radiographs in one month to determine if the mineralized nodule is progressive, which would support a diagnosis of neoplasia.</t>
  </si>
  <si>
    <t>Study:_x000D_
Thoracic and abdominal radiography: six images dated August 12,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a metallic pellet ballistic in the subcutaneous or superficial soft tissues of the left dorsolateral thorax. The osseous structures are unremarkable.</t>
  </si>
  <si>
    <t>1. Normal thorax. There is no radiographic evidence of cardiopulmonary disease or intrathoracic neoplasia._x000D_
2. Postprandial stomach=ZZ90= otherwise, unremarkable abdomen.</t>
  </si>
  <si>
    <t>Neurology consultation and MRI can be considered for further evaluation of the right sided Horner=ZZ91=s syndrome.</t>
  </si>
  <si>
    <t>4 images of the entire body and pes are presented for review.  The cardiovascular and pulmonary structures are normal.  The pleural and mediastinal structures are normal.  Abdominal serosal detail is adequate in all quadrants.  The stomach contains a large amount of ingesta.  The small intestines are normal in size.  Gas and feces are present in the colon.  The urinary bladder is small.  The remaining abdominal organs are normal.  Spinal alignment is normal.  The joint surfaces are smooth and regular.  Periosteal reaction is seen on the right first metatarsal and third and fourth digits.  Soft tissue swelling surrounds the 2nd through 4th digits on the right.  Mild lytic changes are seen.</t>
  </si>
  <si>
    <t>Radiographically normal thorax and abdomen.  Changes of the right metatarsal and digits is likely reactive periostitis due to abscess/cellulitis.  Aspirate of the soft tissue swelling may be helpful.  Early osteomyelitis cannot be completely excluded.</t>
  </si>
  <si>
    <t>Orthogonal views of the thorax and abdomen are provided:_x000D_
_x000D_
Thorax:_x000D_
_x000D_
Cardiac silhouette has a normal shape and size._x000D_
Pulmonary vessels are within normal limits of size and shape._x000D_
Pulmonary parenchyma shows an indistinct and irregular opacity superimposed or silhouetting with the left aspect of. the cardiac silhouette, questionably cavitated._x000D_
Pleural space, mediastinum, diaphragm and thoracic wall within normal limits._x000D_
_x000D_
Abdomen:_x000D_
_x000D_
The stomach is empty._x000D_
Small intestines are mildly gas and fluid filled, not overtly distended. _x000D_
Serosal detail is preserved._x000D_
Spleen is within normal limits of size and smoothly marginated._x000D_
Liver extends beyond the costal arch with sharp margins._x000D_
Kidneys and urinary bladder WNL.</t>
  </si>
  <si>
    <t>1) Questionable pulmonary mass poorly visualized adjacent/silhouetting with the cardiac silhouette in the left hemithorax. Rule out a primary pulmonary neoplasia vs lung granuloma is less likely vs fat deposits of the pericardium are less likely. _x000D_
2) Hepatomegaly: Metabolic vs Vacuolar infiltration vs Hepatic nodular hyperplasia vs Inflammatory vs Toxic vs Neoplastic or a combination of these differentials.</t>
  </si>
  <si>
    <t>Consider a CT of the thorax with US guided FNAs if the CT confirms this is a mass, also ruling out pulmonary metastases.</t>
  </si>
  <si>
    <t xml:space="preserve">Patient Name : Niles Ramsey, Date of study: Aug 12, 2024
3 images are provided for review
Feline Thorax (3 Images) - 2 Lateral, 1 Vd
There are no previous radiographs for comparison. Ventrodorsal image excludes the cranial thorax and has mild motion.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contains mild gas in the left lateral image.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In the right lateral image over the stomach and centered over the 11th ribs ventrally, is a thin, ovoid mineral to soft tissue opacity.  In the ventrodorsal image, this is suspected just rightward of mid-line superimposed over L1-2.  This is ill-defined in the left lateral image over the stomach.
The stomach contains a moderate to large volume of gas.   The stomach is within normal limits for size.
The small intestine contains moderate gas with a subjectively uniform population for size. 
The colon contains moderate gas and mild heterogeneous soft tissue material admixed with gas.  The colon wall is mildly spastic. The colon is within normal limits for size.  
Musculoskeletal: The included musculoskeletal structures are normal.
</t>
  </si>
  <si>
    <t>1.  Suspicious for gastric material with thin mineral/soft tissue rim versus artifact/accumulated granular material.
- There is no current evidence of pyloric outflow tract obstruction.
- If foreign material is truly present, partial or intermittent pyloric outflow tract obstruction may explain reported clinical signs.
2. Non-specific gastrointestinal tract appearance such as from enteritis/colitis versus individual variation of normal.
- There is no current evidence of small intestinal mechanical ileus.
- Differential diagnoses include dietary indiscretion, toxin ingestion, diet/antibiotic responsive disease, primary infectious disease/parasitism, inflammatory bowel disease, pancreatitis, or unlikely other.
3. Mild diffuse bronchial pulmonary pattern such as from fibrosis from prior disease, age-related changes or less likely infectious/immune-mediated lower airway disease or other.</t>
  </si>
  <si>
    <t>Consider further evaluation of the stomach with contrast/double-contrast gastrography, repeat radiographs after empirical therapy/supportive care, or gastroscopy (especially if this suspected material is persistent in repeat images, and signs fail to improve/worsen).  Consider routine blood work, respiratory PCR panel, airway sampling, fecal analysis/empirical deworming as well as GI panel for further evaluation. Monitoring as directed, or sooner if clinical signs acutely change, fail to improve or worsen.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</si>
  <si>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T11-T12 IVDS is narrow. No signs of vertebral fractures, laxations nor signs of aggressive bone lesions._x000D_
Unremarkable pelvis and hind limbs.</t>
  </si>
  <si>
    <t>1) Unremarkable thorax without signs of pulmonary metastases nor signs of thoracic lymphadenopathy._x000D_
2) Unremarkable abdomen._x000D_
3) T11-T12 IVDS: Rule out acute disc herniation.</t>
  </si>
  <si>
    <t>Full neuro exam with MRI of the affected segment.</t>
  </si>
  <si>
    <t>Patient Name : MOWGLI ROCKER, Date of study: Aug 12, 2024
6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mildly enlarged and occupies approximately four intercostal spaces width in the lateral images.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and mild fluid.   Gas is in the pylorus in the left lateral image.  The stomach is within normal limits for size.
One segment of small intestine in the mid-ventral abdomen is moderately filled with fluid and gas, but is larger than segments in the caudoventral abdomen.
The remainder of the small intestine contains mild fluid or is empty. 
The colon contains moderate well-defined soft tissue material and gas.  The colon is within normal limits for size.  
Musculoskeletal: The included musculoskeletal structures are normal.</t>
  </si>
  <si>
    <t>1. Suspicious for segmental small intestine enlargement in the mid-ventral abdomen from mechanical ileus, versus enteritis/functional ileus, or unlikely an evolving intestinal mass/neoplasm given the young age of this patient.
2. Mild hepatomegaly due to vacuolar change, nodular hyperplasia, hepatitis/cholangiohepatitis, variation of normal/artifact or unlikely other.
3. Mild diffuse bronchial pulmonary pattern such as from infectious/immune-mediated lower airway disease (mycoplasma spp., bordetella spp., parasitism such as lung worms, or other), inhaled allergen/irritant, fibrosis from prior disease, age-related changes, or unlikely other.</t>
  </si>
  <si>
    <t>Consider compression radiographs over the suspicious mid-ventral small intestinal segment versus ultrasonography for further evaluation.  If mechanical ileus is confirmed, consider celiotomy and decompression.  If mechanical ileus is ruled out, consider routine blood work, GI panel, fecal analysis/empirical deworming for further evaluation. Empirical therapy and supportive care in the interim as needed.  Monitoring as directed, or sooner if clinical signs acutely change, fail to improve or worsen.</t>
  </si>
  <si>
    <t>Three radiographs of the thorax/abdomen are provided. The cardiac silhouette is normal size and shape. There are no abnormalities in the pulmonary parenchyma. No pleural effusion. Normal tracheal diameter. Scant gas in the esophagus is transient and incidental. Punctate mineral density cranial to each elbow is incidental. In the abdomen the kidneys are smoothly ovoid and smaller than expected. Normal-sized spleen and liver. The gastrointestinal tract is minimally filled. No radiopaque cystic calculi. No lumbar spinal abnormalities. Punctate mineral density in the cranial aspect of one of the stifle is incidental meniscal mineralization.</t>
  </si>
  <si>
    <t>Reduced renal size consistent with chronic renal disease. Otherwise normal abdomen and thorax.</t>
  </si>
  <si>
    <t>Recommend a CBC and blood chemistry profile (if not performed recently), palpation for spinal discomfort, and a neurologic examination.</t>
  </si>
  <si>
    <t>Study:_x000D_
Thoracic/abdominal radiography: three images dated August 12, 2024_x000D_
_x000D_
Findings:_x000D_
The cardiac silhouette and pulmonary vasculature are normal in size. There is a mild generalized pattern. The pleural space is normal. There is no intrathoracic lymphadenopathy. The trachea is normal in diameter and course. The stomach is empty. The small intestines are normal in size, course and content. The colon contains formed fecal material. The liver and spleen are normal in size and margin. The kidneys are normal in size and contour. The included portion of the urinary bladder is unremarkable. The osseous structures are unremarkable/age appropriate.</t>
  </si>
  <si>
    <t>The generalized bronchial pulmonary pattern may indicate allergic/inflammatory bronchitis (asthma). Infectious and inhaled irritant bronchitis are also possible. Infectious respiratory disease PCR testing can be considered for further evaluation.</t>
  </si>
  <si>
    <t>Six radiographs of the thorax/abdomen, and a lateral view that includes both tarsi are provided. The heart and pulmonary vessels are normal size. There are no abnormalities in the pulmonary parenchyma. Fat deposition is seen along the left side of the heart on the VD view. No pleural effusion. In the abdomen there is no effusion or organomegaly. The gastrointestinal tract is moderately filled. No radiopaque cystic calculi. Mild ventral spondylosis deformans in the cranial lumbar spine. There is no vertebral lysis or subluxation. The coxofemoral joints are congruent. There is mild osteoarthritis in the distal tarsi bilaterally. No soft tissue swelling.</t>
  </si>
  <si>
    <t>1. Bilateral mild tarsal osteoarthritis._x000D_
2. Degenerative change in the cranial lumbar spine. Intervertebral disc disease may be present. This, coupled with tarsal osteoarthritis or soft tissue sprain/strain may be responsible for the clinical signs._x000D_
3. Normal abdomen and thorax.</t>
  </si>
  <si>
    <t>In the absence of neurologic deficits, this patient may benefit from anti-inflammatories and rest.</t>
  </si>
  <si>
    <t>Orthogonal radiographs of the thorax/abdomen are provided. The cardiac silhouette and pulmonary vessels are normal size and shape. There are no abnormalities in the pulmonary parenchyma. No pleural effusion. In the abdomen serosal detail is poor. The patient is thin. Moderate to large volume granular soft tissue opacity fills the stomach. Small bowel are moderately gas-filled. There is a large amount of stippled formed soft tissue opaque feces in the proximal colon. The fecal column measures up to 3.0 cm diameter. Numerous small punctate mineral densities throughout the gastrointestinal tract are of doubtful significance. Normal-sized liver. The spleen and kidneys are obscured. No radiopaque cystic calculi are appreciated. Osseous structures are unremarkable.</t>
  </si>
  <si>
    <t>Constipation. Probable peritoneal effusion versus lack of intra-abdominal fat. No other definitive abdominal abnormalities. The thorax is normal.</t>
  </si>
  <si>
    <t>A CBC, blood chemistry profile, thyroid evaluation, fluid supplementation/enema administration, and abdominal ultrasound are recommended.</t>
  </si>
  <si>
    <t xml:space="preserve">
1.Rarely, this result detects minimal to mild pulmonary vasculature enlargement._x000D_
2.This result detects equivocal/borderline to mild, or rarely moderate cardiomegaly._x000D_
3.This result detects a minimal to mild bronchial pulmonary pattern._x000D_
4.This results detects a minimal to mild interstitial pulmonary pattern._x000D_
5.Rarely, this result detects a minimal to moderate alveolar pulmonary pattern. _x000D_
6.Rarely,  this result detects minimal pleural fissure lines/fluid.  </t>
  </si>
  <si>
    <t>Study:_x000D_
Thoracic/abdominal radiography: three images dated August 11,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heterogeneous/granular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unremarkable/age appropriate.</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</si>
  <si>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Postprandial stomach=ZZ90= otherwise, unremarkable abdomen.</t>
  </si>
  <si>
    <t>The suspected lower airway disease may be unrelated to the reported upper respiratory signs. Consider infectious respiratory disease PCR testing, computed tomography the head/nasal passages and rhinoscopy for further evaluation of the sneezing and nasal discharge.</t>
  </si>
  <si>
    <t xml:space="preserve">
1.Rarely, this result detects a minimal alveolar pulmonary pattern. _x000D_
2.Rarely,  this result detects minimal pleural fissure lines/fluid.  _x000D_
3.This result detects equivocal/borderline to mild cardiomegaly._x000D_
4.Rarely, this result detects minimal to mild pulmonary vasculature enlargement._x000D_
5.This result detects a minimal to mild bronchial pulmonary pattern._x000D_
6.This results detects a minimal to mild interstitial pulmonary pattern.</t>
  </si>
  <si>
    <t>Study:_x000D_
Thoracic/abdominal radiography: five images dated August 11, 2024_x000D_
_x000D_
Findings:_x000D_
The cardiac silhouette is normal in size and shape. The pulmonary vasculature is normal in size. There is a mild generalized bronchial pulmonary pattern. There is alveolar consolidation of the right middle lung lobe. The pleural space is normal. There is no intrathoracic lymphadenopathy. The trachea is normal in diameter. The stomach is mildly gas distended. The small intestines are mildly diffusely gas distended. The colon contains formed fecal material with a normal diameter. The liver extends beyond the costal arch with smooth and sharp margins. The spleen is normal in size and margin. The renal silhouettes are normal in size and contour. The urinary bladder is normal in size and opacity. The osseous structures are unremarkable/age appropriate._x000D_
_x000D_
A human digit is present in the primary beam on the left lateral views.</t>
  </si>
  <si>
    <t>1. The generalized bronchial pulmonary pattern may indicate allergic/inflammatory bronchitis (asthma). Or irritant bronchitis are also possible. Infectious respiratory disease PCR testing and airway sampling can be considered for further evaluation._x000D_
2. The alveolar consolidation of the right middle lung lobe may indicate resorptive atelectasis secondary to bronchial plugging (relatively common sequela of lower airway disease) or bronchopneumonia. Empiric antibiotic therapy with repeat radiography to monitor for response to treatment can be considered._x000D_
3. The mild diffuse distention of the gastrointestinal tract may indicate aerophagia or nonspecific functional ileus. Abdominal sonography can be considered for further evaluation of the reported hyporexia persists in spite of medical management._x000D_
4. The hepatomegaly is likely a juvenile normal vein. Metabolic/vacuolar hepatopathy, hepatitis, lipidosis or infiltrative neoplasia cannot be completely excluded. Correlate with any liver enzyme abnormalities. Sonography can be considered for further evaluation if clinically relevant.</t>
  </si>
  <si>
    <t>Thorax: There is a mild peribronchial pattern.  The remainder the pulmonary parenchyma is unremarkable.  The cardiac silhouette and pulmonary vasculature are unremarkable.  There is no evidence of pleural effusion or lymphadenopathy._x000D_
_x000D_
Abdomen: There are no abnormalities involving the abdominal viscera.  There is mineralization of the intervertebral discs at L4-5 and L5-6.</t>
  </si>
  <si>
    <t>Mild peribronchial pattern which may represent a lower airway inflammatory process such as asthma._x000D_
_x000D_
Intervertebral disc disease at L4-5 and L5-6.</t>
  </si>
  <si>
    <t>Study:_x000D_
Thoracic radiography: three images dated August 10, 2024_x000D_
_x000D_
Findings:_x000D_
The cardiac silhouette and pulmonary vasculature are normal in size. There is a mild increase in the conspicuity the walls the small caliber bronchi in the caudodorsal lung fields. The pleural space is normal. There is no intrathoracic lymphadenopathy. The trachea is normal in diameter and course. The stomach contains unstructured heterogeneous soft tissue material presumed to be ingesta. No skeletal abnormalities are present.</t>
  </si>
  <si>
    <t>The mild caudodorsal bronchial pulmonary pattern likely indicates allergic/inflammatory bronchitis (asthma) given the reported responsive corticosteroid therapy and negative heartworm and Baermann fecal flotation testing.</t>
  </si>
  <si>
    <t>Consider continued medical management for asthma.</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</si>
  <si>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mildly beyond the costal arch.  The stomach contains a moderate amount of ingesta.  The small intestines are normal in size.  Gas and feces are present in the colon.  The urinary bladder is small.  The remaining abdominal organs are normal.</t>
  </si>
  <si>
    <t>Mild hepatomegaly=ZZ90= this is a nonspecific finding that may be seen with congestion, vacuolar hepatopathy, inflammation, neoplasia, etc.  Abdominal ultrasound may be helpful in further evaluation if biochemically indicated.  Radiographically normal thorax for patient of this age.</t>
  </si>
  <si>
    <t xml:space="preserve">
1.This result detects a minimal to mild bronchial pulmonary pattern._x000D_
2.This result does NOT detect an alveolar pulmonary pattern._x000D_
3.This result does NOT detect pulmonary soft tissue nodules.  _x000D_
4.This result detects equivocal/borderline to moderate cardiomegaly._x000D_
5.Rarely, this result detects minimal pleural fissure lines/fluid._x000D_
6.This result detects a minimal to mild interstitial pulmonary pattern.</t>
  </si>
  <si>
    <t>Orthogonal views of the thorax are provided:_x000D_
_x000D_
Thorax:_x000D_
_x000D_
Cardiac silhouette has a normal shape and size._x000D_
Pulmonary vessels are within normal limits of size and shape._x000D_
Pulmonary parenchyma shows a generalized subtle bronchial pattern. _x000D_
No signs of tracheobronchial lymphadenopathy._x000D_
Pleural space, mediastinum, diaphragm and thoracic wall within normal limits.</t>
  </si>
  <si>
    <t>1) No signs of cardiomegaly (this does not exclude a cardiomyopathy or a hyperthyroidism)._x000D_
2) Generalized subtle bronchial pattern is compatible with a chronic lower airway disease such as asthma vs feline chronic bronchitis vs bronchitis of parasitic origin.</t>
  </si>
  <si>
    <t>Given the lack of cardiomegaly but audible murmur, consider a cardiology consultation with ECG and echocardiogram. Evaluate the need of symptomatic treatment for lower airway disease.</t>
  </si>
  <si>
    <t>Study:_x000D_
Thoracic/abdominal radiography: three images dated August 9, 2024_x000D_
_x000D_
Findings:_x000D_
The cardiac silhouette and pulmonary vasculature are normal in size. The pulmonary parenchyma is unremarkable. The pleural space is normal. There is no intrathoracic lymphadenopathy. There is dilation and retraction of the larynx on the right lateral projection. The trachea is normal in diameter and course. The stomach contains a small volume of gas. The small intestines are gas-filled and normal in size and course. The colon contains gas and formed fecal material. The liver and spleen are normal in size and margin. The kidneys are normal in size and contour. The urinary bladder is normal in size and opacity. The osseous structures are unremarkable/age appropriate.</t>
  </si>
  <si>
    <t>1. Normal thorax. There is no radiographic evidence of cardiopulmonary disease. Lack of a bronchial pulmonary pattern does not exclude the possibility of lower airway disease._x000D_
2. Dilation and retraction of the larynx is a nonspecific finding. This can be secondary to nasal disease, chronic lower airway disease or laryngeal dysfunction._x000D_
3. Unremarkable abdomen.</t>
  </si>
  <si>
    <t>Consider infectious respiratory disease PCR testing plus/minus computed tomography of the head and rhinoscopy for further evaluation of the upper respiratory signs.</t>
  </si>
  <si>
    <t xml:space="preserve">
1.This result detects equivocal/borderline to moderate cardiomegaly._x000D_
2.Rarely, this result detects minimal pleural fissure lines/fluid._x000D_
3.This result detects a minimal to mild interstitial pulmonary pattern._x000D_
4.This result detects a minimal to mild bronchial pulmonary pattern._x000D_
5.This result does NOT detect an alveolar pulmonary pattern._x000D_
6.This result does NOT detect pulmonary soft tissue nodules.  </t>
  </si>
  <si>
    <t>Six radiographs of the thorax and abdomen are provided. The heart and pulmonary vessels are normal size and shape. There are no abnormalities in the pulmonary parenchyma. No pleural effusion. There is smoothly marginated ovoid 2.9 x 0.8 cm soft tissue opacity dorsal to the 3rd and 4th sternal segments. Normal tracheal diameter. Narrowed C6-7 intervertebral disc space, of doubtful clinical significance today._x000D_
_x000D_
Abdomen serosal detail is markedly poor. The patient is thin. There is a large amount of gas and small accumulation of mineral opaque debris within the stomach. Small bowel are poorly delineated but appear to be mildly gas-filled. Formed feces fills the colon. Fecal column is normal size for this patient. No radiopaque urolithiasis. The gastric axis is in normal position. The spleen and kidneys are obscured.</t>
  </si>
  <si>
    <t>1. Poor abdominal detail is significantly concerning for peritoneal effusion. Lack of intra-abdominal fat is likely contributing to this appearance._x000D_
2. Sternal lymphadenopathy. This is typically due to a disease process originating from the cranial peritoneal space. Neoplasia is the top differential. No other thoracic abnormalities.</t>
  </si>
  <si>
    <t>Three radiographs of the thorax are provided. The cardiac silhouette is normal size and shape. Pulmonary vessels and caudal vena cava are normal size. There is a mild bronchial pattern throughout the lungs. No soft tissue pulmonary nodules or pleural effusion. Adequate tracheal diameter. Moderate degenerative change in both elbows, of doubtful clinical significance today.</t>
  </si>
  <si>
    <t>Mild bronchial pattern suggestive of chronic airway inflammation such as asthma. With the history, upper airway infection/inflammation is suspected. There is no evidence of pneumonia.</t>
  </si>
  <si>
    <t>If additional nasal imaging is desired, computed tomography would be recommended.</t>
  </si>
  <si>
    <t>Patient Name : Kitteh gallent, Date of study: Aug 9, 2024
4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subjectively tall in the lateral images, and has a slightly widened/rounded base in the ventrodorsal image.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and fluid.   Gas is in the pylorus in the left lateral image.  The stomach is within normal limits for size.
The small intestine contains moderate fluid or is empty with a subjectively uniform population for size. 
The colon contains moderate well-defined soft tissue material and gas.  The colon is within normal limits for size.  
Musculoskeletal: The soft tissues between spinous processes are concave.  Moderate right coxofemoral joint osteoarthrosis is present.  The remaining included musculoskeletal structures are normal.</t>
  </si>
  <si>
    <t xml:space="preserve">1. Equivocal generalized cardiomegaly versus artifact from phase of the cardiopulmonary cycle and patient positioning.
- If present, consider evolving hypertrophic or thyrotoxic cardiomyopathy.
- There is no evidence of left-sided congestive heart failure.
2.  Mild diffuse bronchial pulmonary pattern such as from fibrosis from prior disease, age-related changes, or less likely infectious/immune-mediated lower airway disease or unlikely other.
3. Non-specific small intestinal appearance due to normal variation or enteritis.
- There is no current evidence of gastrointestinal mechanical ileus.
- Differential diagnoses include dietary indiscretion, toxin ingestion, diet/antibiotic responsive disease, inflammatory bowel disease, pancreatitis, occult systemic disease or unlikely other.
4. Right coxofemoral joint osteoarthrosis.
5. Thin body condition, consistent with reported weight loss.  </t>
  </si>
  <si>
    <t>Consider thyroid function testing and possibly echocardiography, eCG and blood pressure.  Consider abdominal ultrasonography and GI panel for further evaluation of the gastrointestinal tract and etiology of weight loss.  Empirical therapy and supportive care in the interim as needed.  Monitoring  as directed, or sooner if clinical signs acutely change, fail to improve or worsen.</t>
  </si>
  <si>
    <t xml:space="preserve">Patient Name : midnight roe, Date of study: Aug 9, 2024
3 images are provided for review
Feline Thorax (3 Images) - 1 Vd, 2 Lateral
There are no previous radiographs for comparison.
Pulmonary parenchyma: A minimal to mild diffuse bronchial pattern is present.  A mild to minimal interstitial pattern is present, most severe over the cranioventral lungs.  The lungs are hypoinflated in all images.
Pulmonary vasculature: The pulmonary vasculature is subjectively normal in size and tapers in the periphery of the lungs. 
Cardiac silhouette: The cardiac silhouette is mildly tall in the lateral images, and slightly reniform in shape in the right lateral image.  The cardiac silhouette is widened at the level of the base and has a rounded apex in the ventrodorsal image.  
Mediastinum: The cranial mediastinum is normal.
Trachea: The trachea is normal.
Esophagus: The esophagus is not well-identified.
Pleural space: The pleural space is normal.
Musculoskeletal: The patient is obese.  The remaining included musculoskeletal structures are normal.
Cranial abdomen:  The spleen is enlarged and identified in the mid-ventral abdomen.  </t>
  </si>
  <si>
    <t>1. Mild generalized cardiomegaly such as from hypertrophic or thyrotoxic cardiomyopathy, or less likely other.
2. Minimal to mild diffuse bronchial and interstitial pulmonary patterns.
- Differential diagnoses include evolving left-sided congestive heart failure with/without fibrosis from prior disease, age-related changes, artifact from obesity/hypoinflation, or less likely infectious/immune-mediated lower airway disease, a combination of these, or unlikely other.
3. Mild splenomegaly due to extramedullary hematopoiesis, lymphoid hyperplasia, evolving neoplasia, splenitis, passive congestion from sedation (if administered), or unlikely other.
4. Obesity.</t>
  </si>
  <si>
    <t>Given reported history, consider diuretic trial, oxygen therapy and repeat radiographs after 4-6 hours to monitor for persistence of improvement of the pulmonary patterns.  
Once the patient is stable, echocardiography, ECG and blood pressure for further evaluation, as well as routine blood work and urinalysis if not recently performed.  If signs fail to improve or worsen with diuretic therapy, consider additional differentials for reported clinical signs, and consider routine blood work and abdominal imaging for further evaluation.  Empirical therapy and supportive care in the interim as needed.  Monitoring as directed or sooner if clinical signs acutely change, fail to improve or worsen.</t>
  </si>
  <si>
    <t>Three radiographs of the thorax are provided. The heart is a normal size and shape. Pulmonary vessels and caudal vena cava are normal size. There are no abnormalities in the pulmonary parenchyma. No pleural effusion or enlarged intrathoracic lymph nodes. Tracheal diameter and position is normal. No esophageal dilation. No laryngeal abnormalities are appreciated.</t>
  </si>
  <si>
    <t>Normal thorax. The reason for the clinical signs is not identified.</t>
  </si>
  <si>
    <t>Sedation and visual inspection of the pharyngeal/laryngeal region should be considered.</t>
  </si>
  <si>
    <t xml:space="preserve">
1.This result detects a minimal to mild bronchial pulmonary pattern._x000D_
2.This result detects equivocal/borderline to mild, or rarely moderate cardiomegaly._x000D_
3.This result detects a minimal to mild interstitial pulmonary pattern._x000D_
4.This result does NOT detect an alveolar pulmonary pattern._x000D_
5.This result does NOT detect pulmonary soft tissue nodules._x000D_
6.This result does NOT detect pleural fissure lines.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</si>
  <si>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Irregular soft tissue mass is seen in the right cranioventral abdomen, continues to the liver.  This is causing caudal and leftward displacement of the stomach.  The stomach contains a moderate amount of ingesta.  The small intestines are normal in size.  Gas and feces are present in the colon.  The urinary bladder is small.  The kidneys are small with irregular margins and mineral in the diverticula.  The remaining abdominal organs are normal.</t>
  </si>
  <si>
    <t>Renal changes.  Right cranial abdominal mass consistent with hepatic origin neoplasia.  Ultrasound could be considered versus abdominal CT for surgical planning.  Radiographically normal thorax for patient of this age.</t>
  </si>
  <si>
    <t>10 images of the entire body and thoracic limbs are presented for review.  The cardiovascular structures are normal.  Increased bronchial markings are present in all lung lobes.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 joint surfaces are smooth and regular.  Distal phalangeal amputations have been previously performed.  No fractures or aggressive osseous lesions are seen.</t>
  </si>
  <si>
    <t>Moderate bronchial pulmonary pattern.  Considerations include asthma, heartworm, lungworm, atypical infection, bronchitis.  Consider empiric therapy versus further diagnostics such as heartworm testing, Baermann fecal, airway sampling.  Radiographically normal abdomen.  Distal phalangeal amputations.  Otherwise, unremarkable thoracic limbs.  Consider soft tissue injury versus neuropathic pain.</t>
  </si>
  <si>
    <t xml:space="preserve">
1.This result detects mild to moderate cardiomegaly._x000D_
2.This result detects a mild to mild interstitial pulmonary pattern.  _x000D_
3.This result detects a minimal to mild bronchial pulmonary pattern._x000D_
4.This result does not detect an alveolar pulmonary pattern._x000D_
5.Rarely, this result detects minimal pleural fissure lines/fluid.  _x000D_
6.Rarely, this result detects minimal pulmonary vasculature enlargement.</t>
  </si>
  <si>
    <t>Three orthogonal survey radiographs of the thorax and abdomen dated 8th August 2024 are available for review. There are no previous radiographs available for comparison. _x000D_
_x000D_
Thorax: _x000D_
Airway findings: Thorax: _x000D_
Airway findings: The cervical and thoracic trachea have a normal size, outline and position. The carina, tracheal bifurcation and mainstem bronchi are normal. The pulmonary parenchyma is mildly hyperlucent consistent with body habitus._x000D_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 No pleural effusion is present. There is mild gas in the cranial oesophagus._x000D_
_x000D_
Abdomen: There is diffuse increased gas content of the stomach is, small and large intestines. No radiopaque foreign material is seen. Segmental dilation is not present. The hepatic silhouette is normal in size with smooth borders. The spleen is normal in shape, size and position. The kidneys are partially obscured by gastrointestinal contents. The right kidney appears small in the left lateral image.  The serosal detail is normal. The urinary bladder is small._x000D_
_x000D_
Musculoskeletal findings: The caudal 3 segments of the sternum are angled relative to the cranial aspect. Mild ventral soft tissue swelling is visible. There is collapse of the lumbosacral disc with ventral spondylosis.</t>
  </si>
  <si>
    <t>1. Diffuse gas distension of the GI tract may be due to aerophagia secondary to respiratory distress or excitement, alternatively a diffuse gastroenterocolitis of infectious-inflammatory origin should be considered and correlated with clinical signs._x000D_
2. The angled sternum is consistent with sternal fracture and trauma. The limited soft tissue swelling may indicate that this is historic, however an acute traumatic fracture should be considered._x000D_
3. Normal thorax_x000D_
4. The small right kidney may be positional, however chronic kidney disease should be considered.</t>
  </si>
  <si>
    <t>Supportive management including rehydration, gastroprotectants,  full blood work, faecal analysis if clinically indicated is advised, if not already performed. Consider an abdominal ultrasound. Correlate with pain at the region of the sternum.</t>
  </si>
  <si>
    <t>5 views of the thorax and abdomen are submitted for review.  The cardiac silhouette and pulmonary vasculature are within normal limits.  Mild bronchointerstitial markings are noted in the lung fields.  No pleural effusion or intrathoracic lymphadenopathy is noted.  The trachea is normal._x000D_
In the abdomen, the stomach is empty.  The small bowel is normal and uniform in diameter.  A mild amount of stool is noted in the colon.  The liver and spleen are normal in size and shape.  The renal silhouettes and urinary bladder are within normal limits.  There is mild wispy soft tissue opacity noted in the left lateral aspect of the abdomen, adjacent to the tail of the spleen.  Serosal detail is otherwise normal._x000D_
No significant osseous abnormalities are noted.</t>
  </si>
  <si>
    <t>Possible focal peritoneal effusion in the left lateral abdomen.  This could be associated with the left limb of the pancreas or possibly the spleen.  This could also represent superimposition artifact of the abdominal wall over this region.  Otherwise, radiographically normal abdomen._x000D_
The mild changes in the lung fields are nonspecific and could be consistent with chronic bronchitis or feline asthma.</t>
  </si>
  <si>
    <t>An abdominal ultrasound is recommended for further evaluation.</t>
  </si>
  <si>
    <t>Three orthogonal thoracic radiographs dated 8th August 2024 are available for review. There are no previous radiographs available for comparison. _x000D_
_x000D_
Airway findings: The cervical and thoracic trachea have a normal size, outline and position. The carina, tracheal bifurcation and mainstem bronchi are normal. There is moderate bronchointerstitial opacification of the aereated lung parenchyma. Alveolar opacification is visible in the caudal dorsal lung fields. The pulmonary lobes are rounded consistent with pleural effusion. There is collapse of the right middle lung lobe._x000D_
_x000D_
Cardiovascular findings: The cardiac silhouette is elevated and has a mildly globoid appearance. There is partial border effacement in the ventrodorsal image, however a Valentine shape is present. The pulmonary vasculature is poorly visible._x000D_
_x000D_
Mediastinum and pleural space: There is ventral soft tissue attenuation and widened pleural fissure lines consistent with pleural effusion._x000D_
_x000D_
Musculoskeletal findings: No significant abnormalities are detected._x000D_
_x000D_
Included abdomen: No significant abnormalities are detected.</t>
  </si>
  <si>
    <t>1. The cardiac findings are suspicious of hypertrophic cardiomyopathy with cardiac insufficiency, either idiopathic or thyrotoxic. In that case, the pleural effusion would be secondary to cardiac insufficiency, and the bronchointerstitial to alveolar opacification secondary to cardiogenic pulmonary oedema._x000D_
2. Alternatively, severe lower airway infectious-inflammatory disease is present (viral-bacterial, parasitic, less likely fungal) and the effusion is an inflammatory-infectious transudate.</t>
  </si>
  <si>
    <t>Considering equivocal results between cardiogenic and infectious-inflammatory disease, diagnostic /empirical therapy for lower airway disease, empirical deworming is advised. Considering severity of findings, airway sampling may be considered. Supportive oxygen therapy may be considered. Respiratory workup including CBC, serum chemistry, urinalysis, Baermann faecal testing, 4DX, +/- respiratory panel as indicated may be considered.   Once stabilised, ECG, blood pressure measurements and echocardiography is advised. Repeat radiographs prior to end of therapy.</t>
  </si>
  <si>
    <t xml:space="preserve">
1.Rarely, this result detects minimal to moderate pulmonary vasculature enlargement.  _x000D_
2.This result detects mild to severe cardiomegaly._x000D_
3.This result detects a mild to severe interstitial pulmonary pattern._x000D_
4.This result detects a mild to severe bronchial pulmonary pattern._x000D_
5.This result detects a minimal to moderate alveolar pulmonary pattern._x000D_
6.This result detects minimal to severe pleural fissure lines/fluid.</t>
  </si>
  <si>
    <t>Study:_x000D_
Thoracic radiography: three images dated August 7, 2024_x000D_
_x000D_
Findings:_x000D_
There is incidental cranioventral rotation of the cardiac silhouette and redundancy of the aorta. The cardiac silhouette (VHS approximately 7.25). And pulmonary vasculature are normal in size. The pulmonary parenchyma is unremarkable. The pleural space is normal. There is no intrathoracic lymphadenopathy. The trachea is normal in diameter and course. The stomach contains heterogeneous soft tissue material presumed to be ingesta. There is narrowing of the T3-T4 intervertebral disc space. There is mild T4-T5 and T5-T6 spondylosis deformans.</t>
  </si>
  <si>
    <t>1. Unremarkable thorax. There is no radiographic evidence of heart disease. Consider echocardiography for further evaluation of the reported elevated proBNP._x000D_
2. T3-T4 intervertebral disc disease.</t>
  </si>
  <si>
    <t>Study:_x000D_
Thoracic radiography: three images dated August 7, 2024_x000D_
_x000D_
Findings:_x000D_
There is severe generalized cardiomegaly. The pulmonary vasculature is normal in size. There is a mild bronchial pattern in the caudodorsal lung fields. The pleural space is normal. There is no intrathoracic lymphadenopathy. The trachea is normal in diameter. On both lateral projections, there is a indistinct round soft tissue opaque bulge from the diaphragm ventral to the caudal vena cava. The stomach contains unstructured heterogeneous soft tissue material presumed to be ingesta.</t>
  </si>
  <si>
    <t>1. Severe cardiomegaly. Hypertrophic or myopathy is prioritized. Recommend echocardiography for further evaluation._x000D_
2. The mild  caudodorsal bronchial pulmonary pattern may indicate allergic/inflammatory bronchitis (asthma). Infectious, parasitic and irritant bronchitis are also possible. Peribronchial coughing secondary to mild interstitial cardiogenic pulmonary edema is considered less likely. Airway sampling, heartworm testing and Baermann fecal flotation can be considered to further evaluate for lower airway disease._x000D_
3. The round soft tissue opaque bulge from the diaphragm on the lateral projections is thought to represent a small, clinically insignificant diaphragmatic hernia.</t>
  </si>
  <si>
    <t xml:space="preserve">
1.This result detects most commonly detects moderate cardiomegaly, and less commonly detects mild or severe cardiomegaly._x000D_
2.This result detects a mild to mild, or rarely moderate interstitial pulmonary pattern.  _x000D_
3.This result detects a minimal to mild, or rarely moderate bronchial pulmonary pattern._x000D_
4.Rarely, this result detect a minimal to mild alveolar pulmonary pattern._x000D_
5.Uncommonly, this result detects minimal to mild pulmonary vasculature enlargement._x000D_
6.This result detects minimal or rarely mild pleural fissure lines/fluid.  </t>
  </si>
  <si>
    <t>If the patient is dyspneic, or has severe or progressive respiratory clinical signs, rule out left-sided congestive heart failure.  If the patient has mild or no respiratory clinical signs, then differential diagnoses for the bronchial and interstitial pulmonary patterns include: infectious lower airway disease (such as mycoplasma spp., parasitism, viral, or other), immune-mediated lower airway disease (feline asthma), inhaled allergen/irritant, changes from prior disease,  age-related factors, errors in patient positioning/technique, pulmonary hypoinflation, or a combination of these. Differential diagnoses for an alveolar pulmonary pattern include: evolving left-sided congestive heart failure, atelectasis or bronchial plugging such as from concurrent infectious/inflammatory lower airway disease (i.e. feline asthma) or recumbency, or unlikely evolving bronchopneumonia, or other. Differential diagnoses for cardiomegaly include: hypertrophic or thyrotoxic cardiomyopathy in a mature or older patient, or congenital anomaly in a very young patient, or unlikely heartworm disease (unless in edemic areas). Differential diagnoses for pleural fissure lines/fluid include:  left-sided congestive heart failure, tangential beam artifact, pleural folding, or less likely chylous, malignant effusion, or unlikely hemorrhage or other.</t>
  </si>
  <si>
    <t>Study:_x000D_
Thoracic/abdominal radiography: three images dated August 8, 2024_x000D_
_x000D_
Findings:_x000D_
The cardiac silhouette is normal in size and shape (VHS approximately 7). The pulmonary vasculature is normal in size. There is a mild generalized bronchial pulmonary pattern. The pleural space is normal. There is no intrathoracic lymphadenopathy. The trachea is normal in diameter and course. The stomach contains unstructured heterogeneous soft tissue material presumed to be ingesta with interspersed granular mineral and a punctate metallic focus.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</si>
  <si>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The generalized bronchial pulmonary pattern may indicate allergic/inflammatory bronchitis (asthma). Infectious, parasitic and inhaled irritant bronchitis are also possible. Airway sampling, heartworm testing and Baermann fecal flotation can be considered for further evaluation. Alternatively, a treatment trial for infectious bronchitis and asthma can be considered._x000D_
2. There is no radiographic evidence of heart disease. Consider echocardiography for further evaluation of the reported heart murmur._x000D_
3. Unremarkable abdomen.</t>
  </si>
  <si>
    <t>3 views of the entire body are provided for review. There is a severe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small.  The kidneys are small with irregular margins.  The remaining abdominal organs are normal.</t>
  </si>
  <si>
    <t>Small kidneys=ZZ90= in a reported 1-year-old cat, consider renal dysplasia.  Chronic renal disease cannot be excluded.  Severe bronchial pulmonary pattern.  Considerations include asthma, heartworm, lungworm, atypical infection, bronchitis.</t>
  </si>
  <si>
    <t xml:space="preserve">
1.This result does NOT detect pleural fissure lines._x000D_
2.This result detects equivocal/borderline to moderate cardiomegaly._x000D_
3.This result detects a mild to severe bronchial pulmonary pattern._x000D_
4.This result detects a minimal to mild interstitial pulmonary pattern._x000D_
5.Rarely, this result detects a minimal to moderate alveolar pattern. _x000D_
6.This result does NOT detect soft tissue pulmonary nodules.  </t>
  </si>
  <si>
    <t xml:space="preserve">The mixed bronchial and interstitial pulmonary patterns are NOT suspected to represent left-sided congestive heart failure. For patients with respiratory clinical signs,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an alveolar pattern include: bronchial plugging (such as from concurrent immune-mediated or infectious lower airway disease), atelectasis (such as from recumbency), or unlikely other such as bronchopneumonia.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</si>
  <si>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Unremarkable abdomen.</t>
  </si>
  <si>
    <t>1) Unremarkable thorax without signs of cardiomegaly (this does not exclude a cardiomyopathy or a hyperthyroidism) pulmonary metastases nor signs of thoracic lymphadenopathy.</t>
  </si>
  <si>
    <t>Given the lack of cardiomegaly but presence of cardiac arrhythmia, consider a cardiology consultation with ECG and echocardiogram. Consider also an abdominal US.</t>
  </si>
  <si>
    <t>Study:_x000D_
Thoracic radiography: three images dated August 7, 2024_x000D_
_x000D_
Findings:_x000D_
The cardiac silhouette is normal in size and shape. There is a mild generalized bronchial pulmonary pattern. There is a mild alveolar pattern in the ventral aspect of the caudal segment of the left cranial lung lobe. The pleural space is normal. There is no intrathoracic lymphadenopathy. The trachea is normal in diameter. The included abdomen is normal. The left 13th rib is hypoplastic.</t>
  </si>
  <si>
    <t>1. The mild alveolar pattern in the caudal segment of the left cranial lung lobe is concerning for pneumonia. Recommend empiric antibiotic therapy with repeat radiography in 10 to 14 days to monitor for persistence or resolution of this finding._x000D_
2. The generalized bronchial pulmonary pattern may indicate infectious or allergic/inflammatory bronchitis (asthma). Parasitic and inhaled irritant bronchitis are also possible. This finding should be monitored on the recheck study. Airway sampling, heartworm testing and Baermann fecal flotation can also be considered for further evaluation.</t>
  </si>
  <si>
    <t xml:space="preserve">
1.This result does not detect pulmonary vasculature enlargement._x000D_
2.This result does not detect pleural fissure lines/fluid.  _x000D_
3.This result detects a minimal to mild interstitial pulmonary pattern.  _x000D_
4.This result detects a minimal to mild bronchial pulmonary pattern._x000D_
5.This result detects equivocal/borderline to mild, or rarely moderate cardiomegaly. _x000D_
6.Rarely, this result detects a minimal alveolar pulmonary pattern.</t>
  </si>
  <si>
    <t>Three radiographs of the thorax, and three views of the abdomen are provided. The cardiac silhouette is normal size and shape. There are faint bronchial markings in the lungs. Small round 0.2 cm soft tissue density in the right 10th intercostal space is likely incidental granuloma or superimposed nipple. No pleural effusion. Small volume fat deposition encircles the heart and extends into the cranial mediastinum on the VD projection. No esophageal dilation._x000D_
_x000D_
In the abdomen there is no radiopaque urolithiasis. The kidneys, spleen, and liver are normal size and shape. The stomach contains small volume stippled soft tissue density, and small bowel are mildly filled. Moderate volume of formed feces and gas fills the colon. The fecal column is normal size for this patient. Punctate mineral density in the L6-7 intervertebral disc space is incidental mineralized disc in situ. There is severe degenerative change in one of the stifles. Sharply marginated mineral opaque 0.4 cm triangular structure in the cranial aspect of the contralateral stifle incidental meniscal mineralization.</t>
  </si>
  <si>
    <t>1. Gastric contents appears to be normal ingesta. Small radiolucent foreign material or trichobezoar is not definitively ruled out but given lesser consideration in the absence of more frequent vomiting. Otherwise normal abdomen._x000D_
2. Mild bronchial pattern suggestive of chronic airway inflammation. In the absence of a chronic cough, significance doubtful. Otherwise normal thorax.</t>
  </si>
  <si>
    <t>Current diagnostics are appropriate. If the vomiting persists, options include either positive contrast gastrogram or strictly fasted abdominal ultrasound.</t>
  </si>
  <si>
    <t xml:space="preserve">
1.This result detects equivocal/borderline to mild cardiomegaly. _x000D_
2.This result detects a minimal, or rarely mild interstitial pulmonary pattern.  _x000D_
3.This result detects a minimal to mild, or rarely moderate bronchial pulmonary pattern._x000D_
4.This result does not detect an alveolar pulmonary pattern._x000D_
5.This result does not detect pulmonary vasculature enlargement._x000D_
6.This result does not detect pleural fissure lines/fluid.  </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</si>
  <si>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versdus evolving left-sided congestive heart failure.  Additional differential diagnoses include inhaled allergen/irritant, or unlikely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equivocal cardiomegaly include: phase of the cardiopulmonary cycle, patient positioning/technique, individual variation of normal (especially in younger patients), or evolving cardiomyopathy (such as hypertrophic or thyrotoxic cardiomyopathy). </t>
  </si>
  <si>
    <t>Six orthogonal survey radiographs of the thorax and abdomen dated 7th August 2024 are available for review. There are no previous radiographs available for comparison. _x000D_
_x000D_
Thorax: _x000D_
Airway findings: No nodules, masses, or lymphadenomegaly is visible. The trachea has a normal position, shape and size. The pulmonary parenchyma has a mild bronchial pattern._x000D_
_x000D_
Cardiovascular findings: The cardiac silhouette, and pulmonary vasculature is within normal limits._x000D_
_x000D_
Mediastinum and pleura: There is no evidence of pleural effusion, _x000D_
_x000D_
Abdomen: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system: No significant abnormalities are detected.</t>
  </si>
  <si>
    <t>1. Negative metastasis check, normal thorax._x000D_
2. Diffuse mild bronchial pattern: Primary consideration should be given to normal ageing/fibrosis from previous disease. If airway related clinical findings are present, allergic bronchitis, chronic bacterial /viral bronchitis +/- parasitic bronchitis should also be considered. _x000D_
3. Normal abdomen</t>
  </si>
  <si>
    <t>Computed tomography has a higher resolution capability to detect small pulmonary parenchyma nodules and may be considered.</t>
  </si>
  <si>
    <t xml:space="preserve">
1.This result does not detect pulmonary vasculature enlargement._x000D_
2.This result detects none, or equivocal/borderline to moderate cardiomegaly. _x000D_
3.Rarely, this result detects minimal pleural fissure lines/fluid.  _x000D_
4.This result detects a minimal to mild interstitial pulmonary pattern.  _x000D_
5.This result detects a minimal to mild, or rarely moderate bronchial pulmonary pattern._x000D_
6.Rarely, this result detects a minimal alveolar pulmonary pattern.</t>
  </si>
  <si>
    <t>Orthogonal views of the thorax and abdomen are provided:_x000D_
_x000D_
Thorax:_x000D_
_x000D_
Cardiac silhouette has a normal shape and size._x000D_
Pulmonary vessels are within normal limits of size and shape._x000D_
Pulmonary parenchyma shows a generalized bronchial pattern along with a collapsed right middle lung lobe. _x000D_
Pleural space, mediastinum, diaphragm and thoracic wall within normal limits._x000D_
_x000D_
Abdomen:_x000D_
_x000D_
The stomach is filled with food._x000D_
Small intestines are mildly gas and fluid filled, not overtly distended. Thickening of the small intestinal wall can not be assess by survey radiographs of the abdomen without contrast administration._x000D_
Unformed feces in the colon._x000D_
Serosal detail is preserved._x000D_
Liver and spleen are within normal limits of size and smoothly marginated._x000D_
Kidneys and urinary bladder WNL.</t>
  </si>
  <si>
    <t>1) Generalized bronchial pattern and collapsed right middle lung lobe (present in 10-20% of cats with feline asthma due to mucus plug obstructing the bronchus leading to a resorptive atelectasis) is compatible with a chronic asthma. Other differentials would include feline allergic bronchitis or bronchitis of parasitic origin._x000D_
2) Unremarkable abdomen.</t>
  </si>
  <si>
    <t>Consider a bronchoscopy with BAL, culture, cytology and Baermann test with deworming vs empirical treatment for asthma and deworming._x000D_
Consider abdominal US to further evaluate causes of weight loss (with linear probe to better evaluate the small intestinal wall), evaluating the urinary tract with renal function test, urinalysis, UPC and urine culture.</t>
  </si>
  <si>
    <t xml:space="preserve">
1.This result detects a minimal to mild bronchial pulmonary pattern._x000D_
2.This result detects a minimal to mild interstitial pulmonary pattern._x000D_
3.This result does NOT detect an alveolar pulmonary pattern._x000D_
4.This result does NOT detect pulmonary soft tissue nodules._x000D_
5.This result detects equivocal/borderline to mild, or rarely moderate cardiomegaly._x000D_
6.This result does NOT detect pleural fissure lines.</t>
  </si>
  <si>
    <t>Study:_x000D_
Thoracic/abdominal radiography: three images dated August 6, 2024_x000D_
_x000D_
Findings:_x000D_
There is mild to moderate bilateral pleural effusion. On both lateral projections, there is a ovoid 2 cm soft tissue opaque nodule in the caudal lung fields. This appears to correspond to a nodule in the right caudal lung lobe on the orthogonal view. The cardiac silhouette is small and there is attenuation of the pulmonary vasculature. On the right lateral view, there is an indistinct round soft tissue opacity in the second intercostal space. This finding is not seen on the orthogonal view. The trachea is normal in diameter.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Multiple punctate mineral foci are present in the right kidney. The left lobe of the pancreas is incidentally visualized between the spleen/left kidney on the VD view and is normal in thickness. The osseous structures are unremarkable. The urinary bladder is normal in size and opacity.</t>
  </si>
  <si>
    <t>1. Right caudal lung lobe nodule. Rule out primary pulmonary neoplasia, metastatic neoplasia, granuloma or abscess._x000D_
2. The indistinct round soft tissue opacity seen in the second intercostal space on the right lateral projection may represent cranial mediastinal lymphadenopathy. An additional pulmonary nodule is considered less likely given the lack of visualization the cranial lung fields on the VD view._x000D_
3. Mild to moderate nonspecific bilateral pleural effusion._x000D_
4. Right nephrolithiasis and/or nephrocalcinosis. The remainder the abdomen is unremarkable.</t>
  </si>
  <si>
    <t>Consider computed tomography thorax and thoracocentesis for further evaluation.</t>
  </si>
  <si>
    <t>3 views of the thorax are provided for review.  The cardiac silhouette is mildly widened with rounding of the left ventricular border.  No pulmonary infiltrates are seen.  The pulmonary vasculature is normal in size.  The mediastinal and pleural structures are normal.  Cranial abdominal detail is adequate.</t>
  </si>
  <si>
    <t>Mild cardiomegaly without current evidence of cardiogenic pulmonary edema.</t>
  </si>
  <si>
    <t>No specific recommendations at this time as echocardiography has already been performed.</t>
  </si>
  <si>
    <t xml:space="preserve">
1.This result detects a minimal to mild bronchial pulmonary pattern._x000D_
2.This result does NOT detect an alveolar pulmonary pattern. _x000D_
3.This result detects equivocal/borderline cardiomegaly._x000D_
4.Rarely, this result detects minimal pleural fissure lines/fluid._x000D_
5.This result detects a minimal to mild interstitial pulmonary pattern.</t>
  </si>
  <si>
    <t>The mixed interstitial and bronchial pulmonary patterns are NOT suspected to represent left-sided congestive heart failure. For patients with no respiratory clinical signs, differential diagnoses for a minimal or mild mixed bronchial and interstitial pattern include: changes from prior disease,  age-related factors, and errors in patient positioning/technique, or pulmonary hypoinflation. For patients with mild respiratory clinical signs, differential diagnoses for mixed bronchial and interstitial pulmonary patterns include: infectious lower airway disease (such as mycoplasma spp., parasitism, viral, or other), immune-mediated lower airway disease (feline asthma), or inhaled allergen/irritant, or less likely other.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Differential diagnoses for minimal or scant pleural fluid include: tangential beam artifact, pleural thickening/folding, or evovling fluid such as from chylous effusion, idiopathic, or rarely hemorrhage (especially if history of trauma), secondary to FIP or other systemic infection/inflammation, or unlikely other.</t>
  </si>
  <si>
    <t xml:space="preserve">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Consider cardiologist consultation, echocardiography. ECG and blood pressure, especially if a cardiac murmur or history of heart disease are present.  _x000D_
Routine blood work and thyroid function testing may be contributory if not recently performed._x000D_
If your clinical impression of this patient does not match the content of this result, consider submitting the radiographs for a formal radiologist report.</t>
  </si>
  <si>
    <t>Three radiographs of the thorax are provided. The cardiac silhouette is normal size on the lateral views. Fat deposition causes the heart to appear more rounded on the VD projection. There are no abnormalities in the pulmonary parenchyma. No enlarged intrathoracic lymph nodes or pleural effusion. The trachea is normal in diameter and position. Normal cranial abdomen.</t>
  </si>
  <si>
    <t>Normal thorax. A reason for the respiratory signs is not identified.</t>
  </si>
  <si>
    <t>Current diagnostics are appropriate.</t>
  </si>
  <si>
    <t>Study:_x000D_
Thoracic/abdominal, pelvic and pelvic limb radiography: five images dated August 5, 2024_x000D_
_x000D_
Findings:_x000D_
The L7 vertebra is transitional. There is narrowing of the L6-L7 intervertebral disc space with sclerotic endplates and moderate spondylosis deformans. The coxofemoral joints are unremarkable with good coverage of the femoral head by the acetabulum bilaterally. The patella is in the correct anatomic location bilaterally. There is no apparent stifle joint effusion/capsular thickening. No degenerative change is present in either stifle. The tarsocrural joint is normal bilaterally. The included portion of the left pes is unremarkable._x000D_
_x000D_
The cardiac silhouette and pulmonary vasculature are normal in size. The pulmonary parenchyma is unremarkable. The pleural space is normal. There is no intrathoracic lymphadenopathy. The trachea is normal in diameter and course. The stomach contains granular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t>
  </si>
  <si>
    <t>1. Chronic L6-L7 intervertebral disc disease. Correlate with any lumbar pain and/or neurologic deficits. Neurology consultation and MRI can be considered for further evaluation._x000D_
2. The osseous structures of the pelvic limbs are unremarkable. A definitive cause of the left pelvic limb lameness is not evident. Orthopedic consultation can be considered if the lameness persists or worsens in spite of activity restriction and pain management._x000D_
3. Normal thorax._x000D_
4. Unremarkable abdomen.</t>
  </si>
  <si>
    <t>A three view study of the thorax that includes the neck and cranial abdomen is provided for interpretation._x000D_
_x000D_
The heart is at the upper end of normal size range. Pulmonary vessels are normal. There is a mild bronchial pattern. No alveolar infiltrates or pleural effusion are seen. The trachea is normal._x000D_
The left kidney is slightly smaller than normal, mildly irregular, and rounded. The right kidney appears normal. The other cranial abdominal organs are within normal limits.</t>
  </si>
  <si>
    <t>There is a mild bronchial pattern compatible with the history of asthma._x000D_
_x000D_
The left kidney is mildly irregular and slightly small. This could be the result of chronic nephrosis or mild dysplasia. Clinical relevance should be correlated with labwork abnormalities.</t>
  </si>
  <si>
    <t>No changes to the current medical regimen are suggested based on this study._x000D_
Serum chemistry and urinalysis is recommended due to the mildly irregular left kidney.</t>
  </si>
  <si>
    <t>Study:_x000D_
Thoracic radiography: three images dated August 5, 2024_x000D_
_x000D_
Findings:_x000D_
The cardiac silhouette is normal in size and shape. The pulmonary vasculature is normal in size. There patchy interstitial coalescing to alveolar infiltrates throughout the pulmonary parenchyma. The pleural space is normal. There is no intrathoracic lymphadenopathy. The trachea is normal in diameter.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</si>
  <si>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The patchy interstitial to alveolar images throughout the lungs may indicate noncardiogenic pulmonary edema or pneumonia. Cardiogenic pulmonary edema is less likely in the absence of any cardiomegaly._x000D_
2. Postprandial stomach=ZZ90= otherwise, unremarkable abdomen.</t>
  </si>
  <si>
    <t>A treatment trial for pneumonia with repeat radiography in 3-5 days can be considered. Oxygen support should be provided if the patient is hypoxic. Echocardiography can be considered to rule out congenital heart disease.</t>
  </si>
  <si>
    <t xml:space="preserve">Patient Name : mr kitty powell, Date of study: Aug 5, 2024
5 images are provided for review
There are no previous radiographs for comparison.
Pulmonary parenchyma: A minimal to mild diffuse bronchial pattern is present.  The lungs are hyperinflated with a slightly increased distance between the cardiac silhouette and diaphragm subjectively.  
Pulmonary vasculature: The pulmonary vasculature is subjectively normal in size and tapers in the periphery of the lungs.
Cardiac silhouette: The cardiac silhouette is mildly tall in the lateral images and slightly rounded generally in the ventrodorsal image.
Mediastinum: The cranial mediastinum is normal.
Trachea: The trachea is normal.
Esophagus: The esophagus is not well-identified.
Pleural space: The pleural space is normal.
Musculoskeletal: The  patient is thin with concave soft tissues between lumbar spinous processes.  The remaining included musculoskeletal structures are normal.
</t>
  </si>
  <si>
    <t>1. Mild generalized cardiomegaly versus artifact from phase of the cardiopulmonary cycle and patient positioning.
- If present, consider hypertrophic cardiomyopathy or thyrotoxic cardiomyopathy or unlikely other.
- there is no current evidence of left-sided congestive heart failure.  
2. Mild diffuse bronchial pulmonary pattern and slight hyperinflation such as from infectious/immune-mediated lower airway disease (feline asthma, mycoplasma spp., bordetella spp., parasitism, or other), or fibrosis from prior disease, age-related changes,  or unlikely other.
3. Thin body condition.</t>
  </si>
  <si>
    <t>Consider respiratory PCR panel, airway sampling, and fecal analysis/deworming for further evaluation.  Echocardiography, eCG, blood pressure, thyroid function testing and routine blood work if not recently performed.  Empirical therapy and supportive care in the interim as needed.  Consider ultrasonography of the abdomen/distal aorta/right femoral artery for further evaluation of thromboembolic disease contributing to reported recent clinical signs.  Monitoring as directed or sooner if clinical signs acutely change, fail to improve or worsen.</t>
  </si>
  <si>
    <t>3 views of the entire body are provided for review. There is a mild bronchial pattern in all lung lobes.  The cardiovascular structures are normal.  The mediastinal and pleural structures are normal.  2 views of the abdomen are presented for review.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</si>
  <si>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Mild bronchial pulmonary pattern consistent with previously asthma.</t>
  </si>
  <si>
    <t>Thorax: Today=ZZ91=s study is compared to a study dated 2/23/2024.  There is mild generalized cardiomegaly (previous no evidence of cardiomegaly).  There is no evidence of cardiogenic pulmonary edema or pleural effusion.  There is a mild/subtle peribronchial pattern.  The remainder of the thorax is unremarkable.  There are no abnormalities involving the abdomen.</t>
  </si>
  <si>
    <t>Generalized cardiomegaly._x000D_
_x000D_
Mild/subtle diffuse peribronchial pattern which may reflect a lower airway inflammatory process.</t>
  </si>
  <si>
    <t xml:space="preserve">
1.This result detects a minimal to moderate, or rarely severe bronchial pulmonary pattern._x000D_
2.This result detects a minimal to mild interstitial pulmonary pattern._x000D_
3.Rarely, this result detects a minimal alveolar pulmonary pattern._x000D_
4.Rarely, this result detects minimal pleural fissure lines/fluid. _x000D_
5.This result detects equivocal/borderline to mild cardiomegaly.</t>
  </si>
  <si>
    <t>The mixed interstitial and bronchial pulmonary patterns are NOT suspected to represent early left-sided congestive heart failure. For patients with respiratory clinical signs,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Differential diagnoses for minimal pleural fissure lines include: tangential beam artifact, pleural thickening/folding, chylous effusion, idiopathic, or rarely hemorrhage (especially if history of trauma), secondary to FIP or other systemic infection/inflammation, or unlikely other.</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</si>
  <si>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Mineral is present in the renal diverticula bilaterally.  The remaining abdominal organs are normal.</t>
  </si>
  <si>
    <t>Bilateral renal mineralization suggestive of chronic change.  Correlation with serum biochemistry, SDMA, and urinalysis may be helpful.  Abdominal ultrasound and neurologic evaluation may also be helpful based on the history provided.  Radiographically normal thorax for patient of this age.</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</si>
  <si>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initially that resolves following fasting.  The small intestines are normal in size.  Gas and feces are present in the colon.  The urinary bladder is moderately distended.  The remaining abdominal organs are normal.</t>
  </si>
  <si>
    <t xml:space="preserve">
1.This result detects a minimal to mild bronchial pulmonary pattern._x000D_
2.This result does NOT detect an alveolar pulmonary pattern._x000D_
3.This result does NOT detect pulmonary soft tissue nodules.  _x000D_
4.Rarely, this result detects minimal pleural fissure lines/fluid._x000D_
5.This result detects equivocal/borderline to moderate cardiomegaly._x000D_
6.This result detects a minimal to mild interstitial pulmonary pattern.</t>
  </si>
  <si>
    <t>2 views of the entire body are presented for review.  The pulmonary structures are normal.  Thin pleural fissure lines are present.  The cardiac silhouette is generally enlarged and rounded.  A dorsal mesothelial remnant is seen extending from the cardiac silhouette to the diaphragm.  The central portion of the diaphragm is nonvisible.  The mediastinal structures are normal.  Abdominal serosal detail is adequate in all quadrants.  Minimal liver is visible within the abdomen.  The stomach contains a moderate amount of ingesta.  The small intestines are normal in size.  Gas and feces are present in the colon.  The urinary bladder is moderately distended.  The remaining abdominal organs are normal.</t>
  </si>
  <si>
    <t>Scant pleural effusion.  Peritoneopericardial diaphragmatic hernia, likely containing liver and falciform fat.</t>
  </si>
  <si>
    <t>Ultrasonography may be helpful.</t>
  </si>
  <si>
    <t xml:space="preserve">
1.This result detects mild to severe cardiomegaly._x000D_
2.This result detects a mild to severe interstitial pulmonary pattern._x000D_
3.This result detects a mild to severe bronchial pulmonary pattern._x000D_
4.This result detects a minimal to moderate alveolar pulmonary pattern._x000D_
5.Rarely, this result detects minimal to moderate pulmonary vasculature enlargement.  _x000D_
6.This result detects minimal to severe pleural fissure lines/fluid.</t>
  </si>
  <si>
    <t xml:space="preserve">Patient Name : Howl Krausse, Date of study: Aug 2, 2024
3 images are provided for review
Prior images dated May 17, 2024 are available.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Pin-point mineral is suspected to be admixed with gastric contents.  The stomach is within normal limits for size.
The small intestine contains mild heterogeneous soft tissue material, gas and fluid or is empty with a subjectively uniform population for size.   Some small intestinal segments contain granular mineral foci.
The colon contains mild to moderate heterogeneous admixed soft tissue material and gas.  Minimal pin-point mineral is admixed with colon contents.   The colon is within normal limits for size.  
Musculoskeletal: The included musculoskeletal structures are normal.
</t>
  </si>
  <si>
    <t xml:space="preserve">1. Gastric material due to recent meal, versus gastritis/delayed emptying or pyloric outflow tract obstruction.
2. Non-specific small intestinal appearance such as from enteritis or given reported history, unlikely individual variation of normal.
3. Minimal colonic mineral due to dietary indiscretion and possible colitis.
- There is no current evidence of gastrointestinal mechanical ileus.
- Differential diagnoses for gastritis/enteritis/colitis include dietary indiscretion, toxin ingestion,  or less likely diet/antibiotic responsive disease, inflammatory bowel disease, pancreatitis, occult systemic disease or unlikely other.
</t>
  </si>
  <si>
    <t>Empirical therapy for gastroenterocolitis and presumed dietary indiscretion in the interim as needed.  Consider repeat abdominal radiographs after 8-12 hours of fasting to monitor for passage of gastric material.  Routine blood work, abdominal ultrasonography, and GI panel may be contributory if not recently performed to screen for systemic disease, especially if signs fail to improve or worsen with empirical therapy.   Monitoring as directed or sooner if clinical signs acutely change, fail to improve or worsen.</t>
  </si>
  <si>
    <t xml:space="preserve">
1.This result detects mild to moderate cardiomegaly._x000D_
2.This result detects a minimal to moderate bronchial pulmonary pattern._x000D_
3.This result detects a minimal to mild interstitial pulmonary pattern._x000D_
4.This result does NOT detect an alveolar pulmonary pattern. _x000D_
5.This result does NOT detect pleural fissure lines.</t>
  </si>
  <si>
    <t xml:space="preserve">Patient Name : Victor Daubert, Date of study: Aug 2, 2024
3 images are provided for review
Feline Thorax (3 Images) - 2 Lateral, 1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suspiciously rounded in the lateral images with a slightly reniform.  The cardiac silhouette is slightly generally rounded in the ventrodorsal image, exacerbated by obliquity.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</si>
  <si>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pulmonary pattern such as from infectious/immune-mediated lower airway disease (feline asthma, mycoplasma spp, versus other or inhaled allergen/irritant), or fibrosis from prior disease, age-related changes, or unlikely other.
2. Equivocal generalized cardiomegaly.
- Differential diagnoses include hypertrophic or thyrotoxic cardiomyopathy, or unlikely other.
- There is no current evidence of cardiogenic pulmonary edema.
</t>
  </si>
  <si>
    <t>Consider respiratory PCR panel, airway sampling, and fecal analysis/deworming for further evaluation. Consider computed tomography of the head and rhinoscopy if clinical signs fail to improve with empirical therapy for immune-mediated/infectious rhinitis/sinusitis.  Routine blood work and thyroid function testing may be contributory if not recently performed, and consider echocardiography depending on results, especially if a murmur is later identified. Monitoring as directed or sooner if clinical signs acutely change, fail to improve or worsen.</t>
  </si>
  <si>
    <t xml:space="preserve">
1.This result detects a minimal, or rarely mild interstitial pulmonary pattern.  _x000D_
2.This result detects a minimal to mild, or rarely moderate bronchial pulmonary pattern._x000D_
3.Rarely, this result detects a minimal alveolar pulmonary pattern._x000D_
4.This result detects equivocal/borderline to mild cardiomegaly. _x000D_
5.This result does not detect pulmonary vasculature enlargement._x000D_
6.This result does not detect pleural fissure lines/fluid.  </t>
  </si>
  <si>
    <t xml:space="preserve">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 minimal alveolar pulmonary pattern include: atelectasis or bronchial plugging such as from concurrent infectious/inflammatory lower airway disease (i.e. feline asthma) or less likely bronchopneumonia,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</si>
  <si>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Three radiographs of the thorax/abdomen are provided. The cardiac silhouette and pulmonary vessels are normal size and shape. There is a smoothly marginated ovoid 2.9 x 1.8 cm soft tissue opacity cranioventral to the heart. No pleural effusion. A mild bronchial pattern is present. Adequate tracheal diameter. In the abdomen the kidneys are smoothly irregular, and the right kidney is reduced in size. Punctate nephroliths are present bilaterally. The urinary bladder is mildly filled and soft tissue opaque. Normal-sized spleen and liver. Small volume gas in the stomach. Small bowel are minimally filled. Small volume of formed feces in the colon.</t>
  </si>
  <si>
    <t>1. Cranioventral thoracic mass, most likely sternal lymphadenopathy. Neoplasia originating from the abdomen is of concern. Lymphoma is also possible. Incidental branchial cyst is given lesser consideration._x000D_
2. Mild bronchial pattern suggestive of chronic airway inflammation such as asthma._x000D_
3. Chronic renal disease. No other abdominal abnormalities.</t>
  </si>
  <si>
    <t>Abdominal ultrasound is recommended, with evaluation of the cranioventral thoracic mass at the same time.</t>
  </si>
  <si>
    <t>THORAX (3 total radiographs for review).  A previous examination is available for comparison dated 10/16/2021._x000D_
_x000D_
- Bilateral, moderate to marked increase in soft tissue opacity within the pleural space which causes a retraction and rounding of the lung lobe margins.  The retracted lung lobes contain mild unstructured interstitial pulmonary patterns._x000D_
- There is the impression of marked cardiomegaly present, however the cardiac silhouette is of limited assessment due to border effacement/superimposition by the pleural fluid._x000D_
- The pulmonary vasculature is moderately distended._x000D_
- There is a mild diffuse bronchial pattern present._x000D_
- The liver is moderately enlarged, with rounded margins._x000D_
- The stomach is distended with gas and contains moderate gas stippled soft tissue opaque material._x000D_
- The included musculoskeletal structures are normal, besides mild multifocal spondylosis deformans.</t>
  </si>
  <si>
    <t>1.  Moderate to marked bilateral (R=ZZ93= L) pleural effusion, with impression of generalized cardiomegaly and pulmonary vasculature congestion raises primary concern for congestive heart failure.  Enlargement of the liver may be due to hepatic congestion and/or vacuolar (metabolic) hepatopathy.  Cholangiohepatitis is also possible.  I would recommend considering therapeutic thoracocentesis as well as initiating therapy for congestive heart failure including oxygen, diuretics, echocardiography, ECG and cardiologist consultation for further assessment.  Repeating the thoracic radiographs after removal of the pleural fluid and treatment for heart failure may be diagnostically useful to monitor therapy._x000D_
_x000D_
2. Mild diffuse bronchial pattern. Most likely compatible with chronic lower airway disease. Feline asthma is most likely, however bronchitis of infectious (e.g. parasitic, bacterial) or inhaled irritant etiologies are also possible. _x000D_
_x000D_
3.  Aerophagia and recent meal.</t>
  </si>
  <si>
    <t xml:space="preserve">
1.This result detects a mild to severe interstitial pulmonary pattern._x000D_
2.This result detects a mild to severe bronchial pulmonary pattern._x000D_
3.This result detects a minimal to moderate alveolar pulmonary pattern._x000D_
4.This result detects mild to severe cardiomegaly._x000D_
5.Rarely, this result detects minimal to moderate pulmonary vasculature enlargement.  _x000D_
6.This result detects minimal to severe pleural fissure lines/fluid.</t>
  </si>
  <si>
    <t>Patient Name: CHLOE MALDONADO, Date of study: Aug 1, 2024.
5 images are provided for review (4 lateral, 1 VD). 
There are no previous radiographs for comparison.
Findings:
Cardiac silhouette: The cardiac silhouette is normal in size and shape. There is an increased volume of pericardial fat which creates a fat opaque halo surrounding cardiac silhouette on the VD view.
Pulmonary vessels: The pulmonary arteries and veins are normal in size and are symmetrical.
Pulmonary parenchyma: The lungs are underinflated on all views. The pulmonary parenchyma is otherwise within normal limits with no abnormal pulmonary patterns, nodules, or masses.
Pleural space: The pleural space is within normal limits.
Mediastinum: There is an increased volume of mediastinal fat. There is no evidence of intrathoracic lymphadenopathy.
Trachea: The trachea is normal in diameter and course.
Esophagus: The region of the esophagus is within normal limits.
Gastrointestinal tract: The stomach contains a small volume of heterogeneous ingesta admixed with gas. The small intestines are diffusely within normal limits of diameter and distribution. The colon is filled with loosely formed feces and gas.
Liver: The liver is normal in size and shape.
Spleen: The spleen is unremarkable.
Urinary: The kidneys are normal in size, shape, and margination. The urinary bladder is small in size and normal in opacity.
Peritoneal space: There is adequate serosal detail.
Musculoskeletal: Patient is obese with excessive fat in the thorax, abdomen, and subcutaneous spaces. The included skeletal structures are within normal limits.</t>
  </si>
  <si>
    <t>1. Feline lower airway disease such as from infectious/inflammatory, allergic, and irritant etiologies should be considered as this may have a normal radiographic appearance. 
2. The lungs are underinflated which may be secondary to sedation (if administered). Underinflation secondary to obesity (Pickwichian syndome) is not ruled out.
3. Normal abdomen.</t>
  </si>
  <si>
    <t>Airway sampling (respiratory PCR, transtracheal wash) could be considered to guide treatment for coughing. Weight management/loss is suggested.</t>
  </si>
  <si>
    <t xml:space="preserve">
1.This result detects a minimal to mild, or rarely moderate interstitial pulmonary pattern.  _x000D_
2.This result detects a minimal to moderate bronchial pulmonary pattern._x000D_
3.Uncommonly, this result detects a minimal to moderate alveolar pulmonary pattern._x000D_
4.This result does not detect pulmonary soft tissue nodules._x000D_
5.This result detects equivocal/borderline to mild, or rarely moderate cardiomegaly. _x000D_
6.This result does not detect pulmonary vasculature enlargement._x000D_
7.This result does not detect pleural fissure lines/fluid.  </t>
  </si>
  <si>
    <t xml:space="preserve">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or less likely evolving neoplasia (metastatic/multicentric)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bronchopneumonia (especially if no mediastinal shift ipsilateral to the pattern is present), atelectasis or bronchial plugging such as from concurrent infectious/inflammatory lower airway disease (i.e. feline asthma) or unlikely evolving neoplasia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</si>
  <si>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 xml:space="preserve">
If the patient has clinical signs consistent with bronchopneumonia and/or active infectious/inflammatory lower airway disease, then consider empirical therapy and supportive care in the interim as needed. Monitor resolution of alveolar pattern with serisal radiographs, especially if signs fail to improve or worsen in the face of empirical therapy for bronchopneumonia._x000D_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</si>
  <si>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6 images of the thorax and abdomen are presented for review.  The cardiovascular structures are normal.  There is a moderate bronchial pattern in all lung lobes.  No pulmonary nodules or enlarged intrathoracic lymph nodes are seen.  The pleural and mediastinal structures are normal.  Abdominal serosal detail is adequate in all quadrants.  The stomach contains a moderate amount of gas and the rugal folds are prominent.  A portion of stomach extends into the caudal dorsal thorax on the left lateral thoracic view..  The small intestines are normal in size.  Gas and feces are present in the colon.  The urinary bladder is small.  The remaining abdominal organs are normal.</t>
  </si>
  <si>
    <t>Sliding hiatal hernia.  Prominent rugal folds consistent with gastritis.  This does not rule out underlying pancreatitis or infiltrative neoplasia.  Abdominal ultrasound may be helpful.  Moderate bronchial pulmonary pattern.  Considerations include asthma, heartworm, lungworm, atypical infection, bronchitis.  Consider empiric therapy versus further diagnostics such as heartworm testing, Baermann fecal, airway sampling.</t>
  </si>
  <si>
    <t xml:space="preserve">
1.This result does NOT detect pleural fissure lines._x000D_
2.This result detects mild to moderate cardiomegaly._x000D_
3.This result detects a minimal to moderate bronchial pulmonary pattern._x000D_
4.This result detects a minimal to mild interstitial pulmonary pattern._x000D_
5.This result does NOT detect an alveolar pulmonary pattern.</t>
  </si>
  <si>
    <t xml:space="preserve">Patient Name : Venice Escobedo, Date of study: Aug 1, 2024
3 images are provided for review
Feline Thorax (3 Images) - 2 Lateral, 1 Vd
There are no previous radiographs for comparison.
Pulmonary parenchyma: A minimal diffuse bronchial and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A nipple is presumed superimposed over the right 10th intercostal space in the ventrodorsal image.  The included musculoskeletal structures are normal.
</t>
  </si>
  <si>
    <t>1. Minimal diffuse bronchial and interstitial pulmonary patterns.
- Differential diagnoses include fibrosis from prior disease, infectious/immune-mediated lower airway disease (mycoplasma spp., bordetella spp., parasitism such as lung worms, or inhaled allergen/irritant), age-related changes, or unlikely other.</t>
  </si>
  <si>
    <t>Consider respiratory PCR panel, airway sampling, fecal analysis/empirical deworming for further evaluation of reported cough.  Empirical therapy and supportive care as needed for cough and possible lower airway disease.  Monitoring as directed, or sooner if clinical signs acutely change, fail to improve or worsen.</t>
  </si>
  <si>
    <t>Study:_x000D_
Thoracic/abdominal radiography: three images dated January 31, 2024_x000D_
_x000D_
Findings:_x000D_
The cardiac silhouette is normal in size and shape. The pulmonary vasculature is normal in size. There is a severe generalized bronchial pulmonary pattern. Increased opacity within the ventral thorax on the lateral projections obscures the ventral margin of the cardiac silhouette. There is no apparent intrathoracic lymphadenopathy. The trachea is normal in diameter.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moderate L1-L2 and L2-L3 spondylosis deformans. The patient has had a prior left-sided femoral head and neck ostectomy. There is a 6.2 cm x 4.5 cm lobulated soft tissue opaque mass in the subcutaneous tissues of the right inguinal region, consistent with the suspected carcinoma. The adjacent inguinal lymph nodes are enlarged. The patient is of overweight body condition.</t>
  </si>
  <si>
    <t>1. The generalized bronchial pulmonary pattern may indicate allergic/inflammatory bronchitis (asthma). Infectious, parasitic and irritant bronchitis are also possible. Endobronchial metastatic disease is considered less likely. Airway sampling, heartworm testing and Baermann fecal flotation can be considered for further evaluation._x000D_
2. The increased opacity within the ventral thorax on the lateral projections obscuring the ventral margin of the cardiac silhouette may be secondary to mediastinal fat deposition or may indicate mild pleural effusion. Point-of-care thoracic sonography can be considered for further evaluation._x000D_
3. Unremarkable abdomen. Consider abdominal sonography for further evaluation._x000D_
4. Right inguinal mass, reported his suspect carcinoma._x000D_
5. The inguinal lymphadenopathy may be reactive or neoplastic.</t>
  </si>
  <si>
    <t xml:space="preserve">
1.This result detects mild to severe cardiomegaly._x000D_
2.Rarely, this result detects minimal to mild pulmonary vasculature enlargement._x000D_
3.This result detects a minimal to moderate bronchial pulmonary pattern._x000D_
4.This result detects a mild to moderate interstitial pulmonary pattern._x000D_
5.Rarely, this result detects a minimal alveolar pulmonary pattern._x000D_
6.This result detects minimal to moderate pleural fissure lines/fluid. </t>
  </si>
  <si>
    <t>THORAX (3 total radiographs for review).  No previous examinations are available for comparison._x000D_
_x000D_
- Mild diffuse bronchial pulmonary pattern._x000D_
- Cardiac silhouette, pulmonary vasculature normal._x000D_
- Trachea, pleural space, mediastinum and remaining included intrathoracic structures are normal._x000D_
- Stomach contains mild gas stippled soft tissue opaque material._x000D_
- Remaining cranial abdominal structures are normal._x000D_
- The included osseous structures are unremarkable.</t>
  </si>
  <si>
    <t>1. Mild diffuse bronchial pattern.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t>
  </si>
  <si>
    <t xml:space="preserve">
1.This result detects a minimal to mild bronchial pulmonary pattern._x000D_
2.This result detects a minimal to mild interstitial pulmonary pattern._x000D_
3.This result does NOT detect  an alveolar pulmonary pattern._x000D_
4.This result does NOT detect soft tissue pulmonary nodules.  _x000D_
5.This result detects mild to moderate cardiomegaly._x000D_
6.This result does NOT detect pleural fissure lines. </t>
  </si>
  <si>
    <t>A three view study of the thorax is provided for interpretation._x000D_
_x000D_
A moderate diffuse bronchial pulmonary pattern is identified. No alveolar infiltrates are seen. No thoracic lymphadenopathy or pleural effusion is identified. The heart is within normal size and shape limits. The vessels to the left caudal lung lobe appear slightly distended in the VD view, but this is not corroborated in the lateral views. No tracheal abnormalities are identified. The cranial abdominal organs are unremarkable.</t>
  </si>
  <si>
    <t>There is a moderate diffuse bronchial pattern consistent with lower airway disease._x000D_
Considering the chronic history primary rule outs would include allergic lung disease, asthma, and parasitic infection such as lungworms or heartworm disease._x000D_
Infectious bronchitis is a less likely possibility but cannot be entirely excluded.</t>
  </si>
  <si>
    <t>CBC, heartworm testing, and Baermann fecal exam for lungworms is recommended._x000D_
If no evidence of infectious disease is found, sampling from the lower airways via bronchoscopy or BAL/TTW is recommended to assist definitive diagnosis.</t>
  </si>
  <si>
    <t>Right lateral and DV views of the thorax and abdomen are provided. There are 10 radiographs total._x000D_
_x000D_
All disc spaces of the lumbar spine appear slightly narrowed. No spinal subluxation or destructive endplate lesions are seen. Soft tissues in the retroperitoneal area are unremarkable. The thoracic spine is within normal limits. The cervical spine is included but this spaces cannot be evaluated due to positional obliquity._x000D_
The pelvis appears normal in the lateral view. There is significant foreshortening of the pelvis and superimposition of the hip joints that precludes evaluation of the hips in the DV view. No suggestion of significant remodeling changes or traumatic injury is identified, however. The stifles are included and appear normal._x000D_
_x000D_
The cardiopulmonary structures are within normal limits. No thoracic lymphadenopathy or pleural effusion is seen._x000D_
The abdominal organs are all within normal size and shape limits. The GI tract is unremarkable.</t>
  </si>
  <si>
    <t>Disc spaces in the lumbar spine appear subjectively slightly narrowed, which is a subtle change and could simply benign variation._x000D_
_x000D_
No musculoskeletal abnormalities that are definitively clinically significant are identified._x000D_
The thorax and abdomen both appear normal.</t>
  </si>
  <si>
    <t>The radiographic findings are limited._x000D_
Symptomatic therapy for possible spinal pain is recommended.</t>
  </si>
  <si>
    <t>ABDOMEN (3 radiographs for review).  No previous examinations are available for comparison. _x000D_
_x000D_
- Peritoneal serosal detail is normal._x000D_
- The stomach is mostly nondistended/empty and contains a small volume of soft tissue opaque material._x000D_
- The small intestine contains mild multifocal gas and soft-tissue opaque material_x000D_
- The colon contains gas, soft-tissue/fluid and minimal formed fecal material._x000D_
- The spleen is mildly enlarged, with rounded margins._x000D_
- The liver, region of the kidneys and urinary bladder are normal._x000D_
- The caudal thorax is normal_x000D_
- Minimal caudal lumbar spondylosis deformans.</t>
  </si>
  <si>
    <t>1. The appearance of the stomach, small intestine and colon can be compatible with a non-specific generalized functional ileus (e.g. gastroenterocolitis or infiltrative bowel disease such as IBD or lymphoma). There is no evidence of small intestinal foreign material or mechanical obstruction. If clinically indicated, abdominal ultrasonography might be considered._x000D_
_x000D_
2. Mild splenomegaly. DDx congestion from sedation, lymphoid hyperplasia, EMH, less likely neoplasia.</t>
  </si>
  <si>
    <t xml:space="preserve">Patient Name : Milo Thurman, Date of study: Jul 31, 2024
2 images are provided for review
Feline Thorax (2 Images) - 1 Lateral, 1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</si>
  <si>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pulmonary pattern.
- Differential diagnoses include infectious/immune-mediated lower airway disease such as from feline asthma, mycoplasma spp., bordetella spp., parasitism, or inhaled allergen/irritant. or less likely fibrosis from prior disease, or age-related changes.
</t>
  </si>
  <si>
    <t>Consider respiratory PCR panel, airway sampling, and fecal analysis for further evaluation.  Computed tomography of the head and rhinoscopy may be contributory.  Empirical therapy and supportive care in the interim as needed. Monitoring as directed or sooner if clinical signs acutely change, fail to improve or worsen.</t>
  </si>
  <si>
    <t>1) Generalized subtle bronchial pattern is compatible with a chronic lower airway disease such as asthma vs feline chronic bronchitis vs bronchitis of parasitic origin.</t>
  </si>
  <si>
    <t>Consider a bronchoscopy with BAL, culture, cytology and Baermann test with deworming vs empirical treatment for asthma and deworming.</t>
  </si>
  <si>
    <t xml:space="preserve">
1.This result detects a minimal to mild bronchial pulmonary pattern._x000D_
2.This result detects mild to moderate cardiomegaly._x000D_
3.This result detects a minimal to mild interstitial pulmonary pattern._x000D_
4.This result does NOT detect  an alveolar pulmonary pattern._x000D_
5.This result does NOT detect soft tissue pulmonary nodules.  _x000D_
6.This result does NOT detect pleural fissure lines. </t>
  </si>
  <si>
    <t>WHOLE-BODY (5 total radiographs for review).  No previous examinations are available for comparison_x000D_
_x000D_
- Excessive body habitus._x000D_
- Mild diffuse bronchial pattern and mild pulmonary hyperinflation_x000D_
- The cardiac silhouette and pulmonary vasculature are normal._x000D_
- The trachea, esophagus and remainder of the mediastinum are normal._x000D_
- The pleural space and remaining intrathoracic structures are normal._x000D_
- Peritoneal serosal detail is normal._x000D_
- The stomach contains mild gas and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L3-4 and L4-5 and potentially L5-6 and L6-7 discs are mineralized in situ.</t>
  </si>
  <si>
    <t>1.  Overall, a discrete radiographic cause for the reported clinical signs (anorexia, lethargy, increased respiratory rate) is not clearly identified._x000D_
_x000D_
2. Mild diffuse bronchial pattern with pulmonary hyperinflation.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considered._x000D_
_x000D_
3. Mild hepatomegaly. Most likely representing vacuolar (metabolic) hepatopathy. Hepatic congestion, cholangiohepatitis or neoplasia are less likely, but possible._x000D_
_x000D_
4.  Otherwise unremarkable abdomen._x000D_
_x000D_
5.  Multiple mid and caudal lumbar mineralized intervertebral discs in situ._x000D_
_x000D_
6.  Excessive body habitus.</t>
  </si>
  <si>
    <t>WHOLE-BODY (3 total radiographs for review).  No previous examinations are available for comparison._x000D_
_x000D_
- Excessive body habitus._x000D_
- Mild diffuse bronchial pattern._x000D_
- Prominent aortic root_x000D_
- The cardiac silhouette is otherwise normal and pulmonary vasculature is unremarkable._x000D_
- The pulmonary parenchyma is normal_x000D_
- The trachea, esophagus and remainder of the mediastinum are normal._x000D_
- The pleural space and remaining intrathoracic structures are normal._x000D_
- Peritoneal serosal detail is normal._x000D_
- The stomach contains moderate gas and mild gas stippled soft tissue opaque material_x000D_
- The small intestine is nondistended and contains mild multifocal gas and soft-tissue opaque material_x000D_
- The colon contains gas, soft-tissue/fluid and moderate, mildly desiccated formed fecal material._x000D_
- The margins of the kidneys are mildly irregular bilaterally_x000D_
- The liver, spleen and urinary bladder are normal._x000D_
- Multifocal spondylosis deformans most notable in the caudal lumbar/lumbosacral junction where there is narrowing of the L5-6 and L7-S1 intervertebral disc spaces.</t>
  </si>
  <si>
    <t>1.  A discrete radiographic cause for the reported clinical signs is not clearly identified._x000D_
_x000D_
2.  Bilateral chronic degenerative renal changes.  Correlate to results of blood work values and consider abdominal ultrasonography for further assessment of the renal architecture if clinically indicated._x000D_
_x000D_
3.  Aerophagia and mild constipation._x000D_
_x000D_
4. Mild diffuse bronchial pattern. Most likely compatible with chronic lower airway disease. Feline asthma is most likely, however bronchitis of infectious (e.g. parasitic, bacterial) or inhaled irritant etiologies are also possible_x000D_
_x000D_
5. Prominent aortic root. This can be an incidental finding in older cats, but does have an association with systemic hypertension. There is no obvious cardiomegaly to indicate secondary concentric cardiac hypertrophy, however radiographic sensitivity can be limited. You may consider systemic blood pressure measurement in this patient, especially if a cardiac murmur is present._x000D_
_x000D_
6.  L5-6 and L7-S1 intervertebral disc disease_x000D_
_x000D_
7.  Excessive body habitus.</t>
  </si>
  <si>
    <t xml:space="preserve">
1.This result detects minimal to mild, mixed interstitial and bronchial pulmonary patterns._x000D_
2.This result does NOT detect an alveolar pulmonary pattern.  _x000D_
3.This result detects mild to moderate, or less commonly equivocal/borderline cardiomegaly._x000D_
4.Rarely,  this result detects minimal pleural fissure lines/fluid.  </t>
  </si>
  <si>
    <t>WHOLE-BODY (6 total radiographs for review).  No previous examinations available for comparison._x000D_
_x000D_
- Peritoneal serosal detail is mildly reduced, most notable in the cranio-ventral abdomen_x000D_
- The stomach contains mild gas and gas-stippled soft-tissue opaque material_x000D_
- The small intestine is nondistended and contains mild multifocal gas and soft-tissue opaque material_x000D_
- The colon has a undulant appearance and contains gas, soft-tissue/fluid and minimal formed fecal material._x000D_
- The kidneys bilaterally measure enlarged (R =ZZ93= L) with mostly smooth but mildly irregular margins._x000D_
- The spleen is moderately-to-markedly enlarged, with lobular margins. _x000D_
- The liver is mildly enlarged, with rounded margins._x000D_
- The urinary bladder is normal._x000D_
- Mild widening of the cranial mediastinum on the VD projection._x000D_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</si>
  <si>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Mild peritoneal effusion/peritonitis._x000D_
2. Moderate-to-marked splenomegaly._x000D_
3. Mild hepatomegaly._x000D_
4. Bilateral renomegaly (R =ZZ93= L)._x000D_
5. The appearance of the gastrointestinal tract can reflect functional ileus (e.g. enterocolitis). No evidence of mechanical obstruction._x000D_
6. Mild cranial mediastinal widening. Otherwise normal thorax._x000D_
_x000D_
There are multifocal findings in this case that in combination with the clinical history and the patient=ZZ91=s signalment raise concern for a multi-centric disease process, such as feline infectious peritonitis or round-cell neoplasia (e.g. lymphoma). I would recommend attempting to rule out FIP, as well as considering complete abdominal ultrasonography (+/- fine-needle aspiration) for further assessment of the spleen and kidneys in particular. Internal medicine consultation may be recommended in this case._x000D_
_x000D_
The cranial mediastinal widening may be due to fat deposition, with mediastinal lymphadenopathy or effusion also possible.</t>
  </si>
  <si>
    <t>Three view orthogonal radiographs (3 images) of the thorax and cranial abdomen dated July 30, 2024, are available for interpretation. No prior images are available for comparison.
The cat was not sedated.
Thorax:
Airway/pulmonary: On both lateral projections, the extrathoracic trachea is narrowed and the intrathoracic trachea is normal to mildly dilated. No pulmonary nodules are noted. A mild bronchial pattern is present in the caudal lung lobes on the lateral projections along with regions of either bronchial dilation or emphysema creating thin walled cavitary regions in the caudal thorax. An increase in soft tissue opacity is also associated with the caudal lobar bronchi on the lateral projection with suspected opacification to secondary bronchi dorsal to the CVC on the right lateral projection. On the VD projection, an increase in interstitial opacity is present in the axial aspect of both caudal lung lobes, right more than left. The degree of lung inflation is increased on the VD and right lateral images. 
Cardiovascular: The cardiac silhouette has a rounded margin on the lateral projections and increased soft tissue opacity in the heart base region on the lateral projections. On the VD projection, a soft tissue bulge is lateral to the descending aorta which is thought to represent a main pulmonary artery bulge. On the lateral projection, descending aortic diameter is reduced from the level of 7th intercostal space caudally. CVC diameter is normal. The peripheral pulmonary vasculature is small. 
Mediastinum: Normal.
Pleural space: No pleural fluid or pneumothorax noted.
Cranial abdomen: The liver is within the costal arch. The stomach contains a small amount of ingesta. The cranial abdominal detail is normal.
Msk: No significant osseous abnormalities.</t>
  </si>
  <si>
    <t>1) Mild cardiomegaly. Potential right sided cardiomegaly with main pulmonary artery enlargement. Rule out cor pulmonale secondary to chronic lung disease (see #3) vs. heartworm disease. No evidence of heart failure on this study. 
2) Increased soft tissue opacity in the heart base. Pulmonary artery enlargement is the primary consideration. Secondary consideration is aortic root enlargement or regional lymph node enlargement. 
3) Chronic bronchitis. Lobar bronchial plug suspected. Caudal lung lobe hyperinflation and emphysema. 
4) Extrathoracic tracheal narrowing. DDx: transient due to struggling at the time of the radiographs vs. partial upper airway obstruction. A partial upper airway obstruction could also be contributing to the pulmonary hyperinflation. 
5) No pulmonary nodules noted.</t>
  </si>
  <si>
    <t xml:space="preserve">Further evaluation of the heart via cardiac ultrasound. Also consider an upper airway examination and/or empirical therapy for allergic vs. bacterial bronchitis. While uncommon, rule out heartworm disease. </t>
  </si>
  <si>
    <t xml:space="preserve">
1.This result detects minimal to mild, mixed interstitial and bronchial pulmonary patterns._x000D_
2.Rarely, this result detects a minimal alveolar pulmonary pattern._x000D_
3.This result detects mild to moderate cardiomegaly._x000D_
4.This result does NOT detect pleural fissure lines.  </t>
  </si>
  <si>
    <t>Three radiographs of the thorax are provided. The heart and pulmonary vessels are normal size and shape. The heart appears relatively larger on the VD projection due to adjacent fat deposition. Fat deposition extends into the cranial mediastinum. The lungs are clear. No pleural effusion. Normal tracheal diameter. Mild soft tissue thickening with punctate gas lucencies dorsal to the scapulae consistent with recent subcutaneous fluid administration.</t>
  </si>
  <si>
    <t>Normal thorax. A reason for occasional cough is not identified. Inhaled irritant/allergens is most likely.</t>
  </si>
  <si>
    <t>Consider symptomatic treatment for the cough.</t>
  </si>
  <si>
    <t>A two view thoracoabdominal study is provided for interpretation._x000D_
_x000D_
There is a moderate reduction in abdominal serosal detail, which is more prominent in the mid to caudal abdomen but present everywhere. There is an intestinal loop in the right cranial abdomen that is mildly gas dilated and appears thickened. This is suspected to be the ascending colon. There are a few small intestinal loops that are mildly gas dilated. No foreign bodies are seen in the GI tract. The stomach appears empty. The stomach shadow has mildly irregular margins. The other abdominal organs are within normal size and shape limits._x000D_
_x000D_
The heart is widened at the base. The appearance is consistent with atrial dilation. There is a mild bronchial pattern, and the thorax is mildly hyperinflated. No alveolar infiltrates or pleural effusion are identified._x000D_
The patient has thin overall body condition.</t>
  </si>
  <si>
    <t>There is reduced detail in the abdomen consistent with free fluid or severe inflammation. Peritonitis is a primary differential for this patient, including FIP._x000D_
The proximal half of the colon has a thickened appearance. This is not reliable radiographic finding, but given the other findings in history infiltrative disease remains a concern. The appearance of the stomach is also irregular but not considered a reliable radiographic finding._x000D_
Primary outs include FIP, peritonitis secondary to GI perforation or a typical systemic infectious disease, and juvenile lymphoma._x000D_
_x000D_
The appearance of the heart is consistent with atrial dilation. This is most commonly seen secondary to Hypertrophic Cardiomyopathy but considering the young age of the patient a congenital deformity such as a septal defect should be ruled out._x000D_
Heart disease is not suspected to be responsible for the clinical signs. Right-sided heart failure might account for ascites but would not likely account for the rest of the physical abnormalities._x000D_
_x000D_
The bronchial pattern and hyperinflation is most typical of reactive lower airway disease such as asthma. No findings indicative of pneumonia or heart failure are seen.</t>
  </si>
  <si>
    <t>Ultrasound of the abdomen is recommended, with sampling of relevant anatomic abnormalities for cytology and FIP PCR testing._x000D_
_x000D_
CBC and serum chemistry is recommended. FELV/FIV and feline enteric chronic viral testing should be considered.</t>
  </si>
  <si>
    <t>WHOLE-BODY (3 radiographs available for review). No priors._x000D_
_x000D_
- Moderate to marked increase in soft-tissue opacity in the pleural space, causing a retraction and rounding of the lung lobe margins. The retracted lung lobes contain poorly defined unstructured interstitial patterns._x000D_
- The cardiac silhouette is of limited assessment due to border effacement._x000D_
- The pulmonary vasculature normal._x000D_
- Heterogeneous loss in peritoneal serosal detail, resulting in border effacement of the abdominal viscera. There is an ill-defined mass effect (but no discrete mass) noted in the cranioventral abdomen._x000D_
- Moderate enlargement of the liver, which has lobular margins._x000D_
- The small intestine contains mild multifocal gas and soft-tissue opaque material._x000D_
- The colon contains moderate gas and formed fecal material.</t>
  </si>
  <si>
    <t>1. Bicavitary effusion (pleural and peritoneal). This would raise primary concern for neoplasia, such as carcinoma with pleural/peritoneal carcinomatosis, or lymphomatosis. Severe pancreatitis may also cause bicavitary effusion. Right sided congestive heart failure is less likely. I cannot appreciate an obvious causative mass, however there is an ill-defined cranial abdominal mass effect which may support a pancreatic mass such as carcinoma (and/or active pancreatitis). The hepatic enlargement could be benign (e.g. metabolic/vacuolar hepatopathy), cholangiohepatitis (which may be reported in the history) and/or hepatic infiltration of neoplasia.</t>
  </si>
  <si>
    <t>I would recommend considering diagnostic thoracocentesis and abdominocentesis, as well as complete abdominal ultrasonography with fine needle aspirates as indicated by imaging results.</t>
  </si>
  <si>
    <t xml:space="preserve">
1.This result detects mild to severe cardiomegaly._x000D_
2.This result detects a mild to moderate, or rarely severe interstitial pulmonary pattern._x000D_
3.This result detects a minimal to moderate bronchial pulmonary pattern._x000D_
4.Rarely, this result detects a minimal to mild alveolar pulmonary pattern._x000D_
5.This result does NOT detect pulmonary soft tissue nodules._x000D_
6.Rarely, this result detects minimal to mild pulmonary vasculature enlargement.  _x000D_
7.Uncommonly, this result detects minimal to moderate pleural fissure lines/fluid.</t>
  </si>
  <si>
    <t>If the patient is dyspneic, or has an elevated heart rate/respiratory rate, or has otherwise severe pulmonary clinical signs, consider early left-sided congestive heart failure as the primary differential diagnosis for combined cardiomegaly, pulmonary pattern, and possible pleural fluid and pulmonary vasculature enlargement. Moderate pleural fluid may obscure the cardiac silhouette and compress the lung, complicating a diagnosis of cardiomegaly and pulmonary patterns. Differential diagnoses for cardiomegaly include: hypertrophic or thyrotoxic cardiomyopathy in a mature or older patient, or congenital anomaly in a very young patient.  Consider heartworm disase in endemic areas, or if not already ruled out.  Differential diagnoses for an alveolar pattern include: bronchial plugging (such as from concurrent immune-mediated or infectious lower airway disease), atelectasis (such as from recumbency), coalescing pulmonary edema/left-sided congestive heart failure, or unlikely other such as bronchopneumonia. Differential diagnoses for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</si>
  <si>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 xml:space="preserve">Patient Name : Artemis Barr, Date of study: Jul 30, 2024
4 images are provided for review
Prior images dated January 1, 2023 are available.  
Liver: The liver is subjectively normal in size.
Spleen: In the mid-ventral abdomen, the presumed ventral extremity of the spleen is enlarged mildly and rounded with well-defined margins and homogeneous soft tissue.
Kidneys: The kidneys are normal ion size with slightly rounded or undulant margins.
Retroperitoneum: Retroperitoneal detail is adequate.
Urogenital: The urinary bladder is normal in size, homogeneous soft tissue, and smoothly marginated.
Peritoneum: Peritoneal detail is adequate.  An tortuous soft tissue tubular structure is in the left mid-abdomen (spaghetti sign).  A small round mineral body is in the mid-ventral peritoneum (presumed Bates' body).  
Gastrointestinal tract: The stomach contains a mild volume of gas.   The stomach is within normal limits for size.
The small intestine contains mild gas with a subjectively uniform population for size. 
The colon contains mild gas and minimal soft tissue material.  The colon wall is minimally spastic.    The colon is within normal limits for size.  
Musculoskeletal: Multifocal thoracolumbar and lumbosacral spondylosis deformans is present.  The remaining included musculoskeletal structures are normal.
</t>
  </si>
  <si>
    <t xml:space="preserve">1. Mild splenomegaly versus artifact from positioning/technique or individual variation of normal.
- If present, differential diagnoses include extramedullary hematopoiesis, lymphoid hyperplasia, splenitis such as from tick-borne illnesses, evolving neoplasia, or unlikely other.
2. Non-specific gastrointestinal tract appearance such as from enteritis, 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Slight bilateral renal margin changes such as from chronic disease versus artifact.
4. Incidental tortuous vascular structure in the left abdomen likely from prior ovariohysterectomy (spaghetti sign).
5. Presumed incidental Bates' body is unchanged from prior.  </t>
  </si>
  <si>
    <t>CBC/serum biochemistry and urinalysis to screen for occult systemic disease and possibly abdominal ultrasonography for further evaluation as needed.  Computed tomography of the head and rhinoscopy for further evaluation. Empirical therapy and supportive care in the interim as needed.  Monitoring as directed or sooner if clinical signs acutely change, fail to improve or worsen.</t>
  </si>
  <si>
    <t xml:space="preserve">
1.Uncommonly, this result detects a minimal interstitial pulmonary pattern.  _x000D_
2.This result detects a minimal to mild bronchial pulmonary pattern._x000D_
3.This result does not detect an alveolar pulmonary pattern._x000D_
4.This result detects equivocal/borderline to mild, or rarely moderate cardiomegaly._x000D_
5.This result does not detect pleural fissure lines/fluid._x000D_
6.This result does not detect pulmonary vasculature enlargement._x000D_
7.This result does not detect pulmonary soft tissue nodules.</t>
  </si>
  <si>
    <t>FORELIMBS/WHOLE-BODY (4 radiographs for review). No previous for comparison._x000D_
_x000D_
- Ill-defined coalescent gas opacities and soft-tissue thickening in the soft-tissues at the cranial aspect of the left distal brachial and elbow regions._x000D_
- The underlying bony structures are normal._x000D_
- The left shoulder joint, elbow joint, antebrachium and carpal region is normal._x000D_
- The included soft-tissue and osseous structures of the right thoracic limb are normal._x000D_
- Rounded soft-tissue opacity dorsal to the 3rd/4th sternal segments seen on the lateral projection is of limited assessment due to lack of additional lateral and partial inclusion on the VD image._x000D_
- Cardiac silhouette, pulmonary vasculature, pleural space normal._x000D_
- Moderate non-specific gastric soft-tissue opaque material._x000D_
- The small intestine contains mild multifocal gas and soft-tissue opaque material._x000D_
- The colon contains moderate desiccated fecal material. _x000D_
- The vertebral column, pelvis and proximal pelvic limbs and remaining included musculoskeletal structures are normal.</t>
  </si>
  <si>
    <t>1. Mild to moderate subcutaneous gas and soft-tissue thickening cranial to the left cubital joint. DDx secondary to trauma/penetrating injury with associated cellulitis +/- abscess. Consider focused physical examination of this region. No obvious embedded foreign material is identified. No evidence of underlying bony involvement (e.g. osteomyelitis, fracture)_x000D_
_x000D_
2. Possible sternal lymphadenopathy (limited assessment). If real, reactive etiologies (such as those draining the thoracic limb, pleural space/ribs or peritoneal cavity). For further assessment, thoracic CT might be considered. The node may be visible with sonographic assessment of the thorax._x000D_
_x000D_
3. Recent meal._x000D_
_x000D_
4. Mild constipation.</t>
  </si>
  <si>
    <t xml:space="preserve">
1.This result detects mild to moderate cardiomegaly._x000D_
2.This result does NOT detect pleural fissure lines._x000D_
3.This result detects a minimal to moderate bronchial pulmonary pattern._x000D_
4.This result detects a minimal to mild interstitial pulmonary pattern._x000D_
5.This result does NOT detect an alveolar pulmonary pattern. </t>
  </si>
  <si>
    <t>A three view thoracoabdominal study is provided for interpretation._x000D_
_x000D_
There is a mild diffuse bronchial pulmonary pattern. There is a small area of focal alveolar opacity in the ventral aspect of the right cranial lobe at the fifth intercostal space. No pleural effusion or thoracic lymph node enlargement is seen. The cardiovascular structures are within normal limits._x000D_
The stomach is mildly dilated with gas and soft tissue dense ingesta. Some of the gastric content has angular shapes. No intestinal abnormalities are seen. The other abdominal organs are within normal limits. No musculoskeletal abnormalities are identified.</t>
  </si>
  <si>
    <t>There is a mild bronchial pattern consistent with lower airway disease. Infectious vs. allergic causes or asthma should be ruled out._x000D_
_x000D_
There is a small focal area of alveolar opacity in the right cranial lobe. This is a subtle change so artifactual causes cannot be entirely excluded, but possible etiologies would also include focal pneumonia or pulmonary granuloma._x000D_
_x000D_
Some of the shapes seen associated with the gastric content are unusual, but this still likely represents food products. Foreign material should be ruled out with contrast gastrography after fasting of vomiting continues.</t>
  </si>
  <si>
    <t>CBC, heartworm testing, and Baermann fecal exam for lungworms is recommended._x000D_
_x000D_
CT would be ideal to verify whether abnormal pulmonary infiltrates are present in the right cranial lobe, since the radiographic appearance is subtle.</t>
  </si>
  <si>
    <t>Study:_x000D_
Thoracic/abdominal radiography: five images dated July 29,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mineral opaque calculi are present in the bladder or region of the urethra. Mild periarticular bone formation is present at the craniolateral margin of the acetabulum bilaterally. There is mild multifocal thoracolumbar and lumbosacral spondylosis deformans. There is severe bilateral stifle degenerative change. Suture material is present in the caudoventral abdominal body wall.</t>
  </si>
  <si>
    <t>1. Postprandial stomach=ZZ90= otherwise, unremarkable abdomen. Test negative for urocystolithiasis. Consider urinalysis plus/minus urine culture and abdominal sonography for further evaluation._x000D_
2. Normal thorax._x000D_
3. Severe bilateral stifle degenerative joint disease._x000D_
4. Mild bilateral coxofemoral osteoarthrosis.</t>
  </si>
  <si>
    <t>SKULL and THORAX (3 radiographs for review). No previous for comparison._x000D_
_x000D_
- The patient has a thin body condition._x000D_
- On the VD projection, a large section of the right mandibular body contains moth-eaten lysis and the tooth roots are indistinct. There is a small, ill-defined fissure in the rostroventral portion of the mandibular cortex near the base of the right mandibular canine tooth. Subjectively, there is moderate soft-tissue swelling around this region._x000D_
- Mild pulmonary hyperinflation._x000D_
- The cardiac silhouette, pulmonary vasculature, trachea, pleural space, mediastinum and remaining included intrathoracic structures are normal._x000D_
- The colon is distended with soft tissue and mineral opaque material and gas (limited assessment)._x000D_
- The stomach contains moderate heterogeneous gas stippled soft tissue opaque material and gas._x000D_
- The remaining cranial abdominal structures are normal.</t>
  </si>
  <si>
    <t>1. Suspected osteolysis of the right mandibular body, with small pathologic fracture of the cranioventral mandibular cortex. The lesion would be most concerning for neoplasia, such as mandibular squamous cell carcinoma. A tooth root abscess is also possible. I would recommend diagnostic sampling of the tissues around the region for cytologic/histopathologic interpretation as well as a contrast-enhanced head CT for further characterization._x000D_
_x000D_
2. Normal thorax with mild pulmonary hyperinflation. Negative examination for evidence of thoracic metastatic neoplasia._x000D_
_x000D_
3. The appearance of the colon can be compatible with colitis (limited assessment)._x000D_
_x000D_
4. Aerophagia and recent meal._x000D_
_x000D_
5. Thin body condition.</t>
  </si>
  <si>
    <t>Three orthogonal thoracic radiographs dated 29th July 2024 are available for review. There are no previous radiographs available for comparison. _x000D_
_x000D_
Airway findings: The cervical and thoracic trachea have a normal size, outline and position. The carina, tracheal bifurcation and mainstem bronchi are normal. There is a mild diffuse interstitial opacification of the lung parenchyma. The thorax is hypoinflated._x000D_
_x000D_
Cardiovascular findings: There is mild increased pericardial fat, causing mild border effacement. The overall cardiac silhouette is within normal limits for size. The pulmonary vasculature is normal. The mainstem vessels are normal._x000D_
_x000D_
Mediastinum and pleural space: There is mild increased ventral pleural fat._x000D_
_x000D_
Musculoskeletal findings: No significant abnormalities are detected._x000D_
_x000D_
Included abdomen: There is mild small intestinal dilation with some gas and fluid. Mild increased gas in the transverse colon is present.</t>
  </si>
  <si>
    <t>1. The mild interstitial opacification may be due to hypoinflation and body habitus. A mild viral pneumonia is possible. This needs to be correlated with respiratory findings.</t>
  </si>
  <si>
    <t>Exclude any GI disease. Correlate with any respiratory findings. If present, respiratory workup including CBC, serum chemistry, urinalysis, Baermann faecal testing, 4DX, +/- respiratory panel or fungal testing may be considered.</t>
  </si>
  <si>
    <t>Seven radiographs of the thorax/abdomen are provided. The cardiac silhouette is upper normal size. Pulmonary vessels are normal size. There are a few faint bronchial markings. Well delineated round soft tissue opaque 1.9 cm nodule in the right caudal lung lobe. No other soft tissue pulmonary nodules are appreciated. There is no pleural effusion or intrathoracic lymphadenomegaly. In the abdomen there is abundant peritoneal and retroperitoneal fat. The abdominal caudal vena cava is visible on the lateral views due to adjacent fat. Formed feces fills the colon. The stomach and small bowel are minimally filled. No severe intestinal distention or radiopaque foreign material. Small bowel reside predominantly in the right abdomen, an incidental feline variant. Ventral hepatic margins are smoothly irregular. The liver, spleen, and kidneys are normal size. No radiopaque cystic calculi.</t>
  </si>
  <si>
    <t>1. Solitary pulmonary nodule in the right caudal lung lobe. This is most consistent with neoplasia. Primary pulmonary neoplasia is the top differential. Metastatic disease from a distant site is next on the differential list. Faint bronchial markings in the remaining lungs is suggestive of chronic airway inflammation, and is of doubtful clinical significance today._x000D_
2. Smoothly irregular hepatic margins may be due to neoplasia versus small abscesses or benign cysts. No other intra-abdominal abnormalities.</t>
  </si>
  <si>
    <t>Further investigation of the liver with ultrasound could be considered. Since there is a known lung lesion, complete surgical resection of any intra-abdominal neoplasia is not possible. The lung nodule is not adjacent to the thoracic wall, therefore would not be visible with ultrasound for guided sampling purposes.</t>
  </si>
  <si>
    <t>Three radiographs of the thorax/abdomen are provided. The cardiac silhouette and pulmonary vessels are normal size in shape. There is a smoothly irregular, relatively thick-walled, ovoid, cavitary gas-filled 2.7 x 2.1 cm mass in the right caudal lung lobe. No other similar nodules or masses. Focal ovoid 3.0 x 1.1 cm cluster of stippled mineral densities dorsal to the cranial sternum on the lateral views, not definitively seen on the VD projection. There is also a small area of punctate mineral densities dorsal to the cervical trachea at the level of C2-3. Adequate tracheal diameter. In the abdomen there is no effusion. Normal-sized liver, kidneys, spleen. The gastrointestinal tract is mildly filled. No radiopaque cystic calculi.</t>
  </si>
  <si>
    <t>1. Cavitary mass in the right caudal lung lobe most consistent with neoplasia. Primary pulmonary neoplasia is most likely. Metastatic disease is next on the differential list. With the described persistent purulent nasal discharge and weight loss, nasal neoplasia is suspected. Rhinitis (fungal versus bacterial) is given secondary consideration._x000D_
2. Stippled mineral densities dorsal to the cranial sternum is most likely involving the sternal lymph node, and may be neoplastic versus chronic insult. Similar stippled densities in the cranial cervical region could be granulomas versus additional chronic lymph node insult._x000D_
3. Normal abdomen.</t>
  </si>
  <si>
    <t>Even if the pulmonary mass had substantial wall thickness ideal for sampling, the mass is not adjacent to the thoracic wall therefore would not be visible with ultrasound for guided sampling purposes.</t>
  </si>
  <si>
    <t xml:space="preserve">
1.This result does not detect pulmonary vasculature enlargement._x000D_
2.This result detects equivocal/borderline to mild cardiomegaly. _x000D_
3.This result detects a minimal to mild, or rarely moderate interstitial pulmonary pattern.  _x000D_
4.This result detects a minimal to mild, or rarely moderate bronchial pulmonary pattern._x000D_
5.Rarely, this result detects a minimal to mild alveolar pulmonary pattern._x000D_
6.This result does not detect pleural fissure lines/fluid.  </t>
  </si>
  <si>
    <t>Three orthogonal survey radiographs of the thorax and abdomen dated 29th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localised fat in the caudal ventral thorax, causing mild border effacement of the apex of the cardiac silhouette._x000D_
_x000D_
Abdomen: The hepatic silhouette is slightly prominent with rounded borders. The stomach contains granular food material with a mildly caudally displaced axis. The kidneys are partially obscured by gastrointestinal contents, but the visible aspect are normal. The small intestines are variably filled with a mixture of gas, fluid and soft tissue opaque material. The small intestines are mildly bunched, and there is mildly increased gas content. No segmental dilation is noted. No plication is seen. The descending colon contains formed faeces. The urinary bladder is small. The serosal detail is normal.</t>
  </si>
  <si>
    <t>1. The small intestinal findings may be post-prandial, however a mild diffuse enteropathy may be present due to infectious-inflammatory causes. A linear foreign body is considered unlikely, but is possible._x000D_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</si>
  <si>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Supportive management including rehydration, gastroprotectants,  full blood work,  if clinically indicated is advised, if not already performed. Repeat 3-view post fasting radiographs depending on clinical progression or consider an abdominal ultrasound.</t>
  </si>
  <si>
    <t xml:space="preserve">
1.This result detects a minimal or rarely mild interstitial pulmonary pattern.  _x000D_
2.This result detects a minimal to mild, or rarely moderate bronchial pulmonary pattern._x000D_
3.Rarely, this result detects a minimal alveolar pulmonary pattern._x000D_
4.This result does not detect pulmonary soft tissue nodules._x000D_
5.This result detects equivocal/borderline to mild cardiomegaly. _x000D_
6.This result does not detect pulmonary vasculature enlargement._x000D_
7.Rarely, this result detects minimal pleural fissure lines/fluid.  </t>
  </si>
  <si>
    <t xml:space="preserve">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or unlikely evolving neoplasia (metastatic/multicentric) or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especially if a mediastinal shift ipsilateral to the pattern is present), or unlikely bronchopneumonia, or evolving neoplasia or other. The primary differential diagnosis for minimal pleural fissure lines is tangential beam artifact.  Scant pleural fluid (such as from idiopathic or chylous effusions) is considered unlikely.   Differential diagnoses for equivocal cardiomegaly include: phase of the cardiopulmonary cycle, patient positioning/technique, individual variation of normal (especially in younger patients), or evolving cardiomyopathy (such as hypertrophic or thyrotoxic cardiomyopathy). </t>
  </si>
  <si>
    <t>THORAX (3 total radiographs for review). _x000D_
_x000D_
- Mild diffuse bronchial pulmonary pattern._x000D_
- Excessive pericardiac fat deposition gives the appearance of a prominent cardiac silhouette on the VD projection._x000D_
- The pulmonary vasculature is normal._x000D_
- The pulmonary parenchyma is normal_x000D_
- The trachea, esophagus and remainder of the mediastinum are normal._x000D_
- The pleural space and remaining intrathoracic structures are normal.  _x000D_
- The cranial abdominal structures are normal._x000D_
- Thin/ill-defined hypoplastic ribs originating from L1, particularly the left rib._x000D_
- The remaining musculoskeletal structures are normal.</t>
  </si>
  <si>
    <t>1. Mild diffuse bronchial pattern.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considered._x000D_
_x000D_
2.  Excessive pericardiac fat deposition causing a prominent appearance of the cardiac silhouette, less likely true cardiac disease.  Regardless, careful cardiac auscultation may be considered if not recently performed._x000D_
_x000D_
3.  Transitional L1 vertebral segment.</t>
  </si>
  <si>
    <t xml:space="preserve">
1.This result detects a minimal to mild interstitial pulmonary pattern.  _x000D_
2.This result detects a minimal to mild bronchial pulmonary pattern._x000D_
3.Rarely, this result detects a minimal alveolar pulmonary pattern._x000D_
4.This result detects equivocal/borderline to mild, or rarely moderate cardiomegaly. _x000D_
5.This result does not detect pulmonary vasculature enlargement._x000D_
6.This result does not detect pleural fissure lines/fluid.  </t>
  </si>
  <si>
    <t>Three orthogonal thoracic radiographs dated 28th July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mild interstitial opacification. The thorax is hypoinflated_x000D_
_x000D_
Cardiovascular findings: There is mild border effacement of the cardiac silhouette. The cardiac silhouette is slightly globoid in the lateral image. The ventrodorsal profile is normal. The cranial pulmonary vessels are prominent, but within upper normal limits._x000D_
_x000D_
Mediastinum and pleural space: No significant abnormalities are detected._x000D_
_x000D_
Musculoskeletal findings: No significant abnormalities are detected._x000D_
_x000D_
Included abdomen: No significant abnormalities are detected.</t>
  </si>
  <si>
    <t>1. Mild diffuse interstitial opacification: In light of clinical signs, viral pneumonia is prioritised. Cardiogenic pulmonary oedema is considered unlikely, but cannot be excluded. Opacification due to hypoinflation is possible. Non-cardiogenic pulmonary oedema, eosinophilic bronchopneumopathy, smoke inhalation, other is considered less likely._x000D_
2. The cardiac silhouette is most likely normal, however a congenital abnormality not causing cardiomegaly is possible.</t>
  </si>
  <si>
    <t>Correlate with clinical signs. If a cardiac murmur is present, consider ECG, blood pressure measurements and echocardiography. Alternatively, empiric management for viral pneumonia and repeat radiographs is advised.</t>
  </si>
  <si>
    <t xml:space="preserve">Patient Name : Cleo Alnazer, Date of study: Jul 28, 2024
5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equivocal tall in the lateral images.  The cardiac silhouette is slightly wide in the initial ventrodorsal image  but this is less well-identified in the alternate image.  
Mediastinum: The cranial mediastinum is normal.
Trachea: The trachea is normal.
Esophagus: The esophagus contains minimal gas or is empty.
Pleural space: The pleural space is normal.
Musculoskeletal: The included musculoskeletal structures are normal.
</t>
  </si>
  <si>
    <t>1. Minimal to mild diffuse bronchial pulmonary pattern such as from infectious/immune-mediated lower airway disease (feline asthma, mycoplasma spp., bordetella spp., parasitism such as lung worms, or inhaled allergen/irritant), or fibrosis from prior disease, age-related changes, or unlikely other.
2. Equivocal cardiomegaly versus artifact from young age of this patient and/or positioning/technique or phase of the cardiopulmonary cycle.
- If present, differential diagnoses include atrial/ventricular septal defect or unlikely other.
- There is no current evidence of cardiogenic pulmonary edema.</t>
  </si>
  <si>
    <t>Consider routine blood work, respiratory PCR panel, airway sampling, and fecal analysis/deworming for further evaluation of the lower airway disease such as feline asthma.  Consider echocardiography, ECG and blood pressure for further evaluation, especially if a murmur is identified on examination.  Empirical therapy and supportive care for cough in the interim as needed.  Monitoring as directed or sooner if clinical signs acutely change, fail to improve or worsen.</t>
  </si>
  <si>
    <t xml:space="preserve">
1.This result detects equivocal/borderline to moderate cardiomegaly._x000D_
2.This result detects a minimal to moderate bronchial pulmonary pattern._x000D_
3.This result detects a minimal to mild interstitial pulmonary pattern._x000D_
4.This result does NOT detect an alveolar pulmonary pattern._x000D_
5.This result does NOT detect pleural fissure lines.</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</si>
  <si>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</si>
  <si>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thorax without signs of cardiomegaly (this does not exclude a cardiomyopathy or hypovolemia)._x000D_
2) Unremarkable abdomen.</t>
  </si>
  <si>
    <t>Given the lack of cardiomegaly but audible murmur, consider CBC and a cardiology consultation with ECG and echocardiogram.</t>
  </si>
  <si>
    <t>Study:_x000D_
Thoracic, pelvic and pelvic limb radiography:_x000D_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included thorax is normal. There is mild T 11-T 12 spondylosis deformans. There is severe moth-eaten lysis of the distal metaphyseal region of the left femur extending proximally into the distal diaphysis with a long and indistinct zone of transition. There is marked cortical thinning in this region. A mild amount of irregular periosteal new bone formation is present in this region. There is also a Codman=ZZ91=s triangle along the caudal cortex of the distal left femoral diaphysis. There is severe soft tissue swelling surrounding the left distal femur. The ipsilateral popliteal lymph node appears normal in size. There is severe left pelvic limb muscle atrophy.</t>
  </si>
  <si>
    <t>1. Left distal femoral aggressive osseous disease. A primary bone tumor (osteosarcoma) is prioritized. Fungal osteomyelitis cannot be excluded. Consider biopsy of the soft tissue component of the lesion._x000D_
2. Normal thorax. There is no evidence of pulmonary metastatic disease.</t>
  </si>
  <si>
    <t xml:space="preserve">
1.This result detects equivocal/borderline to mild cardiomegaly. _x000D_
2.This result does not detect pulmonary vasculature enlargement._x000D_
3.This result does not detect pleural fissure lines/fluid.  _x000D_
4.This result detects a minimal to mild, or rarely moderate interstitial pulmonary pattern.  _x000D_
5.This result detects a minimal to mild, or rarely moderate bronchial pulmonary pattern._x000D_
6.Rarely, this result detects a minimal to mild alveolar pulmonary pattern.</t>
  </si>
  <si>
    <t xml:space="preserve">Patient Name : Junie Jean, Date of study: Jul 26, 2024
3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generally enlarged and tall in the lateral images. The cardiac silhouette is subjectively rounded in the ventrodorsal image.
Mediastinum: The cranial mediastinum is normal.
Trachea: The trachea is normal.
Esophagus: The esophagus is not well-identified.
Pleural space: The pleural space is normal.
Musculoskeletal: The included musculoskeletal structures are normal.
</t>
  </si>
  <si>
    <t>1. Generalized cardiomegaly or unlikely artifact from phase of the cardiopulmonary cycle/patient positioning.  
- Differential diagnoses include congenital anomaly given patients young age such as from atrial/ventricular septal defect, or unlikely mitral valvular dysplasia or other.  
2. Minimal to mild diffuse bronchial pulmonary pattern such as from infectious/immune-mediated lower airway disease (mycoplasma spp., bordetella spp., parasitism such as lung worms, or inhaled allergen/irritant), or less likely other.
3. There is no current evidence of cardiogenic pulmonary edema.</t>
  </si>
  <si>
    <t>Echocardiography, ECG and blood pressure for further evaluation, especially if a murmur is later identified.  Routine blood work if not recently performed.  Consider computed tomography of the head for further evaluation of reported nasal discharge and intermittent epistaxis, as well as rhinoscopy/tissue sampling depending on results.  Monitoring as directed or sooner if clinical signs acutely change, fail to improve or worsen.</t>
  </si>
  <si>
    <t xml:space="preserve">
1.This result detects equivocal/borderline to mild cardiomegaly. _x000D_
2.This result detects a minimal or rarely mild interstitial pulmonary pattern.  _x000D_
3.This result detects a minimal to mild, or rarely moderate bronchial pulmonary pattern._x000D_
4.Rarely, this result detects a minimal alveolar pulmonary pattern._x000D_
5.This result does not detect pulmonary soft tissue nodules._x000D_
6.This result does not detect pulmonary vasculature enlargement._x000D_
7.Rarely, this result detects minimal pleural fissure lines/fluid.  </t>
  </si>
  <si>
    <t>Study:_x000D_
Thoracic/abdominal radiography: four images dated July 26, 2024_x000D_
_x000D_
Findings:_x000D_
The cardiac silhouette and pulmonary vasculature are normal in size. There is a moderate generalized bronchial palmar a pattern. The pleural space is normal. There is no intrathoracic lymphadenopathy. The trachea is normal in diameter and course. The stomach contains a small amount of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t>
  </si>
  <si>
    <t>1. The generalized bronchial pulmonary pattern may indicate allergic/inflammatory bronchitis (asthma). Infectious, parasitic and irritant bronchitis are also possible. Airway sampling, heartworm testing and Baermann fecal flotation can be considered for further evaluation if clinically relevant._x000D_
2. Unremarkable abdomen.</t>
  </si>
  <si>
    <t>The suspected lower airway disease may be unrelated to the reported nasal discharge. Infectious respiratory disease PCR testing, computed tomography head and rhinoscopy can be considered for further evaluation of the reported nasal discharge.</t>
  </si>
  <si>
    <t xml:space="preserve">Patient Name : Gilligan Payne, Date of study: Jul 26, 2024
3 images are provided for review
Feline Thorax (3 Images) - 1 Vd, 2 Lateral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admixed with gas,  Minimal granular mineral is admixed with gastric contents.   The stomach is within normal limits for size.
The small intestine contains mild to moderate fluid or is empty with a subjectively uniform population for size.   Mild granular mineral is admixed with intestinal contents.  
The colon contains minimal heterogeneous soft tissue material and gas.  The colon is within normal limits for size.  
Musculoskeletal: The included musculoskeletal structures are normal.
</t>
  </si>
  <si>
    <t xml:space="preserve">1. Minimal-mild diffuse bronchial pulmonary pattern such as from infectious/immune-mediated lower airway disease (feline asthma, mycoplasma spp., bordetella spp., parasitism, or unlikely other), inhaled allergen/irritant, fibrosis from prior disease, age-related changes, or unlikely other.
2. Gastric material due to recent meal and/or gastritis/delayed gastric emptying, or unlikely pyloric outflow tract obstruction given lack of vomiting in reported history.
3.Non-specific small intestinal and colon appearance due to variation of normal or enteritis/colitis.
- There is no current evidence of gastrointestinal mechanical ileus.
- Differential diagnoses include dietary indiscretion (such as from granular mineral material), toxin ingestion, diet/antibiotic responsive disease, inflammatory bowel disease, pancreatitis, occult systemic disease or unlikely other.
</t>
  </si>
  <si>
    <t>Consider routine blood work for further evaluation.  Dietary indiscretion and trauma to the tongue may be etiology of reported signs.  Repeat abdominal imaging in 8-12 hours after fasting and empirical therapy to monitor for passage of the gastric and intestinal material.  Empirical therapy and supportive care as needed in the interim.  Monitoring as directed or sooner if clinical signs acutely change, fail to improve or worsen.</t>
  </si>
  <si>
    <t xml:space="preserve">Three view orthogonal radiographs (3 images) of the thorax and cranial abdomen dated July 26, 2024, are available for interpretation. No prior images are available for comparison.
The cat was not sedated. The cat is overweight.
Neck:
The nasopharynx is mildly gas distended and there is caudal retraction to the larynx on the left lateral image. The nasopharynx is not included on the right lateral image.
Thorax:
Airway/pulmonary: No pulmonary nodules are noted. The lungs are hyperinflated on all projections and on the VD projection, the lung parenchyma in the mid thorax is more lucent bilaterally and caudally has a mild interstitial pattern centered around the larger vessels. 
Cardiovascular: The cardiac silhouette is minimally enlarged in addition to mild pericardial fat. On the lateral projections, the aortic root and pulmonary vasculature are mildly distended centrally. Vessel tapering is present in the periphery. On the VD projection, the pulmonary vasculature to the cranial and caudal lung lobes is mildly enlarged while the pulmonary vasculature in the mid thorax is poorly visualized. 
Mediastinum: Normal.
Pleural space: No pleural fluid or pneumothorax noted.
Cranial abdomen: The liver is within the costal arch. The stomach contains a minimal quantity of gas. The cranial abdominal detail is normal.
Msk: Bilateral osteophytosis affects both elbows. On the VD projection, smooth enlargement affects the caudal ribs compatible with healed fractures. The cat is obese. </t>
  </si>
  <si>
    <t xml:space="preserve">1) Minimal cardiomegaly. Based on the VD projection, pulmonary artery obstruction affecting the right middle and caudal segment of the left cranial lung lobe is likely resulting in overcirculation to the remaining lungs. 
2) Enlarged caudal pulmonary vasculature and interstitial pattern affecting the caudal lung lobes on the VD projection. Overcirculation edema is the primary consideration. 
3) Pulmonary hyperinflation on all projections. DDx: compensatory hyperinflation secondary to V/Q mismatch due to pulmonary artery obstruction vs. partial upper airway obstruction at the time of this study vs. less likely, acute bronchoconstriction. 
4) Bilateral elbow arthritis. Healed rib fractures. </t>
  </si>
  <si>
    <t xml:space="preserve">See same day cardiac ultrasound report for further evaluation. Oxygen therapy as needed. Monitor for progression to suspected overcirculation edema. Pulse oxygenation status and/or blood gas. Assess for feline heartworm disease causing pulmonary artery obstruction. Thoracic CT with contrast to confirm suspected pulmonary artery obstruction. </t>
  </si>
  <si>
    <t xml:space="preserve">
1.Rarely, this result detects minimal pleural fissure lines/fluid._x000D_
2.This result detects a  minimal to mild interstitial pulmonary pattern._x000D_
3.This result does NOT detect an alveolar pulmonary pattern. _x000D_
4.This result detects equivocal/borderline to moderate cardiomegaly._x000D_
5.This result detects a minimal or mild bronchial pulmonary pattern.</t>
  </si>
  <si>
    <t>Study:_x000D_
Thoracic/abdominal radiography: three images dated July 25, 2024_x000D_
_x000D_
Findings:_x000D_
The cardiac silhouette and pulmonary vasculature are normal in size. There is incidental platelike atelectasis in the craniodorsal lung field on the right lateral view. The pulmonary parenchyma is otherwise unremarkable. No pulmonary nodules or masses are present. The pleural space is normal. There is no intrathoracic lymphadenopathy. The trachea is normal in diameter and course. The stomach contains unstructured heterogeneous soft tissue material presumed to be ingesta with interspersed granular mineral. The small intestines are normal in size, course and content. The colon contains formed fecal material. The liver and spleen are normal in size and margin. The kidneys are normal in size and contour. The urinary bladder is normal in size and opacity. There is no uterine dilation. The osseous structures are unremarkable. Numerous indistinct soft tissue opaque nodules are scattered throughout the ventral abdominal subcutaneous tissues. There are large lobulated subcutaneous masses in the inguinal region. There is mild multifocal thoracic intervertebral disc space narrowing and spondylosis deformans.</t>
  </si>
  <si>
    <t>1. Unremarkable thorax. There is no radiographic evidence of pulmonary metastatic disease. _x000D_
2. Unremarkable abdomen. Consider abdominal sonography for further evaluation._x000D_
3. Mammary masses. Rule out carcinoma or adenoma. The larger lobulated masses in the inguinal region are concerning for inguinal lymphadenopathy. Consider tissue sampling for further evaluation.</t>
  </si>
  <si>
    <t>Orthogonal views of the thorax are provided:_x000D_
_x000D_
Thorax:_x000D_
_x000D_
There is moderate to severe left atrium enlargement that dorsally displaces the carina, protruding in the VD view producing an overall severe cardiomegaly._x000D_
The pulmonary arteries and veins are mildly enlarged._x000D_
There is a generalized peri-bronchial cuffing pattern._x000D_
A very small volume of bilateral pleural effusion is observed retracting the costo-phrenic angles in the VD view._x000D_
Normal mediastinum, diaphragm and thoracic wall.</t>
  </si>
  <si>
    <t>1) Findings consistent with early LSCHF secondary most likely due to primary cardiomyopathy (HCM vs RCM vs UCM) vs secondary cardiomyopathy due to hyperthyroidism is unlikely.</t>
  </si>
  <si>
    <t>Consider oxygen supplementation, pro bnp, BP and lasix trial (prior evaluation of the renal function) with recheck radiographs in 12 hours (or sooner if clinically indicated) to re-evaluate and to monitor the response to treatment. Consider a cardiology consultation with ECG and echocardiogram once the patient is stable.</t>
  </si>
  <si>
    <t xml:space="preserve">
1.This result detects a minimal to severe bronchial pulmonary pattern._x000D_
2.This result detects a minimal to mild interstitial pulmonary pattern._x000D_
3.This result does NOT detect an alveolar pulmonary pattern._x000D_
4.This result detects equivocal/borderline to moderate cardiomegaly._x000D_
5.Rarely, this result detects minimal pleural fissure lines/fluid. </t>
  </si>
  <si>
    <t>For patients with respiratory clinical signs, differential diagnoses mixed bronchial and interstitial pulmonary patterns include: evolving left-sided congestive heart failure,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Differential diagnoses for pleural fissure lines include: tangential beam artifact, pleural thickening/folding, or evovling fluid such as from congestive heart failure, chylous effusion, idiopathic, or rarely hemorrhage (especially if history of trauma), secondary to FIP or other systemic infection/inflammation, or unlikely other.</t>
  </si>
  <si>
    <t xml:space="preserve">
If the patient is dyspneic or if dyspnea acutely manifests, consider oxygen therapy, diuretic therapy and monitoring for clinical improvement.  Repeat thoracic radiographs in 4-6 hours to monitor for improvement of radiographic changes._x000D_
Consider cardiologist consultation, echocardiography. ECG and blood pressure._x000D_
Prior to diuretic therapy, consider routine blood work, urine collection (if possible), and thyroid function testing if not recently performed, especially for mature or older patients._x000D_
If minimal or mild respiratory clinical signs (e.g. coughing) are present, consider empirical therapy and supportive care for infectious and/or immune-mediated lower airway disease in the interim.  Consider also airway sampling, fecal analysis/empirical deworming, and respiratory PCR panel._x000D_
If your clinical impression of this patient does not match the content of this result, consider submitting the radiographs for a formal radiologist report._x000D_
Looking for more information &lt;a href=https://platform.v2.vetology.net/doc/feline-cardiomyopathies-I  target=_blank rel=noopener noreferrer&gt;about feline heart disease?&lt;/a&gt;</t>
  </si>
  <si>
    <t>Orthogonal views of the thorax and abdomen are provided:_x000D_
_x000D_
Thorax:_x000D_
_x000D_
Cardiac silhouette has a normal shape and size._x000D_
Pulmonary vessels are within normal limits of size and shape._x000D_
Pulmonary parenchyma shows a generalized subtle bronchial pattern. _x000D_
Pleural space, mediastinum, diaphragm and thoracic wall within normal limits._x000D_
_x000D_
Abdomen:_x000D_
_x000D_
The stomach contains some food._x000D_
Small intestines are mildly gas and fluid filled, not overtly distended. _x000D_
Unformed feces in the colon._x000D_
Serosal detail is preserved._x000D_
Liver and spleen are within normal limits of size and smoothly marginated._x000D_
Kidneys and urinary bladder WNL.</t>
  </si>
  <si>
    <t>1) Generalized subtle bronchial pattern is compatible with a chronic lower airway disease such as asthma vs feline chronic bronchitis vs bronchitis of parasitic origin._x000D_
2) Unremarkable abdomen.</t>
  </si>
  <si>
    <t>Consider a bronchoscopy with BAL, culture, cytology and Baermann test with deworming vs empirical treatment for asthma and deworming._x000D_
Abdominal US if necessary to further evaluate the soft stools.</t>
  </si>
  <si>
    <t xml:space="preserve">
1.This result detects a minimal to mild interstitial pulmonary pattern._x000D_
2.This result does NOT detect  an alveolar pulmonary pattern._x000D_
3.This result does NOT detect soft tissue pulmonary nodules.  _x000D_
4.This result does NOT detect pleural fissure lines. _x000D_
5.This result detects mild to moderate cardiomegaly._x000D_
6.This result detects a minimal to mild bronchial pulmonary pattern.</t>
  </si>
  <si>
    <t>Study:_x000D_
Thoracic/abdominal radiography: four images dated July 25,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heterogeneous/granular soft tissue material. Some small intestinal segments contain a small amount of smoothly marginated fragmented gas. The small intestines are normal in size and course. The colon contains formed fecal material. The liver and spleen are normal in size and margin. The kidneys are normal in size and contour. The left lobe of the pancreas is visualized between the spleen/left kidney on the VD views and appears normal in thickness. The urinary bladder is normal in size and opacity. The 13th ribs are hypoplastic.. The patient is of overweight body condition.</t>
  </si>
  <si>
    <t>1. Gastric contents likely represent ingesta. Foreign material cannot be completely excluded. The smoothly marginated fragmented gas pattern seen in some small intestinal segments can be an indicator of nonspecific enteritis. There is no evidence of small intestinal mechanical obstruction. Repeat fasted radiography can be considered to ensure gastric emptying. Alternatively, sonography can be considered if clinical signs persist or worsen in spite of medical management._x000D_
2. Normal thorax.</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</si>
  <si>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small volume of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t>
  </si>
  <si>
    <t>Consultate with the clinician in charge of the case the benefit of an empirical treatment for asthma or chronic bronchitis evaluating response to treatment. If clinical signs persist, consider a bronchoscopy with BAL, culture, cytology, Baermann test and deworming._x000D_
Consider abdominal US to further evaluate causes of vomition.</t>
  </si>
  <si>
    <t>Study:_x000D_
Thoracic radiography: three images dated July 25, 2024_x000D_
_x000D_
Findings:_x000D_
There is incidental cranioventral rotation the cardiac silhouette and redundancy of the aorta.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presumed to be ingesta. There is mild T 11-T 12 spondylosis deformans.</t>
  </si>
  <si>
    <t>The mild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t>
  </si>
  <si>
    <t>Study:_x000D_
Thoracic radiography: four images dated July 24, 2024_x000D_
_x000D_
Findings:_x000D_
There is mild generalized cardiomegaly (VHS approximately 8.5). The pulmonary vasculature is normal in size. The pulmonary parenchyma is unremarkable. The pleural space is normal. There is no intrathoracic lymphadenopathy. The trachea is normal in diameter. The stomach contains unstructured heterogeneous soft tissue material presumed to be ingesta. There is a 1 cm =ZZ92=egg shelled=ZZ92= mineral opaque structure in the fat of the ventral abdomen consistent with an incidental Bates bodies (nodular fat necrosis). On the lateral projections, there punctate mineral foci in the overlapping kidneys. There is mild T8-T9 and T9-T 10 spondylosis deformans. The patient is of obese body condition._x000D_
_x000D_
A human digit is present in the primary beam on the right lateral projection.</t>
  </si>
  <si>
    <t>1. Mild generalized cardiomegaly without evidence of decompensation. Consider thyrotoxic or hypertrophic cardiomyopathy. Echocardiography can be considered for further evaluation._x000D_
2. Nephrolithiasis and/or nephrocalcinosis (laterality indeterminate)._x000D_
3. Incidental Bates body.</t>
  </si>
  <si>
    <t xml:space="preserve">Patient Name : Lucky Pfeifer, Date of study: Jul 24,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fluid and gas.  The stomach is within normal limits for size.   Gas is in the pylorus in the left lateral image.
The small intestine contains moderate fluid or is empty with a subjectively uniform population for size. 
The colon contains mild heterogeneous soft tissue material and gas.  The colon is within normal limits for size.  
Musculoskeletal: The included musculoskeletal structures are normal.
</t>
  </si>
  <si>
    <t xml:space="preserve">1. Non-specific gastrointestinal tract appearance such as from enteritis, colitis, or less likely individual variation of normal given reported clinical signs
- No current evidence of small intestinal mechanical ileus.  
- Differential diagnoses include dietary indiscretion, toxin ingestion, diet/antibiotic responsive disease, inflammatory bowel disease, pancreatitis, occult systemic disease or unlikely other.
</t>
  </si>
  <si>
    <t>Empirical therapy and supportive care in the interim as needed.  Repeat radiographs or consider ultrasonography and routine blood work if clinical signs fail to improve change or worsen.  Monitoring with routine blood work and abdominal imaging if signs fail to improve or worsen.</t>
  </si>
  <si>
    <t>PELVIS/HINDLIMBS and THORAX (4 radiographs for review). _x000D_
_x000D_
- Asymmetric lumbosacral transitional vertebral segment, characterized by partial fusion of the right transverse process of the caudal most lumbar vertebral segment to the wing of the right ilium._x000D_
- Sacroiliac joints normal._x000D_
- Coxofemoral joints normal._x000D_
- Bilateral moderate to severe pelvic limb muscle atrophy, more notable on the right._x000D_
- Bilaterally, there is severe, lobular osseous formation within and along the margins of the stifle joint capsules with periarticular osteophyte formation along the joint margins and increased soft tissue opacity in the joint capsules._x000D_
- Mild bilateral periarticular osteophyte and enthesophyte formation along the margins of the tarsi._x000D_
- Distal limb region unremarkable._x000D_
- Cardiac silhouette is prominent, however no distinct chamber enlargement is noted.  The pulmonary vasculature is normal._x000D_
- Left-sided mediastinal shift._x000D_
- The pulmonary parenchyma is normal._x000D_
- Trachea, pleural space and remaining included intrathoracic structures normal._x000D_
- The included cranial abdominal structures are normal.</t>
  </si>
  <si>
    <t>1.  The changes seen at both stifle joints likely reflect synovial osteochondromatosis, which is a benign degenerative disease typically secondary to severe, chronic, longstanding stifle osteoarthritis, which in this case may be from prior/chronic stifle injury. Concurrent damage to the cruciate ligaments and/or menisci are possible.  Septic arthritis is also possible, but less likely.  Neoplasia is least likely.  I would recommend considering consultation with an orthopedic and/or sports medicine/rehabilitation specialist due to the chronicity of these changes, and if able, diagnostic synoviocentesis may help guide therapy._x000D_
_x000D_
2.  Mild bilateral tarsal osteoarthritis._x000D_
_x000D_
3.  Lumbosacral transitional vertebral segment._x000D_
_x000D_
4.  Prominent appearance of the cardiac silhouette may be a normal patient variant however cardiomyopathy (e.g. hypertrophic, restrictive) is not excluded.  I would recommend considering careful cardiac auscultation and if a murmur is present echocardiogram, ECG and cardiologist consultation for further assessment._x000D_
_x000D_
5.  Likely recumbency associated left-sided pulmonary atelectasis.</t>
  </si>
  <si>
    <t xml:space="preserve">
1.This result detects a minimal to mild interstitial pulmonary pattern._x000D_
2.This result detects a minimal to mild bronchial pulmonary pattern._x000D_
3.This result does NOT detect an alveolar pulmonary pattern. _x000D_
4.This result detects equivocal/borderline cardiomegaly._x000D_
5.Rarely, this result detects minimal pleural fissure lines/fluid.</t>
  </si>
  <si>
    <t>Study:_x000D_
Thoracic/abdominal radiography: three images dated July 24, 2024_x000D_
_x000D_
Findings:_x000D_
The cardiac silhouette and pulmonary vasculature are normal in size. There is a mild generalized bronchial pulmonary pattern.. The pleural space is normal. There is no intrathoracic lymphadenopathy. The larynx is normal. The trachea is normal in diameter and course. The stomach contains unstructured heterogeneous soft tissue material presumed to be ingesta. There is a fragmented gas pattern in the small intestines. The small intestines are normal in size and course. The colon contains formed fecal material. The liver and spleen are normal in size and margin. The kidneys are normal in size and contour. The urinary bladder is normal in size and opacity. Suture material is present in the caudoventral abdominal body wall. There is mild to moderate multifocal cervical and thoracolumbar spondylosis deformans. The patient is of overweight body condition.</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</si>
  <si>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The smoothly marginated fragmented gas pattern seen in the small intestines can be an indicator of nonspecific enteritis. There is no evidence of small intestinal mechanical obstruction. Abdominal sonography can be considered for further evaluation if the reported vomiting persists or worsens in spite of medical management.</t>
  </si>
  <si>
    <t xml:space="preserve">
1.This result does not detect pulmonary vasculature enlargement._x000D_
2.This result detects equivocal/borderline to mild cardiomegaly. _x000D_
3.This result detects a minimal to mild, or rarely moderate bronchial pulmonary pattern._x000D_
4.This result detects a minimal or rarely mild interstitial pulmonary pattern.  _x000D_
5.Rarely, this result detects a minimal alveolar pulmonary pattern._x000D_
6.This result does not detect pulmonary soft tissue nodules._x000D_
7.Rarely, this result detects minimal pleural fissure lines/fluid.  </t>
  </si>
  <si>
    <t>A three-view thoracoabdominal study is provided for interpretation._x000D_
_x000D_
The heart appears slightly enlarged. Pulmonary vessels are normal. There is a mild bronchial pattern. No tracheal abdomen always identified._x000D_
Small intestinal gas is moderately increased. No dilation or plication the intestine is seen. There is normal appearing ingesta in the stomach. The abdominal organs are within normal size and shape limits. Serosal detail is normal.</t>
  </si>
  <si>
    <t>There is a mild bronchial pattern. The appearance would be compatible with chronic lower airway disease or low-grade bronchitis. Considering the chronic history, asthma would be most likely._x000D_
_x000D_
The heart appears slightly enlarged. This is suspected to be partly artifactual due to excess pericardial fat. Overall the appearance is equivocal. Further investigation such as echocardiography could be considered if auscultable abnormalities such as a heart murmur or arrhythmia are present.</t>
  </si>
  <si>
    <t>Asthma is suspected. Symptomatic therapy is recommended as needed.</t>
  </si>
  <si>
    <t xml:space="preserve">
1.Rarely, this result detects minimal pleural fissure lines/fluid._x000D_
2.This result detects a minimal, or rarely mild interstitial pulmonary pattern._x000D_
3.This result detects a minimal to moderate bronchial pulmonary pattern._x000D_
4.This result does NOT detect an alveolar pulmonary pattern._x000D_
5.This result detects equivocal/borderline cardiomegaly.</t>
  </si>
  <si>
    <t>27 films comprising multiple survey films of the torso and multiple films of the head, neck, and torso after a barium upper GI are submitted for review._x000D_
Survey films: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Mild amount of gas is noted in the stomach and small bowel.  No dilated or plicated loops of bowel are seen.  Formed stool is noted in the colon.  The liver and spleen are normal in size, shape, and margination.  The bilateral renal silhouettes are within normal limits.  The urinary bladder is unremarkable.  Serosal detail is normal._x000D_
_x000D_
Barium study: Initially, abnormal barium is noted in the stomach with a trace amount of the esophagus.  Additionally, a scant amount of barium pill aspect of the trachea, consistent with scant aspiration.  Barium moves through the small intestine without evidence of obstruction.  The small intestinal walls appear subjectively normal.  The barium eventually enters the colon and is completely emptied from the stomach and small bowel.  No time stamps are noted on the individual images, precluding assessment of GI transit time._x000D_
In the skull, no abnormalities are seen in the frontal or nasal sinuses.  Mild amount of variable lines the hard and soft palate in the oral cavity.  The temporomandibular joints and tympanic bullae appear within normal limits.</t>
  </si>
  <si>
    <t>Radiographically normal survey films of the thorax and abdomen.  No evidence of mechanical obstruction of the GI tract is seen.  Nonspecific gastroenteritis could be considered._x000D_
Incidental finding of trace amount of barium aspiration of doubtful clinical significance.</t>
  </si>
  <si>
    <t>Symptomatic/supportive medical management may be helpful.  If clinical signs persist, an abdominal ultrasound could be considered.</t>
  </si>
  <si>
    <t xml:space="preserve">Patient Name : Roux Hennosy, Date of study: Jul 22, 2024
2 images are provided for review
Feline Thorax (2 Images) - 1 Lateral, 1 Vd
Previous images dated [07/22/2024 Case#2716278] are available for comparison and are identical images.
Pulmonary parenchyma: A minimal to mild diffuse bronchial pattern is present, more severe in the ventrodorsal image.  
Pulmonary vasculature: The pulmonary vasculature is subjectively normal in size and tapers in the periphery of the lungs.
Cardiac silhouette: The cardiac silhouette is mildly generally enlarged and rounded.
Mediastinum: The cranial mediastinum is normal.
Trachea: The trachea is normal.
Esophagus: The esophagus is not well-identified.
Pleural space: The pleural space is normal.
Musculoskeletal: The included musculoskeletal structures are normal.
</t>
  </si>
  <si>
    <t>1. Mild generalized cardiomegaly such as from hypertrophic or thyrotoxic cardiomyopathy, or unlikely other.
- There is no current evidence of left-sided congestive heart failure.  
2. Minimal-mild diffuse bronchial pulmonary pattern.
- Differential diagnoses include infectious/immune-mediated lower airway disease (mycoplasma spp., bordetella spp., parasitism such as lung worms, or inhaled allergen/irritant), fibrosis from prior disease, age-related changes, or unlikely other.</t>
  </si>
  <si>
    <t>Echocardiography, ECG and blood pressure for further evaluation, as well as routine blood work thyroid function testing, and urinalysis if not recently performed.  Empirical therapy and supportive care for possible inhaled irritant in the interim as needed given reported history.  Monitoring as directed, or sooner if clinical signs acutely change, fail to improve or worsen.</t>
  </si>
  <si>
    <t xml:space="preserve">Patient Name : Dolly Kitty Blazevich, Date of study: Jul 24, 2024
6 images are provided for review
There are no previous radiographs for comparison.
Liver: The liver is subjectively normal in size.
Spleen: The spleen is normal in size with smooth margins and homogeneous soft tissue.
Kidneys: The renal margins are mildly undulant on the right and moderately undulant/focally concave on the left.  The kidneys are within limits for size.  Persistent mineral is over the center of the left kidney.
Retroperitoneum: Retroperitoneal detail is adequate.
Urogenital: The urinary bladder is normal in size, homogeneous soft tissue, and smoothly marginated.
Peritoneum: Peritoneal detail is adequate.
Gastrointestinal tract: The stomach contains a mild to moderate volume of gas and fluid or is empty.  The stomach is within normal limits for size.  
The small intestine contains mild fluid or is empty with a subjectively uniform population for size. 
The colon contains moderate gas and mild well-defined soft tissue material.  The colon is within normal limits for size.  The colon wall is mildly spastic.
Positive contrast gastroenterography:  In the suspected immediate post-contrast administration images, a mild to moderate volume of positive contrast is admixed with gastric contents.  Mild contrast material is in the descending duodenum and presumed the caudal duodenal flexure.  Gas and contrast material well-define the margins of the pylorus in the left lateral images.  
Musculoskeletal: Spondylosis deformans is present at L6-7 and L7-S1.  The remaining included musculoskeletal structures are normal.
</t>
  </si>
  <si>
    <t xml:space="preserve">1. Non-specific gastrointestinal tract appearance such as from enteritis, colitis, or unlikely individual variation of normal given reported history.
- There is no evidence of small intestinal mechanical ileus.
2. No evidence of pyloric outflow tract obstruction.
3. Moderate left and mild right chronic renal disease with left-sided nephrolith.
</t>
  </si>
  <si>
    <t xml:space="preserve">Consider GI panel, fecal analysis/deworming, urinalysis, urine culture/sensitivity testing, SDMA and routine blood work for further evaluation if not recently performed.  Consider additional imagines to complete positive-contrast gastroenterography.  Empirical therapy and supportive care in the interim as needed.  Monitoring with abdominal radiographs if signs fail to improve or worsen in the face of empirical therapy. </t>
  </si>
  <si>
    <t xml:space="preserve">Patient Name : Diego Herman, Date of study: Jul 23, 2024
4 images are provided for review
Previous images dated May 20, 2024 and prior are available.  
Bones/Joints:
A dens is present.  There is no evidence of atlantoaxial joint subluxation.  Specifically the vertebral body of T1 is normal without obvious osteolysis or fracture/luxation. There are 13 pairs of ribs.  There are only six vertebrae without ribs.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soft tissues are normal.
</t>
  </si>
  <si>
    <t xml:space="preserve">1. Normal T1 vertebra.
2. Vertebral anomaly with only six lumbar vertebrae.
3. No obvious evidence of intervertebral disc disease or osteolysis/aggressive bone lesion in this examination.  </t>
  </si>
  <si>
    <t>Etiology of the reported clinical signs is not definitively identified.  Consider computed tomography versus MRi of the head/face and thoracolumbar spine for further evaluation of occult disease.  Empirical therapy and supportive care in the interim as needed.  Monitoring as directed, or sooner if clinical signs acutely change, fail to improve or worsen.</t>
  </si>
  <si>
    <t xml:space="preserve">
1.This result detects equivocal/borderline to mild cardiomegaly. _x000D_
2.This result does not detect pulmonary vasculature enlargement._x000D_
3.This result detects a minimal to mild interstitial pulmonary pattern.  _x000D_
4.This result detects a minimal to mild or less commonly moderate bronchial pulmonary pattern._x000D_
5.Rarely, this result detects a minimal alveolar pulmonary pattern._x000D_
6.This result does not detect pulmonary soft tissue nodules._x000D_
7.This result does not detect pleural fissure lines/fluid.  </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</si>
  <si>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left-sided congestive heart failure or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equivocal cardiomegaly include: phase of the cardiopulmonary cycle, patient positioning/technique, individual variation of normal (especially in younger patients), or evolving cardiomyopathy (such as hypertrophic or thyrotoxic cardiomyopathy). </t>
  </si>
  <si>
    <t xml:space="preserve">Patient Name : Luna Juarez, Date of study: Jul 23,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fluid and gas or is empty.  Minimal granular mineral is in the pylorus.  The stomach is within normal limits for size.
In the right lateral image, segments of intestine in the ventral abdomen are suspiciously rounded and arranged in a subjectively linear pattern.  The small intestine contains mild to moderate fluid or is empty with a subjectively uniform population for size. 
The colon contains mild well-defined soft tissue material and gas.  The colon is within normal limits for size.  
Musculoskeletal: The included musculoskeletal structures are normal.
</t>
  </si>
  <si>
    <t xml:space="preserve">1. Suspicious small intestinal segments for plication/linear foreign body and evolving mechanical ileus, versus enteritis/functional ileus possibly from dietary indiscretion or other.
2. Minimal pyloric mineral material is persistent in right and left lateral images, and may be due to pyloric or pyloroduodenal foreign material such as from linear foreign material, versus gastritis/delayed gastric emptying and non-obstructive mineral material, or a combination of these.  </t>
  </si>
  <si>
    <t xml:space="preserve">Given lack of reported clinical signs, consider empirical therapy/supportive care and monitoring with repeat radiographs, versus compression radiographs or abdominal ultrasonography for further evaluation of the pylorus and suspicious small intestinal segment.  If confirmed, consider celiotomy for retrieval of material.  If no signs manifest and repeat radiographs are similar/improved, consider evolving mechanical ileus unlikely.  </t>
  </si>
  <si>
    <t>Fifteen radiographs are provided, with images of the thorax, abdomen, pelvis, and pelvic limbs. The cardiac silhouette is upper normal size to mildly enlarged. This may be exaggerated by adjacent fat deposition. There is increased opacity in the right middle lung lobe on the left lateral view. No air bronchograms are appreciated. Faint bronchial markings are likely incidental. No pleural fluid or gas. The diaphragm is intact. No rib fractures. Osteoarthritis in both elbows. No cervicothoracic spinal abnormalities._x000D_
_x000D_
In the abdomen there is no peritoneal or retroperitoneal effusion. The urinary bladder is well delineated and moderately distended. No radiopaque urolithiasis. Normal-sized kidneys, spleen, liver. Ovoid 1.4 x 0.9 cm mineral density in the ventral left peritoneal space is incidental Bates body. No medial iliac lymphadenomegaly. Narrowed L1-2 intervertebral disc space and foramen. Mild ventral spondylosis deformans at several sites in the lumbar spine is likely incidental. The sacroiliac and coxofemoral joints are congruent. There is moderate soft tissue thickening at the tail base, worse ventrally, and there is a round 1.0 cm gas lucency in the ventral left tail base tissues. Pelvic limb musculature is symmetric. Patella location is normal. There is no stifle joint effusion. The left popliteal lymph node is slightly larger than the right but remains subjectively normal size. Mild enthesophyte formation on the plantar aspect of the tuber calcaneus bilaterally, and mild degenerative change in the distal tarsi bilaterally, incidental. Mild soft tissue swelling surrounding the distal right tarsus/tarsometatarsal joint. Moderate to severe soft tissue swelling encircling the distal left 3rd digit, with superimposed debris and no fractures or subluxation. Mild soft tissue swelling in the distal right 4th and 5th digits, with superficial debris and no osseous abnormalities.</t>
  </si>
  <si>
    <t>1. Moderate swelling and focal emphysema at the tail base consistent with the puncture wounds. Cellulitis/edema or abscess formation should be considered. There is no osseous involvement._x000D_
2. Swelling in the left pelvic limb 3rd digit, right pelvic limb 4th and 5th digits, and right tarsometatarsal region consistent with recent trauma and cellulitis/edema. No fracture or subluxation is present. No other pelvic limb abnormalities._x000D_
3. The appearance of L1-2 is suggestive of intervertebral disc protrusion/extrusion. This could be contributing to discomfort._x000D_
4. Equivocal mild cardiomegaly versus artifact caused by adjacent fat. In the absence of a murmur, significance is doubtful._x000D_
Increased opacity in the right middle lung lobe is concerning for aspiration pneumonia versus pulmonary contusions. Previous/chronic insult with fibrosis could also cause this appearance._x000D_
5. Normal abdomen.</t>
  </si>
  <si>
    <t>Current plan is appropriate. Empiric antibiotics are recommended while awaiting culture results.</t>
  </si>
  <si>
    <t>WHOLE-BODY (3 total radiographs for review). _x000D_
_x000D_
- Peritoneal serosal detail is normal._x000D_
- The stomach is moderately distended with gas stippled soft tissue opaque material and a mild volume of gas.  The pyloric outflow tract is well visualized on the left lateral projection and a stripe of gas outlines the duodenum, which is mildly distended._x000D_
- There is mild bulging of the small intestine, the contents of which are mildly distended and contain homogenous soft tissue/fluid and gas._x000D_
- The colon contains gas and formed fecal material._x000D_
- The liver, spleen, kidneys, urinary bladder and remaining abdominal structures are normal._x000D_
- No discrete musculoskeletal abnormalities are identified.</t>
  </si>
  <si>
    <t>1.  There is no definitive evidence of small intestinal foreign material or mechanical obstruction, however there is mild segmental dilation of the duodenum and moderate distention of the stomach with nonspecific heterogeneous soft tissue opaque material which could be undigested food, foreign material or a combination of both. I would recommend considering if clinically indicated abdominal ultrasonography in this patient for further evaluation.  Alternatively, fasted recheck abdominal radiographs to reevaluate the appearance of the stomach over time might be considered._x000D_
_x000D_
2.  Normal thorax.</t>
  </si>
  <si>
    <t xml:space="preserve">Three view orthogonal radiographs (3 images) of the thorax and cranial abdomen dated July 23, 2024, are available for interpretation. No prior images are available for comparison.
The cat was sedated with 1.75 mg/kg (6.8 mg) alfaxolone and 0.2 mg/kg butorphanol (0.8 mg) IM.
Neck:
The nasopharynx is gas distended and there is caudal retraction to the larynx. 
Thorax:
Airway/pulmonary: No pulmonary nodules are noted. A pulmonary interstitial pattern is present in the caudal lung lobes on all projections. This pulmonary pattern is most severe in the perihilar and caudodorsal regions. The degree of lung inflation is normal on all projections. 
Cardiovascular: The cardiac silhouette is mildly enlarged. The pulmonary vasculature is mildly distended, particularly in the caudodorsal thorax. The CVC is elevated near the caudal cardiac margin. The aortic root is slightly enlarged on the lateral projections but appears normal on the VD projection. 
Mediastinum: Normal.
Pleural space: No pleural fluid or pneumothorax noted.
Cranial abdomen: The liver is within the costal arch. The stomach contains a minimal quantity of gas. The cranial abdominal detail is normal.
Msk: Caudal sternal dorsal elevation is present on both lateral projections. The C4-5 disc space is narrowed and there is ventral spondylosis. No end-plate or vertebral lysis is noted. </t>
  </si>
  <si>
    <t>1) Mild cardiomegaly with pulmonary venous distention and perihilar edema. No pulmonary nodules noted. Ddx: secondary to sedation vs. true cardiac disease (i.e. hypertrophic or thyrotoxic cardiomyopathy). 
2) Gas in the nasopharynx. This is likely due to sedation and/or upper airway obstruction.</t>
  </si>
  <si>
    <t xml:space="preserve">See cardiac ultrasound report to determine if underlying cardiac disease is present. Monitor respiratory rate at home and prior to I-131 therapy with repeat thoracic radiographs if resting respiratory rate is increased prior to therapy. </t>
  </si>
  <si>
    <t>8 images of the thorax and thoracic limbs are provided for review.  The cardiac silhouette is widened with rounding of the left ventricular border.  Interstitial opacity is present in the caudal lung lobes near the hilus.  The mediastinal and pleural structures are normal.  Cranial abdominal detail is adequate.  The joint surfaces are smooth and regular.  Periarticular osteophyte formation is seen at the lateral aspects of the carpi bilaterally.  There is marked remodeling of the accessory carpal bones bilaterally.  The distal phalanges are absent.</t>
  </si>
  <si>
    <t>Cardiomegaly.  Interstitial pulmonary pattern concerning for early cardiogenic pulmonary edema.  Consider repeat radiographs following diuretic therapy.  Echocardiography, proBNP, and thyroid testing may be helpful in further evaluation.  Severe bilateral carpal DJD.</t>
  </si>
  <si>
    <t xml:space="preserve">
1.This result detects a mild to mild interstitial pulmonary pattern.  _x000D_
2.This result detects a minimal to mild bronchial pulmonary pattern._x000D_
3.This result does not detect an alveolar pulmonary pattern._x000D_
4.Rarely, this result detects minimal pleural fissure lines/fluid.  _x000D_
5.Rarely, this result detects minimal pulmonary vasculature enlargement._x000D_
6.This result detects mild to moderate cardiomegaly.</t>
  </si>
  <si>
    <t>THORAX (3 total radiographs for review). _x000D_
_x000D_
- Excessive body habitus._x000D_
- Mild, diffuse bronchial pattern._x000D_
- The cardiac silhouette is prominent on the VD image but not distinctly enlarged on the lateral images._x000D_
- The pulmonary vasculature is normal._x000D_
- The pulmonary parenchyma is normal_x000D_
- The trachea, esophagus and remainder of the mediastinum are normal._x000D_
- The pleural space and remaining intrathoracic structures are normal._x000D_
- The included cranial abdominal structures are normal._x000D_
- No discrete musculoskeletal abnormalities are identified.</t>
  </si>
  <si>
    <t>1. Mild diffuse bronchial pattern.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and internal medicine consultation might be considered._x000D_
_x000D_
2.  Prominent appearance of the cardiac silhouette can be due to excessive pericardial fat deposition given the patient=ZZ91=s excessive body habitus.  True cardiac disease such as cardiomyopathy is felt less likely but is possible. Regardless, I would recommend careful cardiac auscultation and if a murmur is present echocardiogram may be considered._x000D_
_x000D_
3. Excessive body habitus.</t>
  </si>
  <si>
    <t>Orthogonal views of the thorax, abdomen and right feet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There is moderate thickening of the ventral abdominal wall in the area of the umbilicus without evidence of hernia._x000D_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Right feet:_x000D_
_x000D_
There is moderate soft tissue swelling of the distal 3rd digit (around P2 and P3) with distal irregular ulceration without evidence of bony lysis. Rest of the feet unremarkable.</t>
  </si>
  <si>
    <t>1) Unremarkable thorax without signs of pulmonary metastases nor signs of thoracic lymphadenopathy._x000D_
2) Ventral abdominal wall thickening. Based on chronicity and long history, rule out an infectious/inflammatory process vs neoplasm._x000D_
3) Right feet: Distal 3rd right digit changes compatible with soft tissue neoplasia vs metastatic lesion vs inflammatory process.</t>
  </si>
  <si>
    <t>Consider a CT of the head, thorax and abdomen evaluating the benefit of a potential fistulogram is fistulae are present in the ventral abdominal wall thickening also evaluating this area with a linear probe on US._x000D_
Biopsies of the right feet 3rd digit lesion._x000D_
Oncologist consultation.</t>
  </si>
  <si>
    <t>Orthogonal views of both front limbs and a three view study of the thorax are provided. There are seven images total._x000D_
_x000D_
Severe regional soft tissue swelling is identified around the left proximal forelimb. This creates a mass effect in the range of 9 to 10 cm. There is less prominent but still significantly abnormal circumferential swelling involving the rest of the limb including the foot._x000D_
There is a severe active appearing periosteal productive bone response involving the left humerus. In the proximal diaphysis and metaphysis there is an exuberant palisading periosteal productive lesion, and smoother but active appearing less prominent periosteal production extends distally throughout the distal metaphysis of the bone. No destructive bone changes are identified. The nearby ribs and sternum do not demonstrate any bony abnormalities._x000D_
_x000D_
The cardiovascular structures are within normal limits. No pulmonary nodules or pleural effusion are identified._x000D_
_x000D_
Both elbows have a chronic appearing osseous body at the caudal aspect of the joint consistent with chronic tendon mineralization. The left elbow also has a tiny mineral opacity at the cranial aspect of the joint. No abnormalities are seen involving the carpus or foot in either limb.</t>
  </si>
  <si>
    <t>There is a large soft tissue mass effect and severe productive active bone lesion involving the left humerus. The abnormalities are most prominent around the proximal half of the limb._x000D_
There is swelling involving the rest of the limb that is likely the result of secondary to venous or lymphatic obstruction from the mass effect extending into the axillary region._x000D_
There is not a visible significant destructive component associated with the bone lesion. This lesion is still most likely to be of neoplastic origin, but the appearance is not typical of a specific histologic type. Considering the lesion is primarily consisting of severe soft tissue swelling and exuberant periosteal production, inflammatory/infectious causes such as a local abscess and cellulitis associated with an aggressive bacterial form or fungal/protozoal disease should be ruled out._x000D_
Primary neoplastic differentials would include hemangiosarcoma, lymphoreticular neoplasia, other soft tissue tumor with secondary bone involvement, periosteal osteosarcoma, and other subtypes of osteosarcoma.</t>
  </si>
  <si>
    <t>The severity of swelling and periosteal response without associated destruction warrants consideration of non-neoplastic inflammatory/infectious etiologies in this case, although this is considerably less common. Biopsy is indicated for definitive diagnosis._x000D_
Since the lesion apparently grew quickly, there is likely a cystic or hemorrhagic component that could make biopsy more challenging. Ultrasound or CT imaging could be helpful.</t>
  </si>
  <si>
    <t xml:space="preserve">
1.Rarely, this result detects minimal pulmonary vasculature enlargement._x000D_
2.This result detects equivocal/borderline to mild cardiomegaly._x000D_
3.This result detects a minimal to mild bronchial pulmonary pattern._x000D_
4.This result detects a minimal to mild interstitial pulmonary pattern._x000D_
5.Rarely, this result detects a minimal alveolar pulmonary pattern. _x000D_
6.This result does NOT detect pleural fissure lines.</t>
  </si>
  <si>
    <t>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For patients with respiratory clinical signs, differential diagnoses for mixed bronchial and interstitial pulmonary patterns include: early left-sided congestive heart failure (especially if pulmonary vasculature enlargement is present), versus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</si>
  <si>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 xml:space="preserve">
Consider empirical therapy and supportive care for underlying lower airway disease in the interim, especially if the patient has appropriate clinical signs (i.e. coughing).  Airway sampling, fecal analysis/empirical deworming, and respiratory PCR panel may be beneficial.  _x000D_
If dyspnea manifests, consider oxygen therapy, diuretic therapy and monitoring for clinical improvement of possible left-sided congestive heart failure.  Repeat thoracic radiographs in 4-6 hours to monitor for improvement of radiographic changes._x000D_
Consider cardiologist consultation, echocardiography. ECG and blood pressure._x000D_
Routine blood work and thyroid function testing may be contributory if not recently performed._x000D_
If your clinical impression of this patient does not match the content of this result, consider submitting the radiographs for a formal radiologist report.</t>
  </si>
  <si>
    <t>Four radiographs of the thorax/abdomen, and proximal tail are provided. The cardiac silhouette is upper normal size on the lateral view and appears larger on the VD projection due to partial expiration. Pulmonary vessels are normal size. No abnormalities in the pulmonary parenchyma or pleural space. In the abdomen there is no effusion. The colon contains a large amount of formed feces. Distal descending colonic fecal column is sharply tapered and displaced ventrally by a poorly delineated soft tissue opacity ventral to L7 and the sacrum. The urinary bladder is minimally distended and appears to be mildly cranially displaced. Normal sized kidneys, spleen, liver. The stomach and small bowel are minimally filled. There is lobulated soft tissue opacity measuring at least 5.0 x 1.5 cm in the inguinal region. Soft tissue surrounding the proximal tail is severely thickened (8.0 cm diameter). This is worse along the ventral aspect and causes dorsal displacement of the tail. No osseous lysis or proliferation. There are no pelvic or tail fractures.</t>
  </si>
  <si>
    <t>1. Large mass-like tail base lesion, extending into the sublumbar region. With the reported =ZZ92=accident=ZZ92=, young age of the patient, and fluctuant texture of the tail base, a large abscess is suspected. Neoplasia is given lesser consideration. This tissue is causing colonic displacement and obstipation._x000D_
2. Inguinal lymphadenopathy, consider reactive or less likely metastatic._x000D_
3. Normal thorax.</t>
  </si>
  <si>
    <t>Recommend cytology of the lesion, to include solid portions and any available fluid. Ultrasound evaluation of the mass may help identify solid versus fluid-filled areas for sampling purposes. Cross-sectional imaging with computed tomography is another option to determine full extent of the lesion, structures involved, and help guide treatment options.</t>
  </si>
  <si>
    <t xml:space="preserve">
1.This result detects equivocal/borderline to mild cardiomegaly. _x000D_
2.This result detects a minimal to mild interstitial pulmonary pattern.  _x000D_
3.This result detects a minimal to mild or less commonly moderate bronchial pulmonary pattern._x000D_
4.Rarely, this result detects a minimal alveolar pulmonary pattern._x000D_
5.This result does not detect pulmonary soft tissue nodules._x000D_
6.This result does not detect pulmonary vasculature enlargement._x000D_
7.This result does not detect pleural fissure lines/fluid.  </t>
  </si>
  <si>
    <t xml:space="preserve">Patient Name : Teaa Hall, Date of study: Jul 22, 2024
3 images are provided for review
Feline Thorax (3 Images) - 2 Lateral, 1 Vd
No prior images are available in spite of reported history.
Pulmonary parenchyma: Ill-defined ovoid soft tissue over the left cranial lungs at the level of the T6-7 in the ventrodorsal image is not corroborated in the right lateral image.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Minimal esophageal gas in the left lateral image.
Pleural space: The pleural space is normal.
Musculoskeletal: The included musculoskeletal structures are normal.
</t>
  </si>
  <si>
    <t>1. Possible left cranial lung lobe soft tissue nodule versus superimposed structures, or minimal bronchial plugging/atelectasis such as from underlying lower airway disease.
2. Mild diffuse bronchial pattern such as from infectious/immune-mediated lower airway disease (feline asthma, mycoplasma spp., bordetella spp., parasitism such as lung worms, or inhaled allergen/irritant) or less likely other and/or fibrosis from prior disease, or age-related changes.</t>
  </si>
  <si>
    <t>Consider routine blood work if not recently performed.  Consider computed tomography of the head/nasal passages and thorax for further evaluation and to guide sampling depending on results, especially if a mass is identified. Oncologist consultation in this case. Empirical therapy and supportive care in the interim as needed. Monitoring as directed or sooner if clinical signs acutely change, fail to improve or worsen.</t>
  </si>
  <si>
    <t>Three radiographs of the thorax, and three views of the abdomen are provided. The heart and pulmonary vessels are normal size and shape. Fat deposition encircles the heart on the VD projection, causing the cardiac silhouette to appear larger on this view. There are no abnormalities in the pulmonary parenchyma. No pleural effusion. Normal tracheal diameter and position._x000D_
_x000D_
In the abdomen serosal detail is adequate. There is abundant peritoneal and retroperitoneal fat. No effusion. The gastrointestinal tract is moderately filled. No radiopaque urolithiasis. Normal-sized liver, spleen, kidneys. Osseous structures are normal.</t>
  </si>
  <si>
    <t>Normal thorax and abdomen. A reason for acute respiratory signs is not identified. Inhaled irritant/allergens is suspected.</t>
  </si>
  <si>
    <t>Orthogonal radiographs of the thorax/abdomen are provided. The cardiac silhouette and pulmonary vessels are normal size and shape. There are no abnormalities in the pulmonary parenchyma or pleural space. In the abdomen mid abdominal detail is reduced. There is a large round (at least 11.1 cm) soft tissue opaque mass in the cranioventral right abdomen. This causes caudodorsal and leftward deviation of the stomach. The stomach and small bowel are minimally filled. Small volume formed feces in the colon. The urinary bladder is partially visible and a smoothly marginated round 0.4 cm mineral density overlies the urinary bladder on the lateral view. This may represent superimposed intestinal contents. The left kidney is markedly reduced in size. The right kidney is obscured. No osseous abnormalities.</t>
  </si>
  <si>
    <t>1. Large cranioventral right abdominal mass likely originating from the liver. Neoplasia such as hemangiosarcoma or adenocarcinoma is most likely. A large hepatic cyst or abscess are given lesser consideration._x000D_
2. Reduced renal size consistent with chronic renal disease._x000D_
3. Possible cystic calculus versus superimposed intestinal contents._x000D_
4. Normal thorax.</t>
  </si>
  <si>
    <t xml:space="preserve">
1.This result detects a minimal or less commonly mild interstitial pulmonary pattern.  _x000D_
2.This result detects a minimal to moderate bronchial pulmonary pattern._x000D_
3.Rarely, this result detects a minimal alveolar pulmonary pattern._x000D_
4.This result detects none, or equivocal/borderline to mild cardiomegaly. _x000D_
5.Rarely, this result detects minimal pulmonary vasculature enlargement._x000D_
6.Rarely, this result detects minimal pleural fissure lines/fluid.  </t>
  </si>
  <si>
    <t xml:space="preserve">If the patient has respiratory clinical signs, then differential diagnoses for a predominantly bronchial pulmonary pattern include: immune-mediated lower airway disease (i.e. feline asthma) or infectious lower airway disease (such as mycoplasma spp., parasitism, viral, or other).  Additional differential diagnoses include: inhaled allergen/irritant, or less likely evolving left-sided congestive heart failure, or unlikely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evolving, bronchopneumonia, or unlikely neoplasia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</si>
  <si>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3 views of the thorax are provided for review.  The cardiac silhouette is mildly widened with mild rounding of the left ventricular border.  No pulmonary infiltrates are seen.  The pulmonary vasculature is normal in size.  The mediastinal and pleural structures are normal.  Cranial abdominal detail is adequate.</t>
  </si>
  <si>
    <t>3 views of the entire body are provided for review. There is a mild bronchial pattern in all lung lobes.  The cardiovascular structures are normal.  The mediastinal and pleural structures are normal.  Abdominal serosal detail is adequate in all quadrants.  The stomach contains a small amount of gas.  The small intestines are normal in size.  Gas and feces are present in the colon.  The urinary bladder is moderately distended.  The remaining abdominal organs are normal.</t>
  </si>
  <si>
    <t>Radiographically normal abdomen.  Mild bronchial pulmonary pattern.  Considerations include asthma, heartworm, lungworm, atypical infection, bronchitis.</t>
  </si>
  <si>
    <t xml:space="preserve">
1.This result detects none, or less commonly equivocal/borderline to mild cardiomegaly. _x000D_
2.This result detects a minimal to mild interstitial pulmonary pattern.  _x000D_
3.This result detects a minimal to mild, or rarely moderate bronchial pulmonary pattern._x000D_
4.Rarely, this result detects a minimal alveolar pulmonary pattern._x000D_
5.This result does not detect pulmonary vasculature enlargement._x000D_
6.Rarely, this result detects minimal pleural fissure lines/fluid.  </t>
  </si>
  <si>
    <t>Orthogonal views of the thorax and abdomen are provided:_x000D_
_x000D_
Thorax:_x000D_
_x000D_
Cardiac silhouette has a normal shape and size._x000D_
Pulmonary vessels are within normal limits of size and shape._x000D_
Pulmonary parenchyma shows a generalized bronchial pattern.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</si>
  <si>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Generalized bronchial pattern is compatible with a chronic lower airway disease such as asthma vs feline chronic bronchitis vs bronchitis of parasitic origin._x000D_
2) Unremarkable abdomen.</t>
  </si>
  <si>
    <t>Three radiographs of the thorax/abdomen are provided. The cardiac silhouette and pulmonary vessels are normal size and shape. The lungs are clear. There is no pleural effusion or enlarged intrathoracic lymph nodes. In the abdomen there is no effusion. Moderate volume kibble-like soft tissue density fills the stomach. Small intestines are mildly filled with fluid and gas. Formed feces fills the colon. No radiopaque foreign material. Normal-sized liver, spleen, kidneys no radiopaque cystic calculi. Osseous structures are unremarkable.</t>
  </si>
  <si>
    <t>Normal thorax and abdomen. A reason for weight loss is not identified.</t>
  </si>
  <si>
    <t>Abdominal ultrasound should be considered.</t>
  </si>
  <si>
    <t xml:space="preserve">Patient Name: Perseus Hopping, Date of study: July 22, 2024.
Feline Thorax (3 Images) - 2 Lateral, 1 VD
There are no previous radiographs for comparison.
Findings:
Cardiac silhouette: The cardiac silhouette is normal in size and shape.
Pulmonary vessels: The pulmonary arteries and veins are normal in size and are symmetrical.
Pulmonary parenchyma: There is a ventrally distributed alveolar pattern in the right middle lung lobe. The remainder of the pulmonary parenchyma is within normal limits.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Musculoskeletal: There is mild spondylosis deformans of the mid thoracic spine. The superficial soft tissue structures are within normal limits.
</t>
  </si>
  <si>
    <t xml:space="preserve">1. Right middle lung lobe alveolar pattern is most consistent with bronchopneumonia/aspiration pneumonia.
2. Normal cardiovascular structures. </t>
  </si>
  <si>
    <t xml:space="preserve">Empirical therapy for pneumonia with repeat radiographs in 10-14 days are recommended. </t>
  </si>
  <si>
    <t>Three radiographs of the thorax, and three views of the abdomen are provided. The cardiac silhouette and pulmonary vessels are normal size and shape. There are no abnormalities in the pulmonary parenchyma. No enlarged intrathoracic lymph nodes or pleural effusion._x000D_
_x000D_
In the abdomen peritoneal and retroperitoneal detail is adequate. The urinary bladder is mildly filled and there are several punctate mineral densities overlying the cranial bladder on the right lateral view, however there is an adjacent loop of small bowel and this area is obscured by bowel on the left lateral view. The kidneys are normal size, shape, and opacity. No medial iliac lymphadenomegaly. The plane of urethra is unremarkable. Normal-sized liver and spleen. Osseous structures are unremarkable.</t>
  </si>
  <si>
    <t>Possible punctate cystic calculi versus superimposed intestinal debris. Otherwise normal abdomen and thorax.</t>
  </si>
  <si>
    <t>Ultrasound evaluation of the urinary tract is recommended.</t>
  </si>
  <si>
    <t xml:space="preserve">Patient Name : Marshall Rangel, Date of study: Jul 22, 2024
3 images are provided for review
Feline Thorax (3 Images) - 2 Lateral, 1 Vd
There are no previous radiographs for comparison.
Pulmonary parenchyma: A mild diffuse bronchial pattern is present.  The lungs are mildly hyperinflated with increased distance between the cardiac silhouette and diaphragm in the lateral images.
Pulmonary vasculature: The pulmonary vasculature is subjectively normal in size and tapers in the periphery of the lungs.
Cardiac silhouette: The cardiac silhouette is equivocal tall and slightly reniform in shape in the lateral images.  The cardiac silhouette is partially obscured by retrosternal fat in the ventrodorsal image.  
Mediastinum: The cranial mediastinum is normal.
Trachea: The trachea is normal.
Esophagus: The esophagus is not well-identified.
Pleural space: The pleural space is normal.
Musculoskeletal: Minimal T7-8 spondylosis deformans.  The remaining included musculoskeletal structures are normal.
</t>
  </si>
  <si>
    <t>1. Mild diffuse bronchial pulmonary pattern and mild hyperinflation such as from infectious/immune-mediated lower airway disease (mycoplasma spp., bordetella spp., parasitism, or other), inhaled allergen/irritant, or less likely other.
2. Equivocal cardiomegaly such as from phase of the cardiopulmonary cycle or artifact from positioning.
- If present, consider evolving hypertrophic or thyrotoxic cardiomyopathy or unlikely other.
- There is no current evidence of left-sided congestive heart failure.</t>
  </si>
  <si>
    <t>Consider respiratory PCR panel, airway sampling, fecal analysis/empirical deworming and routine blood work.  Consider echocardiography, eCG, blood pressure and thyroid function testing, especially if a murmur is identified.  Empirical therapy for infectious/immune-mediated lower airway disease in the interim.  Monitoring as directed or sooner if clinical signs acutely change, fail to improve or worsen.</t>
  </si>
  <si>
    <t xml:space="preserve">Patient Name : Boy Sapinoso, Date of study: Jul 20, 2024
3 images are provided for review
Feline Thorax (3 Images) - 2 Lateral, 1 Vd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</si>
  <si>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1. Minimal-mild diffuse bronchial pulmonary pattern.
- Differential diagnoses include infectious/immune-mediated lower airway disease such as from feline asthma, mycoplasma spp., bordetella spp., parasitism, or inhaled allergen/irritant and/or fibrosis from prior disease, age-related changes, or unlikely other.</t>
  </si>
  <si>
    <t xml:space="preserve">
1.This result detects equivocal/borderline to moderate cardiomegaly._x000D_
2.Rarely, this result detects minimal pleural fissure lines/fluid._x000D_
3.This result detects a minimal to mild bronchial pulmonary pattern._x000D_
4.This result does NOT detect an alveolar pulmonary pattern._x000D_
5.This result does NOT detect pulmonary soft tissue nodules.  _x000D_
6.This result detects a minimal to mild interstitial pulmonary pattern.</t>
  </si>
  <si>
    <t xml:space="preserve">Patient Name : Jaz Robinson, Date of study: Jul 20,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in the first image, and mild gas in the final two images. The stomach is within normal limits for size. Gastric rugal folds are slightly prominent in the ventrodorsal image.
The small intestine contains mild heterogeneous soft tissue material/fluid and admixed gas, or is empty.  The small intestine is overall uniform in size.. 
The colon contains mild soft tissue material, fluid and gas, or is empty.  The colon is normal in size.
Musculoskeletal: The T13 vertebra is transitional with hypoplastic right and aplastic left ribs.  Moderate right and mild left coxofemoral joint osteoarthrosis is present.  The remaining included musculoskeletal structures are normal.
</t>
  </si>
  <si>
    <t>1. Non-specific gastrointestinal tract appearance such as from gastritis, enteritis, colitis, or less likely variation of normal given reported history.
- Differential diagnoses include dietary indiscretion, toxin ingestion, diet/antibiotic responsive disease, inflammatory bowel disease, parasitism/primary infectious disease, or pancreatitis or occult systemic disease.
- There is no evidence of small intestinal mechanical ileus.
2. Moderate right and mild left coxofemroal joint osteoarthrosis.</t>
  </si>
  <si>
    <t>Consider GI panel, fecal analysis/deworming, and routine blood work for further evaluation.  Empirical therapy and supportive care in the interim as needed.  Monitoring as directed or sooner if clinical signs acutely change, fail to improve or worsen.</t>
  </si>
  <si>
    <t xml:space="preserve">Patient Name : Pancake Sparks, Date of study: Jul 19, 2024
3 images are provided for review
Feline Thorax (3 Images) - 2 Lateral, 1 Vd
There are no previous radiographs for comparison.  Ungloved human digits primary beam.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</si>
  <si>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Minimal-mild diffuse bronchial pulmonary pattern.
- Differential diagnoses include infectious/immune-mediated lower airway disease such as from feline asthma, mycoplasma spp., bordetella spp., parasitism, or inhaled allergen/irritant fibrosis from prior disease, age-related changes, or unlikely other.  
</t>
  </si>
  <si>
    <t>Consider respiratory PCR panel, airway sampling, and empirical deworming/fecal analysis for further evaluation.  Empirical therapy and supportive care in the interim as needed.  Monitoring as directed or sooner if clinical signs acutely change, fail to improve or worsen.</t>
  </si>
  <si>
    <t xml:space="preserve">Patient Name : Ember Benson, Date of study: Jul 19, 2024
4 images are provided for review
Feline Thorax (4 Images) - 2 Lateral, 2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minimally tall and rounded in the lateral images.    The cardiac silhouette is minimally or mildly rounded and widened in the ventrodorsal images.  
Mediastinum: The cranial mediastinum is normal.
Trachea: The trachea is normal.
Esophagus: The esophagus is not well-identified.
Pleural space: The pleural space is normal.
Musculoskeletal: The included musculoskeletal structures are normal.
</t>
  </si>
  <si>
    <t xml:space="preserve">1. Mild generalized cardiomegaly or less likely artifact from phase of the cardiopulmonary cycle.  
- If present, differential diagnoses include congenital anomaly or unlikely acquired disease such as hypertrophic or thyrotoxic cardiomyopathy.
- There is no current evidence of left-sided congestive heart failure.  
2. Mild diffuse bronchial pulmonary pattern.
- Differential diagnoses include infectious/immune-mediated lower airway disease such as from bordetella spp., mycoplasma spp., parasitism, or inhaled allergen/irritant=, fibrosis from prior disease, age-related changes, or unlikely other.  
</t>
  </si>
  <si>
    <t>Consider echocardiography, ECG and blood pressure for further evaluation, especially if a murmur is identified on examination.  Routine blood work, thyroid function testing, and urinalysis may be contributory if not recently performed.  Empirical therapy and supportive care in the interim as needed.  Monitoring as directed or sooner if clinical signs acutely change, fail to improve or worsen.</t>
  </si>
  <si>
    <t>Three radiographs of the thorax, and three views of the abdomen are provided. Images dated 6/25/21 are available for comparison. The silhouette and pulmonary vessels are normal size and shape. Fat deposition is seen along the right side of the heart on the VD view, and in the ventral thorax on the lateral projections. The patient is obese, with large volume subcutaneous fat. No pleural effusion or pulmonary parenchymal abnormalities. Adequate tracheal diameter._x000D_
_x000D_
Within the abdomen, the colon contains a large amount of formed, desiccated angular feces, and the fecal column measures up to 4.7 cm. This is larger than the pelvic canal. The stomach and small bowel are minimally filled. Normal-sized kidneys, spleen, liver. No radiopaque urolithiasis. No significant osseous abnormalities.</t>
  </si>
  <si>
    <t>Megacolon, progressive. Otherwise normal abdomen and thorax.</t>
  </si>
  <si>
    <t>Recommend enema administration and weight management.</t>
  </si>
  <si>
    <t>Additional history- The last radiograph was obtained following aspiration of 3 cc urine from bladder.  _x000D_
_x000D_
Six radiographs of the thorax/abdomen are provided. The cardiac silhouette is prominent on the left lateral view, but is not persistent on the other projections. Pulmonary vessels are normal size. There is soft tissue opacity with lobar sign in the expected location of the left caudal lung lobe, however this area is reduced in volume, with ipsilateral mediastinal shift. On the left lateral views, the caudal thoracic soft tissue density blends with a round 1.9 cm soft tissue contour near the tracheal bifurcation. There is a smoothly marginated 1.2 cm soft tissue opaque nodule in the ventral aspect of the right cranial lung lobe. No pleural effusion. Adequate tracheal diameter. In the abdomen the distal colon is filled with formed feces on the 1st four views, significantly reduced in volume on the last two views. The stomach contains a large amount of gas and small volume soft tissue density. Serosal detail is adequate. Small bowel are minimally filled. Normal-sized liver, spleen, kidneys. The urinary bladder is moderately distended on the 1st four views. The urinary bladder is minimally distended on the last lateral view, and there is a rounded 3.7 cm soft tissue opacity in the caudal abdomen ventral to L5-6. This is not visible on the earlier images. There is a small area of smooth periosteal proliferation along the cranial margin of one of the distal femoral diaphyses, with faint adjacent sclerosis on the lateral views.</t>
  </si>
  <si>
    <t>1. Right caudal lung mass, cranioventral right lung nodule, and caudal abdominal mass. This is most consistent with malignant neoplasia. Whether the primary lesion is the abdominal mass or the lung mass, or if there are two separate neoplastic processes is unknown._x000D_
2. Periosteal proliferation in one of the distal femurs, concerning for a metastatic lesion. An inflammatory process or chronic injury are given secondary consideration._x000D_
3. No definitive cardiomegaly on this study. Underlying cardiomyopathy is not ruled out.</t>
  </si>
  <si>
    <t>If a definitive diagnosis is desired for type of neoplasia, ultrasound-guided sampling of the abdominal mass and right lung mass could be considered. With the multiple lesions, surgical resection is not possible.</t>
  </si>
  <si>
    <t>Seven radiographs of the thorax and abdomen are provided. The cardiac silhouette is mildly enlarged. Pulmonary vessels and caudal vena cava are normal size. There are no abnormalities in the pulmonary parenchyma. No pleural effusion. Dorsal position of the cranial thoracic trachea is incidental. No enlarged intrathoracic lymph nodes. Spondylosis deformans is likely incidental. In the abdomen the stomach contains a large amount of gas consistent with aerophagia. There is also moderate to large volume amorphous soft tissue opaque ingesta in the stomach. Small bowel and minimally filled. Formed feces in the colon. Normal size kidneys, spleen, liver. The urinary bladder is markedly distended and soft tissue opaque. Narrowed L7-S1 intervertebral disc space, of doubtful clinical significance today.</t>
  </si>
  <si>
    <t>1. Mild cardiomegaly consistent with cardiomyopathy. There is no evidence of heart failure. The thorax is otherwise normal._x000D_
2. Normal postprandial abdomen.</t>
  </si>
  <si>
    <t>An echocardiogram is recommended. Dental imaging should also be considered.</t>
  </si>
  <si>
    <t xml:space="preserve">
1.This result detects a minimal to mild interstitial pulmonary pattern.  _x000D_
2.This result detects a mild to moderate bronchial pulmonary pattern._x000D_
3.This result does not detect an alveolar pulmonary pattern._x000D_
4.This result commonly detects pulmonary soft tissue nodules._x000D_
5.This result detects no or equivocal/borderline cardiomegaly most commonly.  Rarely, this result detects mild or moderate cardiomegaly._x000D_
6.This result does not detect pulmonary vasculature enlargement._x000D_
7.Rarely, this result detects minimal pleural fissure lines/fluid.</t>
  </si>
  <si>
    <t>Some bronchial patterns may mimic pulmonary soft tissue nodules due to bronchial plugging, or granuloma from prior disease.  This is exacerbated if technical errors/artifacts (motion, etc.) are present in the image. The primary differential diagnoses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Granulomatous/fungal disease (such as blastomycosis spp.) is unlikely, unless the patient has an appropriate travel/exposure history.  Differential diagnoses for a bronchial and interstitial pulmonary pattern include: changes from prior disease, age-related changes, infectious/immune-mediated lower airway disease (such as mycoplasma spp., parasitism, or feline asthma), atypical metastatic/multicentric neoplasia, or unlikely other. Differential diagnoses for equivocal cardiomegaly include: phase of the cardiopulmonary cycle, patient positioning/technique, individual variation of normal (especially in younger patients), or evolving cardiomyopathy. Differential diagnoses for pleural fluid include: tangential beam artifact, pleural thickening/fold, malignant, or unlikely other.</t>
  </si>
  <si>
    <t xml:space="preserve">
If the patient has clinical signs consistent with active infectious/inflammatory lower airway disease, then consider empirical therapy and supportive care in the interim as needed._x000D_
Consider computed tomography of the thorax for further evaluation of pulmonary soft tissue nodules.  Consider tissue sampling if lesions are confirmed, and oncologist consultation depending on results._x000D_
Consider respiratory PCR panel, fecal analysis/empirical deworming, and airway sampling (such as with broncho-alveolar lavage, BAL) for further evaluation._x000D_
Consider echocardiography, ECG and blood pressure, especially if a murmur is identified._x000D_
Consider routine blood work and urinalysis._x000D_
If your clinical impression of this patient does not match the content of this result, consider submitting the radiographs for a formal radiologist report.</t>
  </si>
  <si>
    <t>Three radiographs of the thorax/abdomen are provided. The cardiac silhouette is normal size and shape. There is a severe interstitial to alveolar pattern on either side of the heart on the VD projection, and increased mid and caudal lung opacity on the right lateral view. Both of these projections are expiratory. There is a small area of increased opacity overlying the ventral heart on the left lateral view. A mild bronchial pattern is present throughout the lungs. No pleural effusion or intrathoracic lymphadenomegaly. Normal tracheal diameter. In the abdomen moderate volume of formed feces fills the colon. The stomach is minimally filled. Two punctate metal densities overlying the stomach on the left lateral view are not persistent and is likely superimposed superficial debris. Small bowel are moderately fluid-filled. No radiopaque urolithiasis. Normal-sized kidney and liver. The spleen is obscured. Moderate to severe degenerative change in the coxofemoral joints, worse on the left. Small gas lucencies lateral to the left coxofemoral joint is likely recent injection site.</t>
  </si>
  <si>
    <t>1. Diffuse mild bronchial pattern suggestive of chronic airway inflammation such as asthma. In the absence of associated respiratory signs, significance is doubtful._x000D_
2. Severe interstitial to alveolar pattern in the mid and ventral lungs on the expiratory images, with a small area of interstitial infiltrates remaining on the left lateral view. Atelectasis is most likely. Aspiration pneumonia would be suspected if the patient had associated clinical signs._x000D_
3. Small intestinal functional ileus, a nonspecific finding that may be due to metabolic abnormality, stress/discomfort, enteritis or other primary intestinal disorder. Otherwise normal abdomen.</t>
  </si>
  <si>
    <t>Current diagnostics are appropriate. If the patient is febrile and/or coughing, antibiotics would be recommended.</t>
  </si>
  <si>
    <t xml:space="preserve">
1.This result detects no, or a minimal interstitial pulmonary pattern._x000D_
2.This result detects a minimal to moderate bronchial pulmonary pattern._x000D_
3.Rarely, this result detects a minimal to mild alveolar pulmonary pattern._x000D_
4.This result does not detect pulmonary soft tissue nodules._x000D_
5.Rarely, this result detects minimal pleural fissure lines/fluid._x000D_
6.This result does not detect pulmonary vasculature enlargement._x000D_
7.This result detects equivocal/borderline to mild cardiomegaly. </t>
  </si>
  <si>
    <t xml:space="preserve">If the patient has respiratory clinical signs, then the primary differential diagnoses for mixed predominantly bronchial and interstitial pulmonary patterns are immune-mediated lower airway disease (i.e. feline asthma) or infectious lower airway disease (such as mycoplasma spp., parasitism, viral, or other).  Additional differential diagnoses include inhaled allergen/irritant.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diagnosis for an alveolar pulmonary pattern include: atelectasis or bronchial plugging such as from concurrent infectious/inflammatory lower airway disease (i.e. feline asthma), or unlikely bronchopneumonia, evolving neoplasia, or other. Differential diagnoses for equivocal cardiomegaly include: phase of the cardiopulmonary cycle, patient positioning/technique, individual variation of normal (especially in younger patients), or evolving cardiomyopathy.  The primary differential diagnosis for minimal pleural fissure lines is tangential beam artifact.  Scant pleural fluid (such as from idiopathic or chylous effusions) is considered unlikely.  </t>
  </si>
  <si>
    <t>Consider abdominal US to further evaluate the urinary tract with renal function, UPC and urinalysis evaluating also causes of weight loss.</t>
  </si>
  <si>
    <t xml:space="preserve">
1.This result detects mild to moderate cardiomegaly._x000D_
2.This result detects a minimal to mild bronchial pulmonary pattern._x000D_
3.This result does NOT detect pleural fissure lines. _x000D_
4.This result does NOT detect  an alveolar pulmonary pattern._x000D_
5.This result does NOT detect soft tissue pulmonary nodules.  _x000D_
6.This result detects a minimal to mild interstitial pulmonary pattern.</t>
  </si>
  <si>
    <t>A three view thoracoabdominal study is provided for interpretation. Previous radiographs dated 2-13-23 and 6-22-21 are available for comparison._x000D_
_x000D_
The cardiovascular structures are within normal limits. No pulmonary infiltrates or pleural effusion are seen. Bronchial markings in the lungs are slightly increased similar to previous radiographs. The trachea is normal. No esophageal abnormalities are identified._x000D_
_x000D_
Both kidneys are smaller than average, with normal shape and smooth margins. Both have mineral opacity in the pelvis that was also noted previously. Retroperitoneal detail is normal. The intestines have a fragmented gas pattern that has also been seen in previous studies. Significance is equivocal. There is normal appearing ingesta in the stomach. The other abdominal organs are unremarkable. Serosal detail in the abdomen is normal.</t>
  </si>
  <si>
    <t>The slight increase in bronchial markings is not expected to be clinically significant. The thorax is otherwise normal. Upper airway pathology or metabolic disease should still be ruled out as possible explanations for the reported open mouth breathing._x000D_
_x000D_
The fragmented intestinal gas pattern is a finding that can be associated with enteritis but is also sometimes incidental. No dilation of the intestine or obstructive pattern is seen. No foreign bodies are identified._x000D_
_x000D_
The kidneys are at the small end of acceptable size range for patient size. Relevance should be correlated with laboratory evidence of azotemia present. There is evidence of mineral density in the renal pelvis bilaterally, which is not likely to be relevant to the current clinical presentation.</t>
  </si>
  <si>
    <t>No abnormalities that would definitively explain the presenting complaint are identified._x000D_
CBC, serum chemistry including pancreatic specific lipase, and urinalysis is recommended.</t>
  </si>
  <si>
    <t>4 images of the abdomen are presented for review.  Serosal detail is adequate in all quadrants.  The stomach contains a moderate amount of gas.  The small intestines are normal in size.  Gas and feces are present in the colon.  The urinary bladder is small.  The kidneys are small with mildly irregular margins.  A thin-walled mineral structure in the caudal abdomen is consistent with an incidental Bates body.  The remaining abdominal organs are normal.</t>
  </si>
  <si>
    <t>Chronic renal changes.  No current evidence of constipation.</t>
  </si>
  <si>
    <t>Correlation with serum biochemistry, sDMA, and urinalysis may be helpful.</t>
  </si>
  <si>
    <t xml:space="preserve">
1.No pleural effusion is noted._x000D_
2.The lungs are hyperinflated on the VD projection(s) and normally inflated on the lateral projection(s). On both the lateral and VD projection, an increase in pulmonary opacity is identified in the cranial thorax however the VD opacity is attributed to obliquity while the lateral projection is likely due to increased opacity cranial to heart due to overlying soft tissue or mediastinal fat deposition vs. exclusion of the cranial thorax from the image._x000D_
3.No cardiomegaly or pulmonary vessel enlargement is noted.</t>
  </si>
  <si>
    <t>4 images of the thorax and abdomen are presented for review.  These do not appear to be the same location as the length images.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distended.  The kidneys appear small. The remaining abdominal organs are normal.</t>
  </si>
  <si>
    <t>Small kidneys suggestive of chronic renal disease.  Radiographically normal thorax for a patient of this age.</t>
  </si>
  <si>
    <t xml:space="preserve">
1.This result detects a mild to moderate bronchial pulmonary pattern._x000D_
2.Rarely, this result detects an alveolar pulmonary pattern._x000D_
3.This result detects none to equivocal/borderline, or uncommonly mild cardiomegaly. _x000D_
4.This result does not detect pulmonary vasculature enlargement._x000D_
5.Rarely, this result detects minimal pleural fissure lines/fluid.  _x000D_
6.This result detects a minimal, or rarely mild interstitial pulmonary pattern.  </t>
  </si>
  <si>
    <t>WHOLE-BODY (3 total radiographs for review). _x000D_
_x000D_
- Cervicothoracic region normal._x000D_
- Thoracic vertebrae normal._x000D_
- Thoracolumbar junction normal._x000D_
- Lumbar vertebral column normal._x000D_
- Lumbosacral vertebral region normal._x000D_
- Sacrum and sacroiliac joints normal._x000D_
- Caudal vertebral segments normal._x000D_
- Pelvis and included pelvic limbs normal._x000D_
- Peritoneal serosal detail is normal._x000D_
- Well-defined, rounded mineralized body in the ventral abdomen on midline._x000D_
- The stomach contains mild gas and gas-stippled soft-tissue opaque material_x000D_
- The small intestine contains mild multifocal gas._x000D_
- The colon contains gas, soft-tissue/fluid and mildly desiccated, formed fecal material._x000D_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t>
  </si>
  <si>
    <t>1.  A discrete radiographic cause for the reported clinical signs is not clearly identified. No spinal lesions are noted. Radiographic sensitivity for some pathologies affecting the spine/vertebrae (e.g. IVDD, ischemic myelopathy/FCE, neoplasia) can be limited. There are no fractures, luxations, discospondylitis or aggressive bone lesions seen. If clinically indicated, consultation with a veterinary neurologist and/or advanced imaging of the spine (e.g. CT or MRI) might be considered._x000D_
_x000D_
2. Incidental ventral abdominal nodular fat necrosis (Bates Body)._x000D_
_x000D_
3. Mild constipation._x000D_
_x000D_
4. Normal thorax.</t>
  </si>
  <si>
    <t>WHOLE-BODY (4 total radiographs for review).  No previous examinations available for comparison.- Peritoneal serosal detail is normal._x000D_
_x000D_
- Thin body condition, reduced peritoneal fat available for contrast._x000D_
- The stomach contains moderate gas and gas-stippled soft-tissue opaque material_x000D_
- The small intestine contains mild multifocal gas and soft-tissue opaque material_x000D_
- The colon contains gas, soft-tissue/fluid and moderate formed fecal material._x000D_
- The liver, spleen are normal._x000D_
- The kidneys are not distinctly identified. The plane of the ureters is unremarkable but of limited assessment._x000D_
- The urinary bladder is mildly to moderately distended with homogeneous soft-tissue/fluid. The plane of the urethra is normal._x000D_
- The cardiac silhouette and pulmonary vasculature are normal._x000D_
- The pulmonary parenchyma is normal_x000D_
- The trachea, esophagus and remainder of the mediastinum are normal._x000D_
- The pleural space and remaining intrathoracic structures are normal._x000D_
- Narrowing of L7-S1 and mild spondylosis deformans.</t>
  </si>
  <si>
    <t>1. Overall, an obvious radiographic cause for hematuria and/or hindlimb weakness and muscle wasting is not clearly identified. The urinary bladder is unremarkable, except for impending urination. Abdominal ultrasonography might be considered for further assessment._x000D_
_x000D_
2. Incomplete visualization of the kidneys may support that they are small (such as from chronic degenerative renal disease)._x000D_
_x000D_
3. Mild lumbosacral disease. The clinical significance is uncertain._x000D_
_x000D_
4. Generalized thin body condition._x000D_
_x000D_
5. Normal thorax.</t>
  </si>
  <si>
    <t>Four radiographs of the thorax and three views of the abdomen are provided. The heart is a normal size and shape on the lateral views. Partial expiration and fat deposition adjacent to the heart causes the heart to appear larger on the VD views. There are faint bronchial markings in the lungs. No soft tissue pulmonary nodules or pleural effusion. Small volume and fluid in the esophagus is transient and incidental. Possible mild narrowed caudal cervical trachea on the left lateral view versus artifact caused by adjacent esophagus. Incidental laryngeal mineralization._x000D_
_x000D_
In the abdomen there is large volume gas in the stomach and throughout the intestines. Small volume fluid and bubbles also noted within the stomach on the right lateral projection. The colon is minimally filled. No effusion or organomegaly. The urinary bladder is mildly filled and soft tissue opaque. There is severe degenerative change in the left coxofemoral joint. The left femoral head is not definitively seen on the VD projection, however two femoral head contours are seen on the left lateral projection.</t>
  </si>
  <si>
    <t>1. Faint bronchial markings suggestive of chronic airway inflammation due to inhaled irritants/allergens or asthma. This is the most likely cause for coughing. The thorax is otherwise normal._x000D_
2. Gas-filled gastrointestinal tract consistent with aerophagia. No other abdominal abnormalities._x000D_
3. Probable chronic left femoral capital physeal fracture.
(amended on 07/18/2024 11:49)
4. The appearance of the cervical trachea is most likely due to adjacent esophagus. Focal tracheal collapse is given much lesser consideration.</t>
  </si>
  <si>
    <t>Consider treatment for allergic airway disease.</t>
  </si>
  <si>
    <t>Two orthogonal thoracic radiographs dated 18th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has a minimal bronchial pattern._x000D_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</si>
  <si>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Diffuse mild bronchial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t>
  </si>
  <si>
    <t>Relative to age, the bronchial pattern is very mild. Respiratory workup including CBC, serum chemistry, urinalysis, Baermann faecal testing, 4DX, +/- respiratory panel as indicated may be considered.  Alternatively, empirical deworming, and removal of allergens and environmental irritants (i.e. smoke, dust, perfumes, etc.) can be considered.</t>
  </si>
  <si>
    <t>Three radiographs of the thorax and three views of the abdomen are provided. The cardiac silhouette is normal size and shape. There are no abnormalities of the pulmonary parenchyma. No pleural effusion or esophageal dilation. Normal tracheal diameter. Soft tissue thickening with punctate gas lucencies dorsal to the thoracic spine consistent with subcutaneous fluid administration. In the abdomen the spleen is enlarged with smooth margins. Normal-sized liver and kidneys. Small volume gas in the stomach. The gastric wall appears thickened on the VD projection due to minimal distention. Small intestines are minimally filled. Small volume formed feces in the colon. No radiopaque gastrointestinal foreign material or urolithiasis.</t>
  </si>
  <si>
    <t>Splenomegaly. Lymphoid hyperplasia or inflammation are most likely. Infiltrative neoplasia such as lymphoma or mast cell can cause this appearance but is given a lesser consideration at this time. Otherwise normal abdomen and thorax.</t>
  </si>
  <si>
    <t>If the patient does not improve with treatment for upper airway disease, abdominal ultrasound would be recommended.</t>
  </si>
  <si>
    <t>WHOLE-BODY (5 total radiographs for review). _x000D_
_x000D_
- The cardiac silhouette and pulmonary vasculature are normal._x000D_
- The pulmonary parenchyma is normal_x000D_
- The trachea, esophagus and remainder of the mediastinum are normal._x000D_
- The pleural space and remaining intrathoracic structures are normal._x000D_
- Peritoneal serosal detail is normal._x000D_
- The stomach contains mild gas and gas-stippled soft-tissue opaque material, as well as a few small mineral opaque foci._x000D_
- The small intestine is non-distended and mostly homogeneously soft-tissue opaque._x000D_
- The colon contains gas, soft-tissue/fluid and minimal formed fecal material._x000D_
- The liver, spleen, region of the kidneys and urinary bladder are normal.</t>
  </si>
  <si>
    <t>1. Normal thorax. _x000D_
_x000D_
2. Overall relatively unremarkable abdomen with mild aerophagia and non-specific soft-tissue and mineral opaque material in the stomach.</t>
  </si>
  <si>
    <t>Thorax: There is mild diffuse peribronchial pattern.  The cardiac silhouette and pulmonary vasculature are unremarkable.  There is no evidence of lymphadenopathy or pleural effusion._x000D_
_x000D_
Abdomen: There is a moderate amount of heterogeneous soft tissue opacity within the gastric lumen.  The liver and spleen are unremarkable.  The lateral border of the left kidney appears flattened.  The remainder of the abdominal viscera is unremarkable.  Serosal detail is normal.</t>
  </si>
  <si>
    <t>Diffuse peribronchial pattern which may reflect a lower airway inflammatory process._x000D_
_x000D_
Suspect degenerative changes involving the left kidney.</t>
  </si>
  <si>
    <t>Three radiographs of the thorax are provided. Images dated 7/3/24 were reviewed for comparison. There is mild cardiac silhouette enlargement on the lateral views, similar to the previous study. Fat deposition augments cardiac silhouette size on the VD projection. Pulmonary vessels are prominent on the lateral views. The right caudal pulmonary artery is prominent on the VD projection. There is a patchy severe interstitial pattern adjacent to the heart and in the ventral lungs, similar to the previous study. No pleural effusion. Normal cranial abdomen.</t>
  </si>
  <si>
    <t>Cardiomegaly consistent with cardiomyopathy. Enlarged pulmonary vessels and patchy severe interstitial pattern indicating left-sided cardiac decompensation. Enlarged right caudal pulmonary artery is concerning for concurrent pulmonary hypertension.</t>
  </si>
  <si>
    <t>Treatment for heart failure is recommended.</t>
  </si>
  <si>
    <t xml:space="preserve">
1.This result detects mild to severe cardiomegaly._x000D_
2.Rarely, this result detects minimal to moderate pulmonary vasculature enlargement.  _x000D_
3.This result detects a mild to severe interstitial pulmonary pattern._x000D_
4.This result detects a mild to severe bronchial pulmonary pattern._x000D_
5.This result detects a minimal to moderate alveolar pulmonary pattern._x000D_
6.This result detects minimal to severe pleural fissure lines/fluid.</t>
  </si>
  <si>
    <t>3 images of the thorax are provided for review. There is a mild bronchial pattern in all lung lobes.  The cardiovascular structures are normal.  The mediastinal and pleural structures are normal.  Cranial abdominal detail is adequate.</t>
  </si>
  <si>
    <t>Opposite lateral and ventrodorsal thoracic radiographs (3 images) dated July 17, 2024._x000D_
_x000D_
_x000D_
_x000D_
The cardiac silhouette, pulmonary vasculature, and great vessels are within normal limits. The pulmonary parenchyma has a moderate diffuse bronchial pattern with milder unstructured interstitial changes. No pulmonary nodules, alveolar infiltrates, or other pathology is detected. The pleural space and diaphragm are normal. No mediastinal abnormalities are appreciated. The trachea is normal in diameter and course with gas filling its lumen. No intrathoracic lymphadenopathy is evident._x000D_
The liver, ingesta-filled stomach, and cranial peritoneal detail are normal._x000D_
There is thoracolumbar spondylosis deformans. No aggressive osseous lesions are identified.</t>
  </si>
  <si>
    <t>Moderate bronchitis. Rule out eosinophilic/feline asthma vs. infectious (bacterial or parasitic [including heartworm]) vs. chronic inhaled irritants. Less common conditions, such as pulmonary histoplasmosis, cytauxzoonosis, and infiltrative round cell neoplasia are unlikely.</t>
  </si>
  <si>
    <t>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</si>
  <si>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 xml:space="preserve">
1.This result detects equivocal/borderline to mild, or rarely moderate cardiomegaly. _x000D_
2.This result detects a minimal to mild interstitial pulmonary pattern.  _x000D_
3.This result detects a minimal to mild bronchial pulmonary pattern._x000D_
4.Rarely, this result detects a minimal alveolar pulmonary pattern._x000D_
5.This result does not detect pleural fissure lines/fluid.  _x000D_
6.This result does not detect pulmonary vasculature enlargement.</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</si>
  <si>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almost empty of food._x000D_
Small intestines are mildly gas and fluid filled, not overtly distended. No signs of mechanical ileus._x000D_
Unformed feces in th ecolon._x000D_
Serosal detail is preserved._x000D_
Liver and spleen are within normal limits of size and smoothly marginated._x000D_
Kidneys and urinary bladder WNL.</t>
  </si>
  <si>
    <t>1) Unremarkable thorax._x000D_
2) Unformed feces in the colon. Rule out colitis of allergic/inflammatory/idiopathic origin vs IBD flare up.</t>
  </si>
  <si>
    <t>Consider empirical treatment for colitis followed by abdominal US evaluating causes for unformed feces and the urinary tract with renal function test, urinalysis, UPC and urine culture.</t>
  </si>
  <si>
    <t xml:space="preserve">
1.The lungs are hyperinflated on the VD projection(s) and normally inflated on the lateral projection(s). On both the lateral and VD projection, an increase in pulmonary opacity is identified in the cranial thorax however the VD opacity is attributed to obliquity while the lateral projection is likely due to increased opacity cranial to heart due to overlying soft tissue or mediastinal fat deposition vs. exclusion of the cranial thorax from the image._x000D_
2.No pleural effusion is noted._x000D_
3.No cardiomegaly or pulmonary vessel enlargement is noted.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</si>
  <si>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Unformed feces seen in the colon._x000D_
Serosal detail is decreased due to a poor body condition and soft tissue summation._x000D_
Liver and spleen are within normal limits of size and smoothly marginated._x000D_
Kidneys and urinary bladder WNL.</t>
  </si>
  <si>
    <t>1) Unremarkable thorax without signs of cardiomegaly (this does not exclude a cardiomyopathy or a hyperthyroidism) pulmonary metastases nor signs of thoracic lymphadenopathy._x000D_
2) Unformed feces in the colon. Rule out disregulated hyperthyroidism vs colitis of allergic/inflammatory/idiopathic origin vs chronic enteropathy.</t>
  </si>
  <si>
    <t>Rule out disregulated hyperthyroidism evaluating the need of an abdominal US to further evaluate causes for soft feces._x000D_
Given the lack of cardiomegaly but audible murmur, consider a cardiology consultation with ECG and echocardiogram.</t>
  </si>
  <si>
    <t>Opposite lateral and VD views of the thorax and abdomen are provided._x000D_
_x000D_
There is a mild diffuse bronchial pulmonary pattern. There is a mild rightward mediastinal shift. There is subtle area of increased opacity in the area of the caudal subsegment of the right cranial lung lobe. The appearance is suggestive of focal atelectasis or possibly focal alveolar infiltrates._x000D_
The heart is mildly enlarged. Pulmonary vessels are within normal limits. No tracheal or esophageal abnormalities are identified._x000D_
_x000D_
The liver is moderately enlarged. Both kidneys are smaller than normal, especially the right kidney. Both have lobular margins, also more severe involving the right kidney. No abnormalities are identified involving the GI tract or the other organs. Abdominal serosal detail is normal. No mass lesions are seen._x000D_
_x000D_
There is severe chronic remodeling involving both elbows consistent with osteoarthritis. No destructive bone lesions are seen.</t>
  </si>
  <si>
    <t>There is mild generalized cardiomegaly, the appearance is suggestive of Hypertrophic Cardiomyopathy. However, there is no evidence of congestive heart failure, so relevance to the clinical signs is probably limited._x000D_
_x000D_
There is an area of subtle but unusual opacity in the right mid to cranial thorax and a mild rightward mediastinal shift. These findings suggest partial atelectasis involving the caudal subsegment of the right cranial lobe. This can occur secondary to bronchial obstruction or infection. This is more likely responsible for the tachypnea. Focal pneumonia cannot be excluded but is felt less likely._x000D_
_x000D_
There is moderate hepatomegaly, which could be related to the lymphoma or the prednisone, or both._x000D_
_x000D_
The appearance of the kidneys is most compatible with chronic nephrosis and degenerative change with scarring. The presence of renal cysts as indicated in the history could also contribute to this appearance. The rest of the abdomen is unremarkable.</t>
  </si>
  <si>
    <t>CBC is recommended to help rule out infectious causes of the pulmonary change._x000D_
Symptomatic and supportive care is recommended._x000D_
CT or bronchoscopy could be considered for more definitive evaluation._x000D_
_x000D_
The thoracic changes are fairly mild=ZZ90= upper airway pathology such as inflammation or lymphoma infiltration involving the larynx should also be ruled out as a cause of the clinical signs.</t>
  </si>
  <si>
    <t>Four radiographs of the thorax/abdomen are provided. The cardiac silhouette and pulmonary vessels are normal size and shape. Equivocal faint bronchial markings in the lungs. No pleural effusion. Faint curved 3.2 cm soft tissue opacity overlying the caudodorsal thorax on the lateral views is seen on midline on the VD projection consistent with incidental sliding hiatal hernia. No other abnormalities along the plane of the esophagus. Adequate tracheal diameter. In the abdomen the gastrointestinal tract is mildly filled. No effusion or organomegaly. The urinary bladder is mildly filled and soft tissue opaque. Osseous structures are unremarkable.</t>
  </si>
  <si>
    <t>Faint bronchial markings suggestive of chronic airway inflammation such as asthma. No other abnormalities are identified to explain the respiratory signs. Otherwise normal thorax and abdomen.</t>
  </si>
  <si>
    <t>3 views of the thorax are provided for review. The cardiovascular structures are normal. There is a diffuse interstitial pattern that is considered appropriate for the age of the patient. No pulmonary nodules or enlarged intrathoracic lymph nodes are seen. The pleural and mediastinal structures are normal. Cranial abdominal detail is adequate.</t>
  </si>
  <si>
    <t>Radiographically normal thorax for a patient of this age.</t>
  </si>
  <si>
    <t xml:space="preserve">
1.This result detects equivocal/borderline to mild, or rarely moderate cardiomegaly._x000D_
2.This result does NOT detect pleural fissure lines._x000D_
3.This result detects a minimal to mild bronchial pulmonary pattern._x000D_
4.This result detects a minimal to mild interstitial pulmonary pattern._x000D_
5.This result does NOT detect an alveolar pulmonary pattern._x000D_
6.This result does NOT detect pulmonary soft tissue nodules.</t>
  </si>
  <si>
    <t xml:space="preserve">Patient Name : Griffey Gonzalez, Date of study: Jul 15, 2024
3 images are provided for review
Feline Thorax (3 Images) - 2 Lateral, 1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</si>
  <si>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1. Mild diffuse bronchial pulmonary pattern.
- Differential diagnoses include infectious/immune-mediated lower airway disease such as from feline asthma, mycoplasma spp., bordetella spp., parasitism, or inhaled allergen/irritant, or less likely other.</t>
  </si>
  <si>
    <t>Consider respiratory PCR panel, airway sampling, and empirical deworming/fecal analysis for further evaluation.  Empirical therapy and supportive care in the interim as needed for reported coughing. Monitoring as directed or sooner if clinical signs acutely change, fail to improve or worsen.</t>
  </si>
  <si>
    <t xml:space="preserve">Patient Name : Havoc Chriss, Date of study: Jul 15, 2024
4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enlarged and tall in the lateral images.  The cardiac silhouette is mildly widened at its base in the ventrodorsal image. 
Mediastinum: The cranial mediastinum is normal.
Trachea: The trachea is normal.
Esophagus: The esophagus is not well-identified.
Pleural space: The pleural space is normal.
Musculoskeletal: The included musculoskeletal structures are normal.
</t>
  </si>
  <si>
    <t>1. Mil generalized cardiomegaly.
- This is consistent with reported hypertrophic cardiomyopathy.
- There is no current evidence of left-sided congestive heart failure.  
2. Minimal diffuse bronchial pulmonary pattern such as from infectious/immune-mediated lower airway disease, fibrosis from prior disease, age-related changes, or less likely other.</t>
  </si>
  <si>
    <t>Echocardiography, blood pressure and ECG for further evaluation of the heart as well as routine blood work and urinalysis if not recently performed.  Empirical therapy and supportive care in the interim as needed.  Monitoring as directed or sooner if clinical signs acutely change, fail to improve or worsen.</t>
  </si>
  <si>
    <t xml:space="preserve">
1.This result detects a minimal to mild interstitial pulmonary pattern.  _x000D_
2.This result detects a minimal to mild bronchial pulmonary pattern._x000D_
3.Rarely, this result detects a minimal alveolar pulmonary pattern._x000D_
4.This result detects equivocal/borderline to mild cardiomegaly._x000D_
5.This result does not detect pulmonary vasculature enlargement._x000D_
6.Rarely, this result detects minimal pleural fissure lines/fluid.</t>
  </si>
  <si>
    <t xml:space="preserve">If the patient has respiratory clinical signs, then differential diagnoses for the bronchial and interstitial pulmonary patterns include: immune-mediated lower airway disease (i.e. feline asthma) or infectious lower airway disease (such as mycoplasma spp., parasitism, viral, or other), evolving left-sided congestive heart failure, or less likely inhaled allergen/irritant, or unlikely other. If the patient has no respiratory clinical signs, then differential diagnoses for bronchial and interstitial pulmonary patterns include: changes from prior disease,  age-related factors, errors in patient positioning/technique, pulmonary hypoinflation, or a combination of these. The primary differential diagnosis for a minimal alveolar pattern is atelectasis or bronchial plugging such as from concurrent infectious/inflammatory lower airway disease (i.e. feline asthma).  Evolving left-sided congestive heart failure,  bronchopneumonia, or other differential diagnoses are considered less likely. Differential diagnoses for cardiomegaly include: hypertrophic or thyrotoxic cardiomyopathy in a mature or older patient, or congenital anomaly in a very young patient, or unlikely heartworm disease (unless in edemic areas) or unlikely phase of the cardiopulmonary cycle, patient positioning/technique, or individual variation of normal (especially in younger patients).  The primary differential diagnosis for minimal pleural fissure lines is tangential beam artifact or pleural thickening/folding.  Scant pleural fluid (such as from evolving left-sided congestive heart failure, or unlikely idiopathic, chylous, or other effusion) is also considered.  </t>
  </si>
  <si>
    <t xml:space="preserve">
If respiratory clinical signs (e.g. coughing) are present, consider empirical therapy and supportive care for infectious and/or immune-mediated lower airway disease in the interim.  Consider also airway sampling, fecal analysis/empirical deworming, and respiratory PCR panel._x000D_
If the patient becomes dyspneic, or has severe or progressive respiratory clinical signs, consider diuretic trial and oxygen therapy.  Repeat thoracic radiographs after 4-6 hours to evaluate for improvement of changes, and monitor for clinical improvement._x000D_
Consider cardiologist consultation, echocardiography, ECG and blood pressure._x000D_
Consider routine blood work, urinalysis, and thyroid function testing if not recently performed, especially for mature or older patients._x000D_
If your clinical impression of this patient does not match the content of this result, consider submitting the radiographs for a formal radiologist report.</t>
  </si>
  <si>
    <t>Orthogonal views of the abdomen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are WNL. The urinary bladder is markedly distended without signs of cystic/urethral calculi._x000D_
Inguinal lymph nodes mildly enlarged._x000D_
_x000D_
Visible thorax is unremarkable._x000D_
Left sided coxofemoral joint subluxation.</t>
  </si>
  <si>
    <t>1) Unremarkable urinary tract. Rule out FLUTD (idiopathic cystitis vs urethral plug)._x000D_
2) Reactive inguinal lymphadenopathy.</t>
  </si>
  <si>
    <t>Consider work up for FLUTD with renal function test, urinalysis, culture, potassium, fluid therapy and urine output. Evaluate the convenience of a urethral catheter placement._x000D_
Evaluate the convenience of a CT of the nasal cavity with rhinoscopy and biopsies.</t>
  </si>
  <si>
    <t>Three orthogonal thoracic radiographs dated 15th July 2024 are available for review. There are no previous radiographs available for comparison. _x000D_
_x000D_
Airway findings: The thorax is well inflated in the images. The trachea has a normal position, shape and size. The carina and tracheal bifurcation are normal. There is a mild diffuse bronchial pattern.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 _x000D_
_x000D_
Mediastinum and pleural space: No significant abnormalities are detected. _x000D_
_x000D_
Musculoskeletal findings:  No significant abnormalities are detected. _x000D_
_x000D_
Included abdomen: No significant abnormalities are detected.</t>
  </si>
  <si>
    <t>1.Diffuse mild bronchial pattern: Consideration should be given to allergic bronchitis (feline asthma), chronic bacterial /viral bronchitis +/- parasitic bronchitis. Less likely are heart worm, hyperardenocorticism, neoplasia (such a lymphoma) or idiopathic pulmonary fibrosis.</t>
  </si>
  <si>
    <t>Respiratory workup including CBC, serum chemistry, urinalysis, Baermann faecal testing, 4DX, +/- respiratory panel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t>
  </si>
  <si>
    <t>A three view thoracoabdominal study is provided for interpretation._x000D_
_x000D_
The heart is within normal size and shape limits. No pulmonary vascular abnormalities are seen. No pulmonary infiltrates or pleural effusion are identified._x000D_
All the abdominal organs are within normal size and shape limits. Abdominal serosal detail is normal. The colon is mildly distended with a large volume of fecal material. The upper GI tract is unremarkable._x000D_
The patient has lean body condition. No skeletal abnormalities are identified.</t>
  </si>
  <si>
    <t>The appearance of the cardiovascular structures is normal._x000D_
Congenital cardiac disease is considered unlikely._x000D_
Hypertrophic cardiomyopathy with concentric ventricular hypertrophy could still be present without significant radiographic changes.</t>
  </si>
  <si>
    <t>No radiographic abnormalities indicative of cardiac disease are identified. ECG and echocardiography could be considered for more definitive evaluation.</t>
  </si>
  <si>
    <t>Abdomen: There is mild decrease in serosal detail within the mid abdomen.  The liver is diffusely enlarged.  There are no abnormalities involving the visible portions of the spleen, urinary tract, or gastrointestinal tract.  On the visible portions of the thorax there is mild generalized cardiomegaly.  There is no evidence of cardiac decompensation.  The pulmonary parenchyma and pulmonary vasculature are unremarkable.  There is subcutaneous gas along the dorsal right thorax/cranial abdomen (recent subcutaneous fluids?).</t>
  </si>
  <si>
    <t>Suboptimal serosal detail within the mid abdomen.  This may be artifactual and secondary to summation with adjacent viscera.  Alternatively mild inflammation or peritoneal effusion cannot be ruled out.  Low amounts of intra-abdominal fat should also be considered._x000D_
_x000D_
Diffuse hepatomegaly.  Differential considerations are numerous however may include a hepatopathy, hepatitis, or possible neoplastic infiltrative process._x000D_
_x000D_
Mild generalized cardiomegaly without evidence of decompensation._x000D_
_x000D_
The subcutaneous gas may be secondary to subcutaneous fluids if administered.  Alternatively an infectious process or puncture wound should be considered.</t>
  </si>
  <si>
    <t xml:space="preserve">Three images are available for evaluation.
Images are dated July 13, 2024.
Pulmonary parenchyma: A minimal to mild diffuse bronchial pattern is present.  the lungs are slightly hyperinflated in the lateral and ventrodorsal images, with a flattened diaphragm in the lateral images, and slight tenting of the diaphragm in the ventrodorsal image.  
Pulmonary vasculature: The pulmonary vasculature is subjectively normal in size and tapers in the periphery of the lungs.
Cardiac silhouette: The cardiac silhouette is mildly rounded and enlarged in all images. The cardiac silhouette is slightly reniform in the right lateral image.
Mediastinum: The cranial mediastinum is normal.
Trachea: The trachea is normal.
Esophagus: The esophagus is not well-identified.
Pleural space: The pleural space is normal.
Musculoskeletal: T11-12 spondylosis deformans is present.  The remaining included musculoskeletal structures are normal.
</t>
  </si>
  <si>
    <t xml:space="preserve">1. Mild generalized cardiomegaly such as from hypertrophic or thyrotoxic cardiomyopathy, or less likely other.
- There is no current evidence of left-sided congestive heart failure.  
2. Minimal-mild diffuse bronchial pulmonary pattern due to infectious/immune-mediated lower airway disease (feline asthma and/or mycoplasma spp., bordetella spp., parasitism such as lung worms, or inhaled allergen/irritant), or unlikely other.
3. Mild hyperinflation and air-trapping of the lungs such as from immune-mediated lower airway disease/feline asthma.  </t>
  </si>
  <si>
    <t>Consider respiratory PCR panel, airway sampling, and fecal analysis/deworming for further evaluation of the reported cough. Especially if a murmur is identified, consider echocardiography, ECG and blood pressure for further evaluation, as well as routine blood work, thyroid function testing, and urinalysis if not recently performed. Empirical therapy and supportive care in the interim as needed. Monitoring as directed or sooner if clinical signs acutely change, fail to improve or worsen.</t>
  </si>
  <si>
    <t>Four images are available for evaluation.
Images are dated July 13, 2024.
Pulmonary parenchyma: A minimal diffuse interstitial and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(amended on 07/14/2024 11:56)
Ungloved human digits primary beam.</t>
  </si>
  <si>
    <t xml:space="preserve">1. Minimal diffuse interstitial and bronchial pulmonary patterns.
- Differential diagnoses include artifact, fibrosis from prior disease, or infectious/immune-mediated lower airway disease such as from mycoplasma spp., bordetella spp., parasitism, or inhaled allergen/irritant.
</t>
  </si>
  <si>
    <t>Consider respiratory PCR panel, airway sampling, and fecal analysis/empirical deworming for further evaluation.  Radiographic signs of pneumonia may lag behind clinical signs and recheck thoracic radiographs may be contributory to rescreen for pneumonia in 12-24 hours given reported fever.  Consider evaluation of the abdomen given reported retching or if abdominal clinical signs manifest for further evaluation.  Empirical therapy and supportive care in the interim as needed for coughing/retching. Monitoring as directed or sooner if clinical signs acutely change, fail to improve or worsen.</t>
  </si>
  <si>
    <t>Study:_x000D_
Thoracic/abdominal radiography: three images dated July 13,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extends mildly beyond the costal arch with smooth and sharp margins. The spleen is normal in size and margin. The kidneys are normal in size and contour. The urinary bladder is normal in size and opacity. There is mild to moderate multifocal thoracolumbar spondylosis deformans.</t>
  </si>
  <si>
    <t>1. Normal thorax. There is no radiographic evidence of cardiopulmonary disease._x000D_
2. The mild hepatomegaly may indicate vacuolar hepatopathy secondary to the reported diabetes. Hepatitis, lipidosis or infiltrative neoplasia cannot be excluded. Correlate with any liver enzyme abnormalities. Abdominal sonography can be considered for further evaluation if clinically relevant.</t>
  </si>
  <si>
    <t>There no radiographic contraindications to anesthesia.</t>
  </si>
  <si>
    <t xml:space="preserve">
1.This result detects a minimal, or rarely mild interstitial pulmonary pattern.  _x000D_
2.This result detects a minimal to moderate bronchial pulmonary pattern._x000D_
3.This result does not detect an alveolar pulmonary pattern._x000D_
4.This result detects equivocal/borderline to mild cardiomegaly. _x000D_
5.This result does not detect pulmonary vasculature enlargement._x000D_
6.This result does not detect pleural fissure lines/fluid.  </t>
  </si>
  <si>
    <t>3 views of the entire body are presented for review.  The cardiovascular structures are normal.  Mild bronchial markings are present in all lung lobes.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</si>
  <si>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Mild bronchial pulmonary pattern.  Considerations include asthma, heartworm, lungworm, atypical infection, bronchitis.  Consider empiric therapy versus further diagnostics such as heartworm testing, Baermann fecal, airway sampling.  Radiographically normal abdomen.</t>
  </si>
  <si>
    <t>Study:_x000D_
Thoracic radiography: three images dated July 12, 2024_x000D_
_x000D_
Findings:_x000D_
The cardiac silhouette and pulmonary vasculature are normal in size. There is a moderate generalized bronchial pulmonary pattern. The pleural space is normal. There is no intrathoracic lymphadenopathy. The trachea is normal in diameter and course. The stomach contains a small amount of heterogeneous soft tissue material presumed to be ingesta. The osseous structures are unremarkable. The patient is of overweight body condition.</t>
  </si>
  <si>
    <t>The moderate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t>
  </si>
  <si>
    <t>Opposite lateral and DV thoracoabdominal views are provided._x000D_
_x000D_
There is a moderate bronchial pulmonary pattern. This was also present in the previous radiographs made 7-10-24. The pattern is more prominent in the current study, but this can likely be accounted for by reduced thoracic inflation relative to the previous radiographs. No alveolar infiltrates are identified. The lung pattern has progressed relative to the previous radiographs made 3-25-24._x000D_
Thin pleural fissure lines are faintly visible. This was also present in the previous study two days ago but is slightly more prominent in the current radiographs. In the DV view there is increased opacity in the left caudal thorax and along the left side of the cardiac silhouette. This is believed to be partly due to the DV vs. VD positioning and increased visibility of pericardial mediastinal fat, and partly due to a slight increase in pleural fluid._x000D_
There is a moderate reduction in abdominal serosal detail. Similar reduced detail was also present in the previous radiographs. This finding may be slightly more prominent, but the difference is a subtle change._x000D_
There is moderate ventral subluxation of the lumbosacral joint, with moderate to severe endplate sclerosis and mild spondylosis. No destructive bone lesions are seen.</t>
  </si>
  <si>
    <t>The bronchial pattern is consistent with lower airway disease such as bronchitis, asthma, or parasitic infection._x000D_
The overall pattern is similar to the previous study made two days ago, but progressed relative to the radiographs made four months ago. Possibilities would include infectious bronchitis vs. asthma vs. parasitic infection such as lungworms or heartworm disease._x000D_
_x000D_
There is slight pleural effusion, which would not typically be seen with asthma/allergic lung disease or parasitism. Rule outs considered more likely would include infectious bronchitis, atypical infectious disease such as fungal or protozoal disease, or less likely lymphoreticular neoplasia._x000D_
_x000D_
There is evidence of ascites, which was also seen in the previous study.</t>
  </si>
  <si>
    <t>Antibiotic therapy for possible infectious bronchitis be considered._x000D_
Additional labwork to rule out infectious and parasitic agents such as serology for fungal or protozoal diseases, heartworm testing, and Baermann fecal exam for lungworms should also be considered.</t>
  </si>
  <si>
    <t>WHOLE-BODY (3 total radiographs for review). _x000D_
_x000D_
- Moderate diffuse bronchial pulmonary pattern._x000D_
- The cardiac silhouette and pulmonary vasculature are normal._x000D_
- The trachea, esophagus and remainder of the mediastinum are normal._x000D_
- The pleural space and remaining intrathoracic structures are normal._x000D_
- Peritoneal serosal detail is normal._x000D_
- The stomach contains moderate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Minimal multifocal spondylosis deformans._x000D_
- Mildly excessive body habitus.</t>
  </si>
  <si>
    <t>1. Moderate diffuse bronchial pattern. Most likely compatible with chronic lower airway disease.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considered._x000D_
_x000D_
2.  Radiographically unremarkable cardiac silhouette and pulmonary vasculature.  Radiographic sensitivity for concentric cardiac hypertrophy may be limited and if an audible cardiac murmur is present, echocardiogram may still be considered regardless._x000D_
_x000D_
3. Recent meal and mild constipation.  Otherwise normal abdomen._x000D_
_x000D_
4. Mildly excessive body habitus.</t>
  </si>
  <si>
    <t xml:space="preserve">
1.This result detects a minimal to mild interstitial pulmonary pattern.  _x000D_
2.This result detects a minimal to mild, or rarely moderate bronchial pulmonary pattern._x000D_
3.Rarely, this result detects a minimal alveolar pulmonary pattern._x000D_
4.This result detects none, or less commonly equivocal/borderline to mild cardiomegaly. _x000D_
5.This result does not detect pulmonary vasculature enlargement._x000D_
6.Rarely, this result detects minimal pleural fissure lines/fluid.  </t>
  </si>
  <si>
    <t>WHOLE-BODY (6 total radiographs for review). _x000D_
_x000D_
- Peritoneal serosal detail is normal._x000D_
- The stomach contains mild gas and gas-stippled soft-tissue opaque material, as well as a few small mineral opaque foci._x000D_
- The small intestine contains mild multifocal gas and soft-tissue opaque material, as well as multiple tiny granular, mineral opaque foci._x000D_
- The colon contains gas, soft-tissue/fluid and mild formed fecal material, which contains a few ill-defined mineral opaque foci._x000D_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</si>
  <si>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Relatively unremarkable abdomen with recent meal and mild nonspecific granular mineral opaque material throughout the gastrointestinal tract, without obstruction. A discrete cause for the reported lethargy is not clearly identified._x000D_
_x000D_
2. Normal thorax.</t>
  </si>
  <si>
    <t>WHOLE-BODY (6 total radiographs for review). _x000D_
_x000D_
- Peritoneal serosal detail is normal._x000D_
- The stomach is nondistended and contains mild gas and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The cardiac silhouette is mildly enlarged, characterized by an increased cardiac height and widened cardiac based on the VD projection._x000D_
- The pulmonary vasculature is normal._x000D_
- Diffuse bronchial pulmonary pattern and multiple thickened pleural fissures._x000D_
- Mild widening of the cranial mediastinum._x000D_
- The trachea, esophagus and remainder of the mediastinum are normal._x000D_
- The pleural space and remaining intrathoracic structures are normal._x000D_
- Multiple open physes are present, which is consistent with the patient age._x000D_
- There is the impression of mild atrophy of the left thoracic limb soft-tissues as compared to the right_x000D_
- The included portions of the left scapula are normal._x000D_
- The left shoulder joint is normal._x000D_
- The left brachium is normal._x000D_
- The left elbow joint is normal._x000D_
- The left antebrachial region is normal._x000D_
- The left carpus is normal._x000D_
- The left metacarpal region is normal._x000D_
- The left distal limb structures are normal._x000D_
- The right thoracic limb structures are normal.</t>
  </si>
  <si>
    <t>1.  Radiographically unremarkable abdomen, with mild constipation.  No evidence of obvious foreign material or mechanical obstruction. The small volume of material present in the gastric lumen most resembles recent ingesta, but could contain some foreign material.  If clinical signs persist despite medical management, you may consider abdominal ultrasonography for further assessment._x000D_
_x000D_
2. Mild generalized cardiomegaly, without pulmonary vasculature congestion or congestive heart failure. Consider cardiomyopathy (e.g. hypertrophic, restrictive, unclassified). If dexmedetomidine was used for sedation, a component of the cardiomegaly may be medication induced._x000D_
_x000D_
3. Mild diffuse bronchial pattern with few thickened pleural fissures. Most likely compatible with chronic lower airway disease. Feline asthma is most likely, however bronchitis of infectious (e.g. parasitic, bacterial) or inhaled irritant etiologies are also possible._x000D_
_x000D_
4.  Although there is the impression of mild left thoracic limb muscle atrophy, a discrete osseous or soft tissue abnormality to explain the reported left thoracic limb lameness is not clearly identified. No fractures, luxations or other bone lesions are noted. A radiographically inapparent soft tissue injury is possible.  If the patient=ZZ91=s lameness persists or does not improve despite medical management and exercise restriction, consider thoracic limb CT and/or orthopedic consultation for further assessment.</t>
  </si>
  <si>
    <t xml:space="preserve">
1.This result detects a minimal to moderate bronchial pulmonary pattern._x000D_
2.This result detects a minimal to mild interstitial pulmonary pattern._x000D_
3.This result does NOT detect an alveolar pulmonary pattern._x000D_
4.This result detects equivocal/borderline to moderate cardiomegaly._x000D_
5.This result does NOT detect pleural fissure lines.</t>
  </si>
  <si>
    <t xml:space="preserve">Patient Name : Appa Quinonez, Date of study: Jul 12, 2024
3 images are provided for review
Feline Thorax (3 Images) - 1 Vd, 2 Lateral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tall in the lateral images.  The cardiac silhouette is wide at its base in the ventrodorsal images.
Mediastinum: The cranial mediastinum is normal.
Trachea: The trachea is suspiciously narrowed from the thoracic inlet towards the carina in both lateral images.  
Esophagus: The esophagus contains minimal or mild gas.
Pleural space: The pleural space is normal.
Musculoskeletal: The included musculoskeletal structures are normal.
</t>
  </si>
  <si>
    <t xml:space="preserve">1. Mild generalized cardiomegaly or unlikely artifact from phase of the cardiopulmonary cycle/patient positioning.
- Consider a congenital anomaly (atrial/ventricular septal defect or unlikely other) or acquired cardiomyopathy if present.
- No current evidence of left-sided congestive heart failure.
2. Suspicious for tracheal narrowing or less likely artifact.
- Consider chondromalacia from underlying infectious/immune-mediated airway disease, versus secondary to aerophagia or cough, or unlikely congenital anomaly.  
3. Mild diffuse bronchial pulmonary pattern such as from infectious/immune-mediated lower airway disease (feline asthma versus mycoplasma spp., bordetella spp., parasitism, or other), inhaled allergen/irritant, or unlikely other.
</t>
  </si>
  <si>
    <t>Consider echocardiography, ECG and blood pressure for further evaluation, especially if a murmur is identified.  If signs progress to dyspnea, consider diuretic therapy, oxygen therapy and repeat thoracic radiographs in 4-6 hours to monitor for progression/resolution of the pulmonary pattern.  Empirical therapy and supportive care for possible infectious/immune-mediated airway disease in the interim.  If cardiac disease is ruled out and signs persist, consider tracheoscopy/bronchoscopy for further evaluation.  Routine blood work and fecal analysis/empirical deworming may be contributory.    Monitoring as directed or sooner if signs acutely change, fail to improve or worsen.</t>
  </si>
  <si>
    <t xml:space="preserve">
1.This result detects minimal to mild, mixed interstitial and bronchial pulmonary patterns._x000D_
2.Rarely, this result detects minimal to mild pleural fissure lines/fluid._x000D_
3.This result detects minimal/equivocal to moderate cardiomegaly._x000D_
4.This result does NOT detect an alveolar pulmonary pattern.  _x000D_
5.This result does NOT detect soft tissue pulmonary nodules.</t>
  </si>
  <si>
    <t xml:space="preserve">Patient Name : Tuxedo Rivera, Date of study: Jul 12, 2024
3 images are provided for review
Feline Thorax (3 Images) - 2 Lateral, 1 Vd
There are no previous radiographs for comparison.
Pulmonary parenchyma: A minimal to mild diffuse bronchial pattern is present.  A minimal diffuse interstitial pattern is present.  
Pulmonary vasculature: The pulmonary vasculature is subjectively normal in size and tapers in the periphery of the lungs.
Cardiac silhouette: The cardiac silhouette is mildly rounded and tall in the lateral images, with a slight reniform shape.  The cardiac silhouette has a rounded apex and is slightly widened in the ventrodorsal image.  
Mediastinum: The cranial mediastinum is normal.
Trachea: The trachea is normal.
Esophagus: The esophagus is not well-identified.
Pleural space: The pleural space is normal.
Musculoskeletal: The included musculoskeletal structures are normal.
</t>
  </si>
  <si>
    <t xml:space="preserve">1. Mild generalized cardiomegaly such as from hypertrophic or thyrotoxic cardiomyopathy, or unlikely other.
- There is no current evidence of left-sided congestive heart failure.  
2. Minimal diffuse bronchial and interstitial pulmonary patterns due to fibrosis from prior disease, age related changes, infectious/immune-mediated lower airway disease, or unlikely other.
3. No obvious pulmonary soft tissue nodules or intra-thoracic lymphadenomegaly.  </t>
  </si>
  <si>
    <t>Echocardiography, ECG and blood pressure for further evaluation, especially if a murmur is identified.  Routine blood work, thyroid function testing, and urinalysis to screen for occult systemic disease if not recently performed.  Consider respiratory PCR panel, airway sampling, and fecal analysis/deworming for further evaluation of the reported clinical signs.  Empirical therapy and supportive care in the interim as needed.  Monitoring as directed or sooner if clinical signs acutely change, fail to improve or worsen.</t>
  </si>
  <si>
    <t>WHOLE-BODY (2 total radiographs for review).  A previous examination is available for comparison from 2022._x000D_
_x000D_
- Peritoneal serosal detail is reduced in the mid-abdomen._x000D_
- The spleen is markedly enlarged, with rounded margins._x000D_
- The stomach is mostly empty._x000D_
- The small intestine contains mild multifocal gas and soft-tissue opaque material_x000D_
- The colon contains gas, soft-tissue/fluid and mild formed fecal material._x000D_
- The kidneys are small and irregular bilaterally._x000D_
- The liver and urinary bladder are normal._x000D_
- Moderate diffuse bronchial pulmonary pattern._x000D_
- The cardiac silhouette and pulmonary vasculature are normal._x000D_
- The remaining included intrathoracic structures are normal._x000D_
- Mild multifocal spondylosis deformans.</t>
  </si>
  <si>
    <t>1. Markedly enlarged spleen with locoregional steatitis/peritonitis. This is fairly atypical in a cat, and although it may be entirely extramedullary hematopoiesis given the reported regenerative anemia, the chance of primary splenic pathology (e.g. mast cell tumor, lymphoma, multiple myeloma) is considered. A component may be congestion from sedation, if used, and/or lymphoid hyperplasia.  Consider abdominal ultrasonography with guided fine needle aspiration of the splenic parenchyma._x000D_
_x000D_
2. Moderate-to-marked bilateral chronic degenerative renal changes._x000D_
_x000D_
3. Moderate diffuse bronchial pattern. A component of this may be normal age-related lower airway change, however chronic lower airway disease (e.g. feline asthma, bronchitis of infectious or inhaled irritant etiology) is also possible._x000D_
_x000D_
4. Mild multifocal spondylosis deformans.</t>
  </si>
  <si>
    <t xml:space="preserve">
1.This result detects a minimal to moderate interstitial pulmonary pattern.  _x000D_
2.This result detects a minimal to moderate bronchial pulmonary pattern._x000D_
3.Rarely, this result detects a minimal alveolar pulmonary pattern._x000D_
4.This result does not detect soft tissue pulmonary nodules._x000D_
5.This result detects moderate to severe, or rarely mild cardiomegaly._x000D_
6.Uncommonly, this result detects minimal to mild pulmonary vasculature enlargement._x000D_
7.Rarely, this result detects minimal pleural fissure lines/fluid.  </t>
  </si>
  <si>
    <t>If the patient is dyspneic, or has severe or progressive respiratory clinical signs, rule out left-sided congestive heart failure.  If the patient has mild or no respiratory clinical signs, then differential diagnoses for the bronchial and interstitial pulmonary patterns include: infectious lower airway disease (such as mycoplasma spp., parasitism, viral, or other), immune-mediated lower airway disease (feline asthma), inhaled allergen/irritant, changes from prior disease,  age-related factors, errors in patient positioning/technique, pulmonary hypoinflation, or a combination of these. Differential diagnoses for an alveolar pulmonary pattern include: left-sided congestive heart failure, atelectasis such as from bronchial plugging (such as from concurrent immune-mediated or infectious lower airway disease) or recumbency, or less likely bronchopneumonia, or other. Differential diagnoses for cardiomegaly include: hypertrophic or thyrotoxic cardiomyopathy in a mature or older patient, or congenital anomaly in a very young patient, or unlikely heartworm disease (unless in edemic areas). Differential diagnoses for pleural fissure lines/fluid include:  left-sided congestive heart failure, tangential beam artifact, pleural folding, or less likely chylous, malignant effusion, hemorrhage, or other.</t>
  </si>
  <si>
    <t>WHOLE-BODY (4 total radiographs for review). Previous examination is available dated 02/15/24._x000D_
_x000D_
- Peritoneal serosal detail is normal._x000D_
- The urinary bladder is of slightly limited assessment due to superimposition on the left lateral projection however it on the right lateral projecting is well visualized and is mostly homogenously soft tissue opaque._x000D_
- The region of the urethra, ureters and kidneys are normal._x000D_
- The stomach contains moderate gas-stippled soft-tissue opaque material_x000D_
- The small intestine contains mild multifocal gas and soft-tissue opaque material_x000D_
- The colon contains gas, soft-tissue/fluid and mild formed fecal material._x000D_
- The liver, spleen are normal._x000D_
- The cardiac silhouette and pulmonary vasculature are normal._x000D_
- There is mild pulmonary hyperinflation._x000D_
- The trachea, esophagus and remainder of the mediastinum are normal._x000D_
- The pleural space and remaining intrathoracic structures are normal._x000D_
- No musculoskeletal abnormalities are noted.</t>
  </si>
  <si>
    <t>1.  Radiographically unremarkable urinary bladder and urinary structures (urethra, region of ureters, kidneys).  No evidence of radiopaque urolithiasis.  Slightly limited assessment of the bladder due to superimposition on the left lateral projection.  For further assessment, consider abdominal ultrasound._x000D_
_x000D_
2. Recent meal._x000D_
_x000D_
3.  Pulmonary hyperinflation can be incidental (deep inspiration) however can indicate air trapping, which occurs secondary to lower airway disease such as feline asthma or chronic bronchitis</t>
  </si>
  <si>
    <t xml:space="preserve">
1.This result detects a minimal to moderate bronchial pulmonary pattern._x000D_
2.This result detects a minimal to mild interstitial pulmonary pattern._x000D_
3.This result does NOT detect an alveolar pulmonary pattern. _x000D_
4.This result does NOT detect pleural fissure lines._x000D_
5.This result detects mild to moderate cardiomegaly.</t>
  </si>
  <si>
    <t>Patient Name : Walter Parrish, Date of study: July 11, 2024
Thorax/abdomen: 3 images are provided for review (two lateral, 1 VD).
There are no previous radiographs for comparison.
Findings:
Cardiac silhouette: The cardiac silhouette is normal in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filled with heterogeneous ingesta admixed with gas. The small intestine is diffusely within normal limits of diameter and distribution. The colon is normal in size and filled with loosely formed feces and gas.
Liver: The liver is normal in size and shape.
Spleen: The spleen is normal in size and has smooth margins.
Urinary: The kidneys are normal in size, shape, and margination. The urinary bladder is mildly distended and normal in opacity.
Peritoneal space: Incidentally, there is a peripherally mineralized, spherical structure in the mid ventral abdomen, consistent with a Bates body (0.6 cm in diameter).
Musculoskeletal: There are only six lumbar type vertebrae. There are four sacral vertebral segments. The first sacral segment is not fused with the second sacral vertebral body. There is moderate spondylosis deformans of L6-S1.</t>
  </si>
  <si>
    <t>1. Normal thorax and abdomen.
2. The L7 vertebral body is sacralized and there is moderate degeneration of the lumbosacral junction.</t>
  </si>
  <si>
    <t>There are no contraindications for general anesthesia/prophylactic dental cleaning. If respiratory symptoms develop, repeat three view thoracic radiographs would be recommended.</t>
  </si>
  <si>
    <t>Five radiographs of the thorax are provided. The abdomen is included on one of the lateral views. The cardiac silhouette and pulmonary vessels are normal size. There is a moderate bronchial pattern throughout the lungs. There is increased opacity with faint lobar sign overlying the heart on the left lateral view. The right cranial lung lobe is poorly aerated on the VD projections. No soft tissue pulmonary nodules or pleural effusion. Chronic caudal left rib fractures, incidental today. Normal tracheal diameter. No esophageal dilation. In the abdomen there is small volume gas in the stomach and small bowel, with large volume gas in the colon. Formed feces in the colon. No organomegaly or effusion. Narrowed L4-5 intervertebral disc space with spondylosis deformans is likely incidental. Small mineral densities in the stifle joints is likely meniscal mineralization, a common incidental finding in older feline patients.</t>
  </si>
  <si>
    <t>1. Moderate bronchial pattern consistent with chronic airway inflammation such as asthma. Increased opacity in the right cranial lung lobe may be due to chronic insult and collapse/fibrosis. Mild aspiration pneumonia is not ruled out._x000D_
2. Aerophagia otherwise normal abdomen.</t>
  </si>
  <si>
    <t>Recommend treatment for aspiration pneumonia, followed by treatment for allergic airway disease.</t>
  </si>
  <si>
    <t xml:space="preserve">
1.This result detects equivocal/borderline cardiomegaly._x000D_
2.This result detects a minimal to mild interstitial pulmonary pattern._x000D_
3.This result detects a minimal to mild bronchial pulmonary pattern._x000D_
4.This result does NOT detect an alveolar pulmonary pattern. _x000D_
5.Rarely, this result detects minimal pleural fissure lines/fluid.</t>
  </si>
  <si>
    <t>Two views of the thorax are provided for review. There is a moderate to severe bronchial pattern in all lung lobes.  The cardiovascular structures are normal.  The mediastinal and pleural structures are normal.  Cranial abdominal detail is adequate.</t>
  </si>
  <si>
    <t>Moderate to severe bronchial pulmonary pattern.  Considerations include asthma, heartworm, lungworm, atypical infection, bronchitis.</t>
  </si>
  <si>
    <t>Six radiographs of the thorax/abdomen and pelvic limbs are provided. The cardiac silhouette is upper normal size. The heart lies flat along the sternum, an incidental aged feline variant. This also results in incidental aortic knob on the VD projection. There are no abnormalities in the pulmonary parenchyma or pleural space. In the abdomen, there is no effusion. The gastrointestinal tract is moderately filled. The liver is upper normal size with smooth margins. Normal-sized spleen and kidneys. No radiopaque urolithiasis. Mild narrowed T13-L1 intervertebral disc space. The coxofemoral joints are congruent. Pelvic limb musculature is adequate and symmetric. Patellar location is normal. Punctate mineral density in the cranial aspect of both cycle joints is likely incidental meniscal mineralization, a common finding in older feline patients.</t>
  </si>
  <si>
    <t>The appearance of T13-L1 may represent a protruding/extruded intervertebral disc. Such a lesion at this or another site may be responsible for discomfort. No pelvic limb abnormalities are appreciated. Soft tissue sprain/strain is also possible. The abdomen and thorax are normal.</t>
  </si>
  <si>
    <t>Recommend palpating for spinal/musculoskeletal discomfort, and a neurologic examination.</t>
  </si>
  <si>
    <t xml:space="preserve">
1.This result detects equivocal/borderline to mild, or rarely moderate cardiomegaly. _x000D_
2.This result detects a minimal, or rarely mild interstitial pulmonary pattern.  _x000D_
3.This result detects a mild to moderate, or rarely severe bronchial pulmonary pattern._x000D_
4.Rarely, this result detects a minimal alveolar pulmonary pattern._x000D_
5.This result does not detect pulmonary vasculature enlargement._x000D_
6.This result does not detect pleural fissure lines/fluid.  </t>
  </si>
  <si>
    <t>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</si>
  <si>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 xml:space="preserve">Patient Name : Gus Morris, Date of study: Jul 11, 2024
5 images are provided for review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enlarged generally.
Mediastinum: The cranial mediastinum is normal.
Trachea: The trachea is normal.
Esophagus: The esophagus is not well-identified.
Pleural space: The pleural space is normal.
Musculoskeletal: The included musculoskeletal structures are normal.
</t>
  </si>
  <si>
    <t>1. Mild generalized cardiomegaly.
- Differential diagnoses include hypertrophic or thyrotoxic cardiomyopathy, or unlikely other.
- There is no evidence of left-sided congestive heart failure.  
2. Minimal diffuse bronchial pulmonary pattern such as from fibrosis from prior disease, age-related changes, or less likely infectious/immune-mediated lower airway disease (mycoplasma spp., bordetella spp., parasitism such as lung worms, or inhaled allergen/irritant), or unlikely other.</t>
  </si>
  <si>
    <t>Echocardiography, ECG and blood pressure for further evaluation.  Routine blood work and thyroid function testing  if not recently performed. Empirical therapy and supportive care in the interim as needed. Monitoring as directed or sooner if clinical signs acutely change, fail to improve or worsen.</t>
  </si>
  <si>
    <t>Patient Name: Kenta Wolham, Date of study: July 11, 2024.
Thorax and abdomen: 5 images are provided for review (2 lateral, 3 VD). 
Compared to July 14, 2023.
Findings:
Cardiac silhouette: The cardiac silhouette remains within normal limits (VHS 7.5).
Pulmonary vessels: The pulmonary arteries and veins remain normal in size and are symmetrical.
Pulmonary parenchyma: The pulmonary parenchyma remains normal, with no evidence of abnormal pulmonary patterns, nodules, or masses.
Pleural space: The pleural space is within normal limits, unchanged.
Mediastinum: The mediastinum is normal in width and opacity. Similar to previous, there is no evidence of intrathoracic lymphadenopathy.
Trachea: The trachea is normal in diameter and course, unchanged.
Esophagus: The region of the esophagus is within normal limits.
Gastrointestinal tract: The stomach is empty and normal in position. The small intestine is diffusely within normal limits of diameter and distribution and is primarily soft tissue opaque. The colon contains loosely formed feces and gas.
Liver: The liver is normal in size and shape.
Spleen: The spleen is unremarkable.
Urinary: The kidneys are normal in size, shape, and margination. The urinary bladder is normal in size and opacity.
Peritoneal space: There is adequate serosal detail.
Musculoskeletal: The included skeletal and superficial soft tissue structures of the study are unremarkable.</t>
  </si>
  <si>
    <t>1. Normal thorax. There are no secondary changes of the cardiovascular structures associated with the reported diagnosis of hypertrophic cardiomyopathy. There is no evidence of heart failure.
2. Normal abdomen.</t>
  </si>
  <si>
    <t>Recheck three-view thoracic radiographs are recommended as directed, sooner if coughing or other respiratory signs develop.</t>
  </si>
  <si>
    <t>Study:_x000D_
Abdominal radiography: four images dated July 10, 2024_x000D_
_x000D_
Findings:_x000D_
There is moderate peritoneal effusion.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cardiac silhouette is small and there is attenuation the pulmonary vasculature. The osseous structures are unremarkable.</t>
  </si>
  <si>
    <t>1. Moderate nonspecific peritoneal effusion. A cause is not radiographically evident. The abdomen is otherwise unremarkable. Abdominal sonography, abdominocentesis and pancreatic lipase testing should be considered for further evaluation._x000D_
2. The microcardia and attenuation of the pulmonary vascular is suggestive of dehydration/hypovolemia.</t>
  </si>
  <si>
    <t xml:space="preserve">Patient Name : Baby Zepeda, Date of study: Jun 14, 2024
3 images are provided for review
Feline Thorax (3 Images) - 2 Lateral, 1 Vd
There are no previous radiographs for comparison.
Bones/Joints:  Bilateral sacroiliac subluxations are present.  The ilial wings are severely cranially displaced from the sacrum in the ventrodorsal image.  
Slight osteophyte production is at the craniodorsal acetabular rims bilaterally.  There is adequate coverage of the femoral heads by the acetabulums.  The included lumbar spine is normal.  
There is no evidence of medullary sclerosis, osteolysis, endosteal scalloping, or periosteal proliferation.
Soft tissues:  The caudoventral abdominal body wall/pre-pubic tendon region is subjectively normal.  The inguinal soft tissues have increased fat subjectively, and an ovoid soft tissue structure in the inguinal fat is presumed an inguinal lymph node.  A second, presumed more superficial soft tissue nodule is suspected in the inguinal soft tissues.  The remaining included soft tissues are normal.
</t>
  </si>
  <si>
    <t>1. Bilateral sacroiliac subluxations.
2. Minimal bilateral coxofemoral joint osteoarthrosis.
3. No obvious inguinal herniation/pre-pubic tendon avulsion.
4. inguinal soft tissue nodule, consistent with reported history, due to repetitive trauma (possibly from abnormal weight bearing due to reported injury) and/or fibroma, granuloma, or unlikely hyperplasia or neoplasia.</t>
  </si>
  <si>
    <t>Consider dermatologist or possibly surgeon consultation for further evluation of suspected superficial inguinal lesion, and empirical therapy/supportive care in the interim as needed. 
 Abdominal imaging for further evaluation or recheck evaluation of the inguinal region as needed, especially if signs fail to improve/worsen.  Consider orthopedist consultation for evaluation of sacroiliac luxation and possible surgical intervention.  Empirical therapy and supportive care in the interim as needed.  Monitoring as directed or sooner if clinical signs acutely change, fail to improve or worsen.</t>
  </si>
  <si>
    <t>Patient Name : Tamara Cowan, Date of study: Jul 10, 2024
8 images are provided for review
There are no previous radiographs for comparison.  Evaluation of the abdomen is requested.  
Liver: The liver is subjectively normal in size.
Spleen: The spleen is mildly enlarged and extends into the caudal abdomen in the ventrodorsal image.  This is not identified in the lateral images.  
Kidneys: The left kidney is minimally small with an undulant or concave caudal margin in the ventrodorsal image.  The right kidney is normal.  
Retroperitoneum: Retroperitoneal detail is adequate.
Urogenital: The urinary bladder is normal in size, homogeneous soft tissue, and smoothly marginated.
Peritoneum: Peritoneal detail is adequate.
Gastrointestinal tract: The stomach contains a moderate volume of gas and minimal mineral material.  Soft tissue material is in the body of the stomach in the ventrodorsal image.  The stomach is normal in size.  Gas is suspected in the pylorus and descending duodenum.  
The small intestine contains moderate gas and mild fluid or is empty with a subjectively uniform population for size. Minimal mineral is suspected in some small intestinal segments.
The colon contains mild heterogeneous soft tissue material and gas.  Minimal mineral is suspected admixed with colon contents.  
Musculoskeletal: Mild bilateral coxofemoral joint osteoarthrosis is present.  The remaining included musculoskeletal structures are normal.
(amended on 07/10/2024 12:40)
Peritoneum:  A tubular soft tissue opacity is superimposed over the spleen and kidney in the ventrodorsal images.</t>
  </si>
  <si>
    <t>1. Mild splenomegaly versus artifact from positioning/technique or individual variation of normal.
- If present, differential diagnoses include extramedullary hematopoiesis, lymphoid hyperplasia, splenitis such as from tick-borne illnesses, or unlikely other.  
2. Mild left chronic renal disease.
3. Gastric material due to recent meal and/or gastritis/delayed gastric emptying, or unlikely other.
4. Non-specific small intestinal changes such as from enteritis, or individual variation of normal.
- No evidence of small intestinal mechanical ileus is this examination.  
5. Minimal colonic mineral material due to dietary indiscretion and/or underlying colitis.
6. Mild bilateral coxofemoral joint osteoarthrosis
(amended on 07/10/2024 12:40)
7. Possible prominent versus enlarged left pancreatic limb, versus superimposed normal structures or unlikely other._x000D_
- If this is the left pancreas, pancreatitis is possible._x000D_
- There is no obvious evidence of peritoneal fluid/peritonitis.</t>
  </si>
  <si>
    <t>Consider GI panel, fecal analysis/deworming, and routine blood work for further evaluation if not recently performed.  Empirical therapy and supportive care in the interim as needed for presumed dietary indiscretion given reported history.  Abdominal ultrasonography for further evaluation, especially if signs fail to improve or worsen with empirical therapy.  4DX testing for further evluation of splenomegaly due to tick-borne illness given reported wildlife exposure, especially if other diagnostics are inconclusive.  Consider echocardiography for further evaluation of the heart, especially if a murmur is identified.</t>
  </si>
  <si>
    <t xml:space="preserve">
1.This result detects a minimal to mild interstitial pulmonary pattern.  _x000D_
2.This result does not detect pulmonary vasculature enlargement._x000D_
3.Rarely, this result detects minimal pleural fissure lines/fluid.  _x000D_
4.This result detects none, or equivocal/borderline to moderate cardiomegaly. _x000D_
5.This result detects a minimal to mild, or rarely moderate bronchial pulmonary pattern._x000D_
6.Rarely, this result detects a minimal alveolar pulmonary pattern.</t>
  </si>
  <si>
    <t>A three view study of the thorax that includes the cranial abdomen is provided._x000D_
_x000D_
No tracheal or laryngeal abnormalities are identified. The pulmonary vessels and parenchyma are within normal limits for patient age. The appearance of the heart is normal._x000D_
There is an unusual area of subtle increased opacity in the right cranial thorax at the level of the second rib in the VD view that appears to correspond to similarly subtle ill defined opacity in the lateral views. However, the opacity in the lateral views is slightly more caudal than what is seen in the VD view._x000D_
The liver is so a small for patient size. There are many small calculi in the left kidney, and a few tiny calculi in the right kidney. The kidneys are within normal size and shape limits. There is a mild increase in small intestinal gas but no pathologic dilation is seen.</t>
  </si>
  <si>
    <t>The gassy appearance of the intestines is likely aerophagia secondary to the upper respiratory congestion._x000D_
Nephrolithiasis is identified, more severe and left kidney._x000D_
_x000D_
The appearance of the respiratory tract is Johnny within normal limits, aside from an unusual opacity in the right caudal thorax in the VD view. This shadow is unusual and a VD but does not translate to concerning evidence of pulmonary pathology in the lateral views. The appearance in the lateral views is more caudal, and the general area of the sternal lymph node but still not convincing for sternal lymphadenopathy. Atypical fat accumulation in the mediastinum is a possibility, since the patient is overweight in general.</t>
  </si>
  <si>
    <t>There is an unusual opacity in the right cranial thorax. The appearance is subjectively benign but etiology cannot be determined also potential for pathology still remains unknown. CT would probably be necessary for more definitive evaluation._x000D_
A recheck a three view study of the cranial thorax with the limbs pulled forward away from the chest is recommended in one month._x000D_
_x000D_
Medical management for the upper respiratory disease is recommended. The lungs do not appear to be involved.</t>
  </si>
  <si>
    <t xml:space="preserve">
1.This result detects a minimal to mild or rarely moderate bronchial pulmonary pattern._x000D_
2.This result detects a minimal to mild or rarely moderate interstitial pulmonary pattern._x000D_
3.Rarely, this result detects a minimal to mild alveolar pulmonary pattern._x000D_
4.This result detects mild to moderate, or rarely severe cardiomegaly._x000D_
5.Rarely, this result detects minimal pleural fissure lines.</t>
  </si>
  <si>
    <t>Five radiographs of the thorax/abdomen are provided. The cardiac silhouette and pulmonary vessels are normal size and shape. There are no abnormalities in the pulmonary parenchyma or pleural space. No enlarged intrathoracic lymph nodes. Adequate tracheal diameter. No esophageal dilation. In the abdomen the stomach contains a large amount of ovoid kibble-like soft tissue density. Small bowel are minimally filled. There is gas and small volume formed feces in the colon. Normal-sized liver, kidneys, spleen. No osseous abnormalities.</t>
  </si>
  <si>
    <t>Normal thorax and abdomen. Upper airway/nasal disease is suspected. There is no evidence of pneumonia.</t>
  </si>
  <si>
    <t>If the patient does not improve with treatment for upper airway disease, additional cross-sectional imaging of the head with computed tomography should be considered to rule out intranasal disease (rhinitis, foreign material) or polyps.</t>
  </si>
  <si>
    <t>5 images of the entire body and skull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spleen is subjectively enlarged, visible in the ventral abdomen on the lateral views.  The remaining abdominal organs are normal.  There is mild increase in soft tissue adjacent to the left zygomatic arch.  No fractures or lytic lesions are seen.  The temporomandibular joints are normally aligned.  Increased soft tissue is seen in the left nasal cavity with decreased visualization of nasal turbinates.</t>
  </si>
  <si>
    <t>Splenomegaly=ZZ90= consider inflammation or neoplasia.  Abdominal ultrasound may be helpful.  Radiographically normal thorax for patient of this age.  Left nasal changes suggest infiltrates such as neoplasia.  The soft tissue swelling adjacent to the left zygomatic arch may be associated with the nasal changes or a separate mass effect. _x000D_
 CT and rhinoscopy may be helpful.</t>
  </si>
  <si>
    <t>Three radiographs of the thorax, and three views of the abdomen are provided. The cardiac silhouette is normal size. Pulmonary vessels and caudal vena cava are normal size. There are no abnormalities in the pulmonary parenchyma. No pleural effusion. Smoothly irregular proximal margin of the left tubercle olecranon is incidental._x000D_
_x000D_
In the abdomen there is large volume soft tissue opaque ingesta in the stomach. Small bowel are minimally filled. Gas and small volume formed feces in the colon. Normal-sized liver, spleen, kidneys. Smoothly irregular round soft tissue density in the cranioventral abdomen on the left lateral view is the pylorus. There is no radiopaque urolithiasis. Punctate mineral density craniolateral to the right coxofemoral joint is incidental.</t>
  </si>
  <si>
    <t>Normal thorax and postprandial abdomen. There is no evidence of cardiovascular disease on this study. A small valvular regurgitant jet is not definitively ruled out.</t>
  </si>
  <si>
    <t>There is no contraindication for general anesthesia based on this study, however if it was planned for immediately following these images, consider postponing anesthesia or ensuring extubation with partial inflation of the endotracheal tube cuff given current gastric contents. If cardiac proBNP is elevated, follow-up echocardiogram should be considered.</t>
  </si>
  <si>
    <t>4 images of the thorax and abdomen are presented for review.  The cardiac silhouette is widened in the region of the atria.  There is a mild bronchial pattern in all lung lobes.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</si>
  <si>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Cardiomegaly without current evidence of cardiogenic pulmonary edema.  Echocardiography and proBNP may be helpful in further evaluation.  Mild bronchial pulmonary pattern.  Considerations include asthma, heartworm, lungworm, atypical infection, bronchitis.  Consider empiric therapy versus further diagnostics such as heartworm testing, Baermann fecal, airway sampling.</t>
  </si>
  <si>
    <t xml:space="preserve">
1.This result detects a mild to mild, or rarely moderate interstitial pulmonary pattern.  _x000D_
2.This result detects a minimal to mild, or rarely moderate bronchial pulmonary pattern._x000D_
3.Rarely, this result detect a minimal to mild alveolar pulmonary pattern._x000D_
4.This result detects most commonly detects moderate cardiomegaly, and less commonly detects mild or severe cardiomegaly._x000D_
5.Uncommonly, this result detects minimal to mild pulmonary vasculature enlargement._x000D_
6.This result detects minimal or rarely mild pleural fissure lines/fluid.  </t>
  </si>
  <si>
    <t>Study:_x000D_
Thoracic/abdominal radiography: three images dated July 9,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gas with the pylorus appropriately gas-filled on the left lateral image. The small intestines are segmentally gas filled and normal in size and course. The colon contains gas and formed fecal material. The liver and spleen are normal in size and margin. The kidneys are normal in size and contour. The urinary bladder is normal in size and opacity. The osseous structures are unremarkable.</t>
  </si>
  <si>
    <t>1. Unremarkable abdomen. A cause of vomiting is not evident. There is no radiographic evidence of gastrointestinal foreign material or small intestinal mechanical obstruction. Abdominal sonography should be considered for further evaluation if clinical signs persist or worsen in spite of medical management._x000D_
2. Normal thorax. A cause of the reported open mouth breathing is not evident. Lack of a bronchial pulmonary pattern does not exclude the possibility of allergic/inflammatory, infectious, inhaled irritant or parasitic bronchitis.</t>
  </si>
  <si>
    <t xml:space="preserve">Patient Name : Junie B Harkey, Date of study: Jul 9, 2024
4 images are provided for review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minimally tall in the right lateral image.  This is not identified in the left lateral image.  In one ventrodorsal image, the cardiac silhouette is generally enlarged, but in the alternate image, this is suspected to be from peri-cardial fat.
Mediastinum: The cranial mediastinum is normal.
Trachea: The trachea is normal.
Esophagus: The esophagus is not well-identified.
Pleural space: The pleural space is normal.
Musculoskeletal: The included musculoskeletal structures are normal for a patient of this age.
</t>
  </si>
  <si>
    <t>1. Minimal diffuse bronchial pulmonary pattern such as from infectious/immune-mediated lower airway disease (feline asthma, mycoplasma spp., bordetella spp., parasitism, or other), or less likely inhaled allergen/irritant or unlikely other.  
2. Equivocal generalized cardiomegaly versus artifact from positioning and phase of the cardiopulmonary cycle.
- If present, consider a congenital anomaly given young age of the patient, such as from atrial/ventricular septal defect or unlikely mitral valvular dysplasia.
- No current evidence of left-sided congestive heart failure.</t>
  </si>
  <si>
    <t>Consider respiratory PCR panel, airway sampling, and fecal analysis/deworming for further evaluation.   Empirical therapy and supportive care in the interim for suspected feline asthma and cough.  If a murmur is identified, consider echocardiography, especially if signs of dyspnea manifests over coughing, or persistent/progressive cardiomegaly is identified in recheck images of the thorax.  Abdominal imaging and routine blood work for further evaluation may be contributory.  Monitoring as directed or sooner if clinical signs acutely change, fail to improve or worsen.</t>
  </si>
  <si>
    <t>Orthogonal views of the thorax are provided:_x000D_
_x000D_
Thorax:_x000D_
_x000D_
Cardiac silhouette has a normal shape and size._x000D_
Pulmonary vessels are within normal limits of size and shape._x000D_
Pulmonary parenchyma shows a generalized severe bronchial pattern. _x000D_
No signs of tracheobronchial lymphadenopathy._x000D_
Pleural space, mediastinum, diaphragm and thoracic wall within normal limits.</t>
  </si>
  <si>
    <t>1) Generalized severe bronchial pattern is compatible with a bronchitis of parasitic origin (given the young age of the patient). An asthma is less likely.</t>
  </si>
  <si>
    <t>Consider empirical treatment for parasitic bronchitis with deworming and Baermann test. If clinical signs persist, consider a bronchoscopy with BAL, culture, cytology, Baermann test and deworming.</t>
  </si>
  <si>
    <t xml:space="preserve">
1.This result detects a minimal to mild, or less commonly moderate interstitial pulmonary pattern.  _x000D_
2.This result detects a moderate to severe, or less commonly mild  bronchial pulmonary pattern._x000D_
3.Uncommonly, this result detects a minimal to mild alveolar pulmonary pattern._x000D_
4.This result commonly detects pulmonary soft tissue nodules and masses._x000D_
5.This result detects no or equivocal/borderline cardiomegaly most commonly.  Rarely, this result detects mild or moderate cardiomegaly._x000D_
6.This result does not detect pulmonary vasculature enlargement._x000D_
7.This result commonly detects minimal to mild, or rarely moderate pleural fissure lines/fluid.</t>
  </si>
  <si>
    <t>Three radiographs of the thorax/abdomen are provided. The cardiac silhouette and pulmonary vessels are normal size. Fat deposition encircles the heart on the VD projection and is seen ventral to the heart on the right lateral view. There are no abnormalities in the pulmonary parenchyma. No pleural effusion. Normal tracheal diameter. In the abdomen serosal detail is adequate. The gastrointestinal tract is mildly filled. No organomegaly. Ovoid mineral opaque 1.7 x 1.2 cm structure in the caudal abdomen is incidental Bates body.</t>
  </si>
  <si>
    <t>Normal thorax and abdomen. A reason for coughing is not identified. Inhaled irritants/allergens is suspected. Infectious airway disease is next on the differential list. There is no evidence of cardiovascular disease or pneumonia.</t>
  </si>
  <si>
    <t xml:space="preserve">
1.This result detects equivocal/borderline to mild cardiomegaly._x000D_
2.This result detects a minimal to mild interstitial pulmonary pattern.  _x000D_
3.This result detects a minimal to mild bronchial pulmonary pattern._x000D_
4.Rarely, this result detects a minimal alveolar pulmonary pattern._x000D_
5.This result does not detect pulmonary vasculature enlargement._x000D_
6.Rarely, this result detects minimal pleural fissure lines/fluid.</t>
  </si>
  <si>
    <t>Study:_x000D_
Thoracic radiography: four images dated July 9, 2024_x000D_
_x000D_
Findings:_x000D_
The cardiac silhouette is mildly accentuated by pericardial fat but is normal in size and shape. The pulmonary vasculature is normal in size. There is a mild increase in the conspicuity the walls of the small caliber bronchi in the caudodorsal lung fields. The pleural space is normal. There is no intrathoracic lymphadenopathy. The trachea is normal in diameter and course. The stomach contains unstructured heterogeneous soft tissue material presumed to be ingesta. The osseous structures are unremarkable. The patient is of overweight body condition.</t>
  </si>
  <si>
    <t xml:space="preserve">
1.Rarely, this result detects minimal pleural fissure lines/fluid.  _x000D_
2.This result detects a minimal to mild interstitial pulmonary pattern.  _x000D_
3.This result detects a minimal to mild, or rarely moderate bronchial pulmonary pattern._x000D_
4.Rarely, this result detects a minimal alveolar pulmonary pattern._x000D_
5.This result detects none, or equivocal/borderline to moderate cardiomegaly. _x000D_
6.This result does not detect pulmonary vasculature enlargement.</t>
  </si>
  <si>
    <t>Three view orthogonal radiographs (3 images) of the thorax and cranial abdomen dated July 9, 2024, are available for interpretation. No prior images are available for comparison.
The cat was sedated with 1.75 mg/kg (5.5 mg) alfaxolone and 0.2 mg/kg (0.6 mg) butorphanol IM.
Thorax:
Airway/pulmonary: No pulmonary nodules are noted. A caudodorsal interstitial pattern is present on both lateral projections but the pulmonary vasculature remains well visualized. 
Cardiovascular: The cardiac silhouette is mildly enlarged. The caudodorsal pulmonary vasculature is minimally distended. The CVC is slightly elevated at the caudal margin of the cardiac silhouette. On the VD projection, rounding to the left atrium and elongation to the cardiac silhouette are present. 
Mediastinum: Normal with gas present in the cranial thoracic esophagus. Fat opacity is dorsal to the S2-3 region. 
Pleural space: No pleural fluid or pneumothorax noted.
Cranial abdomen: The liver is within the costal arch. The stomach contains ingesta. 
Msk: No osseous abnormalities.</t>
  </si>
  <si>
    <t xml:space="preserve">1) Minimal cardiomegaly. Minimal pulmonary vessel distention. Heart failure is not suspected at this time. 
2) No pulmonary nodules. No mediastinal lymph node enlargement. </t>
  </si>
  <si>
    <t>Safe for thyroid scan and I-131 therapy. See same day cardiac ultrasound report.</t>
  </si>
  <si>
    <t>Study:_x000D_
Thoracic and abdominal radiography: six images dated July 9,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gas and formed fecal material. The liver and spleen are normal in size and margin. Both renal silhouettes are mildly enlarged with a normal shape. The urinary bladder is mildly to moderately distended and normal in opacity. No mineral opaque calculi present in the bladder or region of the urethra. No skeletal abnormalities are present.</t>
  </si>
  <si>
    <t>1. Bilateral renomegaly. Rule out normal variant for the intact status of the patient, nephritis, hydronephrosis, cystic renal disease or, less likely, renal neoplasia. Sonography can be considered for further evaluation._x000D_
2. The mild to moderate urinary bladder distention in the absence of urocystolithiasis may be secondary conscious retention. A non-radiopaque urinary obstruction cannot be excluded but is considered less likely given the reported expressible bladder on physical exam._x000D_
3. Normal thorax.</t>
  </si>
  <si>
    <t>Four radiographs of the thorax/abdomen are provided. Images dated 6/5/23 are available for comparison. The cardiac silhouette is upper normal size. Pulmonary vessels are normal size. There are faint bronchial markings in the lungs as before. No pleural effusion or intrathoracic lymphadenomegaly. Adequate tracheal diameter. In the abdomen serosal detail is adequate. Both kidneys are reduced in size, with mild increased renal medullary opacity. No radiopaque cystic calculi. Moderate volume of formed feces in the colon. Moderate volume soft tissue opaque ingesta in the stomach. Small bowel are mildly filled. Small mineral densities in the cranial aspect of the stifle joints is incidental meniscal mineralization.</t>
  </si>
  <si>
    <t>This study is essentially unchanged compared to the previous study._x000D_
1. Chronic renal disease. No other abdominal abnormalities._x000D_
2. Mild bronchial pattern as before suggestive of chronic airway inflammation. This is of doubtful clinical significance today. Otherwise normal thorax.</t>
  </si>
  <si>
    <t xml:space="preserve">
1.Rarely, this result detects a minimal to moderate alveolar pulmonary pattern. _x000D_
2.This result detects equivocal/borderline to mild, or rarely moderate cardiomegaly._x000D_
3.Rarely, this result detects minimal to mild pulmonary vasculature enlargement._x000D_
4.Rarely,  this result detects minimal pleural fissure lines/fluid.  _x000D_
5.This result detects a minimal to mild bronchial pulmonary pattern._x000D_
6.This results detects a minimal to mild interstitial pulmonary pattern.</t>
  </si>
  <si>
    <t>Four orthogonal survey radiographs of the thorax and abdomen dated 9th July 2024 are available for review. There are no previous radiographs available for comparison. These images are submitted for assessment of the vertebral column._x000D_
_x000D_
Vertebral column: The cervical vertebral column is obliqued in the lateral images, however normal in ventrodorsal. The thoracic vertebral column is normal. The lumbar vertebral column is normal. No localised or diffuse soft tissue swelling is noted.</t>
  </si>
  <si>
    <t>The described perilaryngeal mass is not visible. Differentials include lymphadomegaly, thyroid mass (adenoma, adenocarcinoma), abscess.</t>
  </si>
  <si>
    <t>Consider centred orthogonal radiographs, and ultrasonographic examination with FNA.</t>
  </si>
  <si>
    <t>4 images of the thorax are provided for review. There is a severe bronchial pattern in all lung lobes.  The cardiovascular structures are normal.  The mediastinal and pleural structures are normal.  Cranial abdominal detail is adequate.</t>
  </si>
  <si>
    <t>Severe bronchial pulmonary pattern.  Considerations include asthma, heartworm, lungworm, atypical infection, bronchitis.</t>
  </si>
  <si>
    <t>Six orthogonal survey radiographs of the thorax and abdomen dated 9th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findings: There is mild ventral spondylosis at the lumbosacral junction. There is mild modelling of the acetabular rims and mild osteophyte formation at the femoral necks. There is no evidence of bony trauma. No localised or diffuse soft tissue swelling is noted. A small faint gas loculation is  visible in the left caudal thigh.</t>
  </si>
  <si>
    <t>1. Normal abdomen and thorax._x000D_
2. Evidence of skin wound is in the left caudal thigh. _x000D_
3. Incidental lumbosacral spondylosis deformans and coxofemoral osteoarthritis.</t>
  </si>
  <si>
    <t>Empiric management of the soft tissue trauma is advised.</t>
  </si>
  <si>
    <t>A three view study of the abdomen is provided for interpretation. The caudal thorax is included._x000D_
_x000D_
Multiple large calculi are identified in the left kidney. The left kidney is at the smaller end of normal size range, and a divot is seen in the cranial pole consistent with a previous infarct. The right kidney appears normal in size and shape, but also has small less prominent calculi in the pelvis._x000D_
The other abdominal organs are all within normal size and shape limits. No mass lesions are seen. No abnormalities are identified involving the GI tract._x000D_
The patient has thin overall body condition. There is moderate spondylosis involving L6-L7 and slight spondylosis from T12 to L1. No destructive bone lesions or soft tissue swelling are seen. The caudal thoracic structures are unremarkable.</t>
  </si>
  <si>
    <t>Calculi are present in both kidneys, this is much more severe in the left kidney. The left kidney also has contour irregularity suggestive of previous cortical infarct that is often secondary to chronic kidney disease._x000D_
Chronic kidney disease should be ruled out as a possible cause of the weight loss and hypercalcemia._x000D_
The renal calculi could also be secondary to hypercalcemia of other causes. No other specific cause is evident in the radiographs._x000D_
No findings concerning for neoplasia are seen.</t>
  </si>
  <si>
    <t>The radiographic findings are relatively limited with regard to the clinical concern of weight loss._x000D_
Unless significant azotemia is documented in the labwork, follow up imaging such as abdomen ultrasound should be considered to look for pathology not visible in the radiographs.</t>
  </si>
  <si>
    <t>Three radiographs of the thorax/abdomen are provided. The cardiac silhouette is upper normal size to mildly enlarged. Pulmonary vessels and caudal vena cava are normal size. Fat deposition is seen ventral to the heart on the right lateral view, and caudal to the cardiac apex on the VD projection. There are no abnormalities in the pulmonary parenchyma. No pleural effusion or intrathoracic lymphadenomegaly. In the abdomen the gastrointestinal tract is mildly filled. No radiopaque urolithiasis. Normal-sized kidneys, spleen, liver. Mild spondylosis deformans is of doubtful clinical significance.</t>
  </si>
  <si>
    <t>Equivocal prominent heart suggestive of cardiomyopathy. There is no evidence of heart failure. Otherwise normal thorax and abdomen.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</si>
  <si>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There is incidental mineralization of the tracheal rings.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kidneys are within lower limits of normal for size.  The remaining abdominal organs are normal.</t>
  </si>
  <si>
    <t xml:space="preserve">
1.This result detects a minimal to mild interstitial pulmonary pattern._x000D_
2.This result detects a minimal to mild bronchial pulmonary pattern._x000D_
3.This result does NOT detect an alveolar pulmonary pattern. _x000D_
4.This result does NOT detect pleural fissure lines.  _x000D_
5.This result detects equivocal/borderline to mild cardiomegaly.  </t>
  </si>
  <si>
    <t>Study:_x000D_
Thoracic radiography: three images dated July 8, 2024_x000D_
_x000D_
Findings:_x000D_
The cardiac silhouette and pulmonary vasculature are normal in size. There is a mild increase in the conspicuity the walls the small caliber bronchi in the caudodorsal lung fields. The pleural space is normal. There is no intrathoracic lymphadenopathy. The trachea is normal in diameter and course. The larynx is normal. The stomach contains heterogeneous soft tissue material presumed to be ingesta. The included abdomen is otherwise unremarkable. No skeletal abnormalities present. The patient is of overweight body condition.</t>
  </si>
  <si>
    <t>The mild caudodorsal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 if clinical signs persist or worsen.</t>
  </si>
  <si>
    <t>WHOLE-BODY (2 total radiographs for review). _x000D_
_x000D_
- Peritoneal serosal detail is normal._x000D_
- The stomach contains mild gas and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The cardiac silhouette is mildly enlarged, with the appearance of a widened base on the VD projection._x000D_
- Mild diffuse bronchial pulmonary pattern and mild pulmonary hyperinflation._x000D_
- The trachea, esophagus and remainder of the mediastinum are normal._x000D_
- The pleural space and remaining intrathoracic structures are normal._x000D_
- No musculoskeletal abnormalities are noted.</t>
  </si>
  <si>
    <t>1.  A discrete radiographic cause for the reported vomiting is not clearly identified.  The gastrointestinal tract is unremarkable however radiographic sensitivity for functional ileus such as enterocolitis or infiltrative bowel disease (e.g. IBD or lymphoma) can be limited.  There is no evidence of small intestinal foreign material, mass or mechanical obstruction.  Consider abdominal ultrasound for further assessment if clinically indicated._x000D_
_x000D_
2. Mild generalized cardiomegaly, without pulmonary vasculature congestion or congestive heart failure. Consider cardiomyopathy (e.g. hypertrophic, restrictive, unclassified). If dexmedetomidine was used for sedation, a component of the cardiomegaly may be medication-induced._x000D_
_x000D_
3. Mild diffuse bronchial pattern with mild pulmonary hyperinflation. A component of this may be normal age-related lower airway change, however chronic lower airway disease (e.g. feline asthma, bronchitis of infectious or inhaled irritant etiology) is also possible.</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</si>
  <si>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Some of the small intestines are abnormally distended reading 15mm in thickness. _x000D_
Serosal detail is preserved._x000D_
Liver and spleen are within normal limits of size and smoothly marginated._x000D_
Kidneys and urinary bladder WNL._x000D_
_x000D_
Multifocal signs of chronic IVDD with end plate sclerosis and bridging ventrolateral spondylosis deformans reaching some of the IV foramina scubas L3-L4._x000D_
Bilateral synovial osteochondromatosis in the elbows._x000D_
DJD in the stifles with a likely meniscal ossicle in the left stifle and DJD/effusion in the left tarsus.</t>
  </si>
  <si>
    <t>1) Unremarkable thorax without signs of pulmonary metastases nor signs of thoracic lymphadenopathy._x000D_
2) Abnormal distension of the small intestines: rule out infiltrative disease of the wall such as small cell lymphoma vs chronic enteropathy._x000D_
3) Multifocal signs of chronic IVDD.</t>
  </si>
  <si>
    <t>Abdominal US to further evaluate the small intestinal wall and full neuro exam with MRI if necessary. Consider also an orthopedic exam with orthogonal views of the joints to be complete.</t>
  </si>
  <si>
    <t xml:space="preserve">
1.This result does not detect an alveolar pulmonary pattern._x000D_
2.This result detects a minimal to mild, or rarely moderate interstitial pulmonary pattern.  _x000D_
3.This result detects a minimal to mild bronchial pulmonary pattern._x000D_
4.This result does not detect pulmonary soft tissue nodules._x000D_
5.This result detects none, or equivocal/borderline to mild cardiomegaly. _x000D_
6.This result does not detect pulmonary vasculature enlargement._x000D_
7.Rarely, this result detects minimal pleural fissure lines/fluid.  </t>
  </si>
  <si>
    <t>Three orthogonal thoracic radiographs dated 8th July 2024 are available for review. These are compared with previous radiographs dated 16th August 2023_x000D_
_x000D_
Airway findings: The cervical and thoracic trachea have a normal size, outline and position. The carina, tracheal bifurcation and mainstem bronchi are normal. Throughout the lung parenchyma there is a moderate to severe bronchial pattern. This is deteriorated in comparison of previous images. The right middle lung lobe is collapsed. There is rounding of the periphery of the lung lobes. The lungs lobes are mildly hyperlucent, consistent with body habitus._x000D_
_x000D_
Cardiovascular findings: There is rotation of the cardiac silhouette. The overall cardiac silhouette is large, with a prominent base of the heart. The pulmonary vasculature is normal. The mainstem vessels are normal._x000D_
_x000D_
Mediastinum and pleural space: There is some rounding of the periphery of the lung lobes indicative of scant pleural effusion. There is some mild gas in the cranial oesophagus._x000D_
_x000D_
Musculoskeletal findings: The sternum is undulating indicative of degenerative change._x000D_
_x000D_
Included abdomen: The colon is filled with mineral debris and increased gas. The stomach contains increased gas.</t>
  </si>
  <si>
    <t>1. The bronchial pattern is consistent with feline asthma/fibrosis from previous disease. This is mildly deteriorated in comparison of previous images._x000D_
2. The cardiac rotation is age-related, however there is suspicion of mild cardiomegaly. Differentials include hypertrophic cardiomyopathy (idiopathic, thyrotoxic) right atrial enlargement (tricuspid valve insufficiency), increased pulmonary artery pressures due to pulmonary fibrosis._x000D_
3. The colonic contents may be due to pica or may be indicative of generalised ileus. The gas in the stomach is likely related to respiratory compromise.</t>
  </si>
  <si>
    <t>Radiography is insensitive for early cardiac insufficiency, therefore ECG, blood pressure measurements, and echocardiography is advised for further evaluation, or baseline measurements._x000D_
Empiric management of feline asthma if not already in process. Avoid use of systemic steroids until cardiac insufficiency is excluded.</t>
  </si>
  <si>
    <t xml:space="preserve">
1.This result does NOT detect soft tissue pulmonary nodules.  _x000D_
2.This result detects equivocal/borderline to moderate cardiomegaly._x000D_
3.This result does NOT detect pleural fissure lines._x000D_
4.This result detects a mild to severe bronchial pulmonary pattern._x000D_
5.This result detects a minimal to mild interstitial pulmonary pattern._x000D_
6.Rarely, this result detects a minimal to moderate alveolar pattern. </t>
  </si>
  <si>
    <t>3 views of the thorax are provided for review and compared with the study dated 7/5/2024.  The cardiac silhouette is widened with rounding of the left ventricular border.  No pulmonary infiltrates are seen.  The pulmonary vasculature is normal in size.  Thin pleural lines remain visible.  The mediastinal structures are normal.  Cranial abdominal detail is adequate.</t>
  </si>
  <si>
    <t>Cardiomegaly.  Resolution of previous cardiogenic pulmonary edema.  Scant residual pericardial effusion.</t>
  </si>
  <si>
    <t>Three orthogonal thoracic radiographs dated 8th July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mild mainly interstitial opacification. The thorax is mildly hypoinflated._x000D_
_x000D_
Cardiovascular findings: There is increased pericardial fat. The cardiac silhouette is mildly globoid in the lateral image. It is normal in the ventrodorsal image. The cranial pulmonary vasculature is prominent. The caudal right pulmonary artery is prominent. The caudal vena cava is normal._x000D_
_x000D_
Mediastinum and pleural space: No significant abnormalities are detected._x000D_
_x000D_
Musculoskeletal findings: The patient is overweight._x000D_
_x000D_
Included abdomen: No significant abnormalities are detected.</t>
  </si>
  <si>
    <t>1. Part of the bronchointerstitial opacification can be attributed to body habitus and hypoinflation. Pulmonary fibrosis should be considered in light of prominent pulmonary artery. Lower airway allergic disease (feline asthma) can be present in spite of absence of clear bronchial pattern. An upper airway abnormality should be considered as primary differential for the presenting signs._x000D_
2. The apparent cardiomegaly may be due to increased pericardial fat or positional. Hypertrophic cardiomyopathy is possible, in light of prominent caudal right pulmonary artery.</t>
  </si>
  <si>
    <t>An upper airway examination is advised._x000D_
Respiratory workup including CBC, serum chemistry, urinalysis, Baermann faecal testing, 4DX, +/- respiratory panel or fungal testing as indicated is advised.   If the patient=ZZ91=s signs continue despite supportive care, bronchoscopy/BAL vs. endotracheal wash +/- consultation with an Internist should be considered. _x000D_
Radiography is insensitive for early cardiac insufficiency, therefore ECG, blood pressure measurements, and echocardiography may be considered for further evaluation, or baseline measurements.</t>
  </si>
  <si>
    <t>Study:_x000D_
Thoracic/abdominal radiography: three images dated July 3, 2024_x000D_
_x000D_
Findings:_x000D_
There is incidental cranioventral rotation of the cardiac silhouette. The cardiac silhouette is normal in size and shape. The pulmonary vasculature is normal in size. The pulmonary parenchyma is unremarkable. The pleural space is normal. There is no intrathoracic lymphadenopathy. The larynx is normal. The trachea is  normal in diameter and course. The stomach contains unstructured heterogeneous soft tissue material.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present._x000D_
_x000D_
Human extremities are present in the primary beam on the right lateral and VD views.</t>
  </si>
  <si>
    <t>1. Unremarkable thorax. There is no radiographic evidence of cardiopulmonary disease.  A cause of the respiratory signs is not evident. Lack of a definitive bronchial pulmonary pattern does not exclude the possibility of allergic/inflammatory, infectious, irritant or parasitic bronchitis. Airway sampling, heartworm testing and Baermann fecal flotation can be considered to further evaluate for possible lower airway disease._x000D_
2. Postprandial stomach=ZZ90= otherwise, unremarkable abdomen.</t>
  </si>
  <si>
    <t>Study:_x000D_
Thoracic/abdominal radiography: four images dated July 7, 2024_x000D_
_x000D_
Findings:_x000D_
 The cardiac silhouette and pulmonary vasculature are normal in size. The pulmonary parenchyma is unremarkable. The pleural space is normal. There is no intrathoracic lymphadenopathy. The trachea is normal in diameter and course.The stomach contains unstructured heterogeneous soft tissue material presumed to be ingesta with interspersed granular mineral. The small intestines are normal in size, course and content. The colon contains formed fecal material. The liver and spleen are normal in size and margin. The kidneys are normal in size and contour. The urinary bladder is normal in size and opacity. There is narrowing of the C3-C4 and L7-S1 intervertebral disc spaces. There is mild C2-C3, C3-C4, C6-C7 and C7-T1 spondylosis deformans. There is mild right tarsocrural and tarsal degenerative change. Suture material is present in the caudoventral abdominal body wall.</t>
  </si>
  <si>
    <t>1. C3-C4 and L7-S1 intervertebral disc disease. Neurology consultation and MRI can be considered for further evaluation._x000D_
2. Normal thorax._x000D_
3. Postprandial stomach=ZZ90= otherwise, unremarkable abdomen._x000D_
4. Mild right tarsocrural and tarsal osteoarthrosis.</t>
  </si>
  <si>
    <t xml:space="preserve">
1.This result detects a minimal to mild bronchial pulmonary pattern._x000D_
2.This result detects a minimal to mild interstitial pulmonary pattern._x000D_
3.This result does NOT detect  an alveolar pulmonary pattern._x000D_
4.This result does NOT detect soft tissue pulmonary nodules.  _x000D_
5.This result does NOT detect pleural fissure lines. _x000D_
6.This result detects mild to moderate cardiomegaly.</t>
  </si>
  <si>
    <t>Study:_x000D_
Thoracic radiography: four images dated July 7, 2024_x000D_
_x000D_
Findings:_x000D_
The cardiac silhouette and pulmonary vasculature are normal in size. There is a mild caudodorsal bronchial pulmonary pattern. The pleural space is normal. There is no intrathoracic lymphadenopathy. The larynx is normal. The trachea is normal in diameter and course. The stomach contains unstructured heterogeneous soft tissue material presumed to be ingesta. The osseous structures are unremarkable.</t>
  </si>
  <si>
    <t>Three radiographs of the thorax/abdomen are provided. The cardiac silhouette is normal size and shape. The right caudal pulmonary artery is enlarged on the VD projection. There is a moderate bronchial pattern throughout the lungs. No pleural effusion or soft tissue pulmonary nodules. The stomach contains small volume gas. Small bowel are mildly distended with fluid and gas. Moderate volume formed feces in the colon. There is no radiopaque gastrointestinal foreign material. Serosal detail is adequate. Normal-sized liver, kidneys, spleen. No radiopaque urolithiasis. Spondylosis deformans in the caudal thoracic and cranial lumbar spine, as well as at the lumbosacral junction is incidental.</t>
  </si>
  <si>
    <t>1. Moderate bronchial pattern consistent with asthma. Otherwise normal thorax._x000D_
2. Normal abdomen. A reason for recent vomiting is not identified. Gastritis or pyloric outflow obstruction secondary to the reported hairball is suspected. Residual small radiolucent gastric foreign material is not ruled out. There is no evidence of small bowel obstruction.
(amended on 07/08/2024 06:55)
1. Correction: There is also enlarged right caudal pulmonary artery, concerning for pulmonary hypertension. This could be secondary to chronic airway disease. Heartworm disease is given lesser consideration.</t>
  </si>
  <si>
    <t>Recommend supportive care. If vomiting persists, a strictly fasted abdominal ultrasound should be considered. If ultrasound is not available, a positive contrast gastrogram is another option.
(amended on 07/08/2024 06:55)
Heartworm test should be considered. With the enlarged pulmonary artery, follow-up echocardiogram should also be considered, particularly if there is a murmur or arrhythmia.</t>
  </si>
  <si>
    <t>Three orthogonal thoracic radiographs dated 7th July 2024 are available for review. There are no previous radiographs available for comparison. _x000D_
_x000D_
Airway findings: The cervical and thoracic trachea have a normal size, outline and position. The carina, tracheal bifurcation and mainstem bronchi are normal. Within the caudal dorsal pulmonary parenchyma there is a minimal bronchointerstitial opacification._x000D_
_x000D_
Cardiovascular findings: The cardiac silhouette is normal in shape and size. The cranial pulmonary vasculature is normal. The right caudal pulmonary vasculature is enlarged and tortuous._x000D_
_x000D_
Mediastinum and pleural space: No significant abnormalities are detected._x000D_
_x000D_
Musculoskeletal findings: No significant abnormalities are detected._x000D_
_x000D_
Included abdomen: No significant abnormalities are detected.</t>
  </si>
  <si>
    <t>The findings are suspicious for heartworm disease. Alternatively, parasitic bronchitis, mixed viral-bacterial bronchitis is possible. Idiopathic pulmonary fibrosis is unlikely. Feline asthma is considered unlikely.</t>
  </si>
  <si>
    <t>Respiratory workup including CBC, serum chemistry, urinalysis, Baermann faecal testing, 4DX, +/- respiratory panel or fungal testing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 Evaluate for upper airway disease as clinically indicated.</t>
  </si>
  <si>
    <t xml:space="preserve">
1.This result detects equivocal/borderline to moderate cardiomegaly._x000D_
2.This result does NOT detect an alveolar pulmonary pattern._x000D_
3.This result does NOT detect pleural fissure lines. _x000D_
4.This result detects a minimal to mild bronchial pulmonary pattern._x000D_
5.This result detects a minimal to mild interstitial pulmonary pattern.</t>
  </si>
  <si>
    <t>Study:_x000D_
Thoracic, abdominal, thoracic limb and pelvic limb radiography: six images dated July 7,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spine is unremarkable. There is no intervertebral disc space or foraminal narrowing. Evaluation of the distal limbs is limited by the lack of lateral projections. The shoulder joints are unremarkable. There is a small, smoothly marginated mineral body adjacent to the radial head consistent with the sesamoid of the supinator muscle tendon (normal anatomic variant). The bones of the carpus and manus are unremarkable. The thoracic limb musculature is bilaterally symmetric. There is good coverage of the femoral head by the acetabulum bilaterally. There is no stifle joint effusion/capsular thickening or degenerative change. The bones of the tarsus and pes appear unremarkable bilaterally. The pelvic limb musculature is bilaterally symmetric.</t>
  </si>
  <si>
    <t>1. The osseous structures are unremarkable. A cause of lameness/ataxia is not evident._x000D_
2. The generalized bronchial pulmonary pattern may indicate allergic/inflammatory bronchitis (asthma). Infectious, parasitic and irritant bronchitis are also possible. Correlate with any reported coughing. Airway sampling, heartworm testing and Baermann fecal flotation can be considered for further evaluation if clinically relevant._x000D_
3. Postprandial stomach=ZZ90= otherwise, unremarkable abdomen.</t>
  </si>
  <si>
    <t>Orthopedic and/or neurology consultation can be considered if the patient=ZZ91=s clinical signs persist or worsen in spite of activity restriction and pain management.</t>
  </si>
  <si>
    <t xml:space="preserve">
1.This result detects none to equivocal/borderline, or uncommonly mild cardiomegaly. _x000D_
2.This result detects a minimal, or rarely mild interstitial pulmonary pattern.  _x000D_
3.This result detects a mild to moderate bronchial pulmonary pattern._x000D_
4.Rarely, this result detects an alveolar pulmonary pattern._x000D_
5.This result does not detect pulmonary vasculature enlargement._x000D_
6.Rarely, this result detects minimal pleural fissure lines/fluid.  </t>
  </si>
  <si>
    <t>Study:_x000D_
Thoracic/abdominal radiography: five images dated July 6,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On both lateral views, there is granular mineral superimposed with the caudal wall of the pylorus. The small intestines are normal in size, course and content. The colon contains gas and poorly formed fecal material. The liver and spleen are normal in size and margin. The kidneys are normal in size and contour. The urinary bladder is normal in size and opacity. The osseous structures are unremarkable.</t>
  </si>
  <si>
    <t>1. The granular mineral superimposed with the caudal wall the pylorus on the lateral projections is most likely luminal and of no clinical significance. Pyloric wall mineralization is considered less likely. The abdomen is otherwise unremarkable. A cause of the reported chronic vomiting and weight loss is not evident. Consider abdominal sonography and a G.I. panel to further evaluate for an enteropathy._x000D_
2. Normal thorax.</t>
  </si>
  <si>
    <t>5 images of the thorax are provided for review. There is a mild bronchial pattern in all lung lobes.  The cardiovascular structures are normal.  The mediastinal and pleural structures are normal.  Cranial abdominal detail is adequate.</t>
  </si>
  <si>
    <t xml:space="preserve">
1.Cardiac silhouette: Normal in most cases; rarely, minimal to mild generalized cardiomegaly is present._x000D_
2.Negative for pulmonary vasculature enlargement._x000D_
3.Uncommonly, this result detects a minimal to mild bronchial pulmonary pattern._x000D_
4.Rarely, this result detects a minimal to mild interstitial pulmonary pattern._x000D_
5.Rarely, this result detects a minimal alveolar pulmonary pattern._x000D_
6.Negative for pleural fissure lines/pleural fluid.</t>
  </si>
  <si>
    <t>Study:_x000D_
Abdominal radiography: two images dated July 6, 2024_x000D_
_x000D_
Compared to prior study dated July 5, 2024_x000D_
_x000D_
Findings:_x000D_
The stomach is now empty. The small intestines are normal in size, course and content. The colon contains formed fecal material. The liver and spleen are normal in size and margin. The right kidney is smaller in size in comparison to the left kidney. The left kidney is prominent but measures within normal limits for size. As previously noted, there is a 0.6 cm mineral opaque calculus in the urinary bladder. The included thorax is normal. No skeletal abnormalities are present.</t>
  </si>
  <si>
    <t>1.There is no radiographic evidence of gastrointestinal foreign material or small intestinal mechanical obstruction. Abdominal sonography can be considered for further evaluation if clinical signs persist or worsen in spite of ongoing medical management._x000D_
2. The renal asymmetry may indicate right-sided chronic kidney disease plus/minus left sided compensatory hypertrophy. Correlate with renal values, estimate testing and urinalysis._x000D_
3. Static cystolith._x000D_
4. Normal thorax.</t>
  </si>
  <si>
    <t xml:space="preserve">Patient Name : Renegade Not Owned, Date of study: Jul 6, 2024
4 images are provided for review
There are no previous radiographs for comparison.
Pulmonary parenchyma: A  mild diffuse bronchial pattern is present.  A minimal diffuse interstitial pattern is present, slightly more severe in the left lungs.  The lungs are hypoinflated from pleural fluid.  
Pulmonary vasculature: The pulmonary vasculature is subjectively normal in size and tapers in the periphery of the lungs.
Cardiac silhouette: The cardiac silhouette is obscured in the lateral images.  In the ventrodorsal image, the cardiac silhouette is subjectively normal in size and shape.  
Mediastinum: The cranial mediastinum is normal.
Trachea: The trachea is normal.
Esophagus: The esophagus is not well-identified.
Pleural space: Moderate left-sided pleural fluid is present, characterized by rounding and retraction of the lung margin from the diaphragmatic recess and medial displacement of the lung margins from the body wall.  The pleural fissure between the left cranial/caudal lung lobes is slightly widened at the periphery.  Mild right-sided pleural fluid is present, with rounding of the lung margin in the diaphragmatic recess, and mild retraction of the right cranial lung margin from the body wall.  In the lateral images, this fluid is accumulated in the ventral and caudal portions of the pleural space, obscuring the cardiac silhouette.
Musculoskeletal: The included musculoskeletal structures are normal.
</t>
  </si>
  <si>
    <t xml:space="preserve">1. Moderate left-sided and mild right-sided pleural fluid.
- Differential diagnoses include pyothorax, rodenticide toxicity/hemorrhage, less likely infectious disease such as from FIP and evolving pleuritis or vasculitis, or unlikely third-spacing of fluid from peritoneal disease, or least likely congestive heart failure due to the absence of obvious cardiomegaly in this examination.
2. Mild diffuse bronchial and minimal interstitial pulmonary patterns.
- Differential diagnoses include infectious/immune-mediated lower airway disease, infectious/immune-mediated pneumonitis, artifact from pleural space changes/hypoinflation, or unlikely hemorrhage or other.
</t>
  </si>
  <si>
    <t>Consider thoracocentesis for fluid analysis and cytology with repeat radiographs after removal of as much fluid as possible to further evaluate the lungs and pleural space.  If pyothorax is confirmed, consider thoracotomy and lavage.  Pyothorax may be due to occult thoracic injury, and is typically unilateral/asymmetric in younger feline patients, but these also tend to present with fever and more profound neutrophilia than what is reported.  Computed tomography of the thorax may be beneficial.  Abdominal imaging may be beneficial.  Consider FIP ELISA and/or Rivalta testing for further evaluation of FIP, especially given reported hyperglobulinemia.  Pleural fluid is a rare manifestation of FIP, with hepatic/splenic and peritoneal lesions/signs being more common  Empirical therapy and supportive care in the interim as needed.  Monitoring as directed or sooner if clinical signs acutely change, fail to improve or worsen.</t>
  </si>
  <si>
    <t xml:space="preserve">
1.A diffuse, mixed interstitial and alveolar pattern has been detected with a perihilar component. A component of pulmonary hypoinflation is also present and is likely due to a combination of the pulmonary infiltrate; and partial atelectasis secondary to pleural effusion.._x000D_
2.The cardiac silhouette and pulmonary vasculature are partially obscured by the pulmonary and pleural changes but cardiomegaly is suspected._x000D_
3.Pleural fluid or pleural fissure lines have been detected.</t>
  </si>
  <si>
    <t>Study:_x000D_
Thoracic radiography: three images dated July 5, 2024_x000D_
_x000D_
Findings:_x000D_
The cardiac silhouette is accentuated by excessive pericardial fat but is normal in size and shape. The pulmonary vasculature is normal in size. There is a mild generalized bronchial pulmonary pattern. The pleural space is normal. There is widening of the cranial mediastinum on the VD view. The trachea is normal in diameter. The stomach contains unstructured heterogeneous soft tissue material presumed to be ingesta. The osseous structures are unremarkable. The patient is of obese body condition.</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</si>
  <si>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There is no evidence of pneumonia._x000D_
3. The cranial mediastinal widening is most likely secondary to fat deposition given patient obesity. A cranial mediastinal mass is considered less likely but cannot be completely excluded. Thoracic sonography can be considered for further evaluation.</t>
  </si>
  <si>
    <t xml:space="preserve">
1.This result detects a minimal to mild interstitial pulmonary pattern.  _x000D_
2.This result detects a mild, or rarely moderate bronchial pulmonary pattern._x000D_
3.Rarely, this result detects a minimal alveolar pulmonary pattern._x000D_
4.This result detects equivocal/borderline to mild cardiomegaly. _x000D_
5.This result does not detect pulmonary vasculature enlargement._x000D_
6.Rarely, this result detects minimal pleural fissure lines/fluid.  </t>
  </si>
  <si>
    <t>Four radiographs of the thorax and abdomen are provided. The cardiac silhouette is normal size on the lateral views. The heart appears larger on the VD projection due to adjacent fat deposition. There is a mild bronchial pattern throughout the lungs. No soft tissue pulmonary nodules, pleural effusion, or enlarged intrathoracic lymph nodes. Small volume gas in the esophagus is transient and incidental. The trachea is normal diameter. In the abdomen there is no effusion. Faint curved soft tissue density extending caudoventral to the liver on the lateral view, seen in the cranial right quadrant on the VD projection is most likely distended gallbladder. Large volume soft tissue opaque ingesta in the stomach. Small bowel are mildly filled with fluid and gas. Moderate volume formed feces in the colon. Normal-sized kidneys and spleen. No radiopaque urolithiasis.</t>
  </si>
  <si>
    <t>1. Mild bronchial pattern most consistent with chronic airway inflammation such as asthma. There is no evidence of cardiovascular disease or pneumonia. Otherwise normal thorax._x000D_
2. Probable gallbladder distention, typically incidental. A hepatic cyst or mass lesion is given lesser consideration. This should be correlated with blood work. Otherwise normal abdomen.</t>
  </si>
  <si>
    <t>Current treatment is appropriate.</t>
  </si>
  <si>
    <t>Orthogonal views of the thorax are provided:_x000D_
_x000D_
Thorax:_x000D_
_x000D_
Cardiac silhouette has a normal shape and size with an increased sternal contact (age related change). The ascending an proximal descending aorta is mineralized._x000D_
Pulmonary vessels are within normal limits of size and shape._x000D_
Pulmonary parenchyma is within normal limits. No evidence of pulmonary nodules/masses._x000D_
Pleural space, mediastinum, diaphragm and thoracic wall within normal limits.</t>
  </si>
  <si>
    <t>1) Mineralized aorta compatible with renal secondary hyperparathyroidism vs systemic hypertension._x000D_
2) No signs of cardiomegaly (this does not exclude a cardiomyopathy or a hyperthyroidism).</t>
  </si>
  <si>
    <t>Given the lack of cardiomegaly but audible murmur, consider a cardiology consultation with ECG and echocardiogram with BP and abdominal US to further evaluate the urinary tract with renal function, UPC and urinalysis measuring PTH and calcium/phsphorus.</t>
  </si>
  <si>
    <t>5 images of the thorax and abdomen are provided for review. There is a mild bronchial pattern in all lung lobes.  The cardiovascular structures are normal.  The mediastinal and pleural structures are normal.  Abdominal serosal detail is adequate in all quadrants.  The liver margins are rounded and extend beyond the costal arch, causing caudal displacement of the gastric axis.  The stomach contains a moderate amount of ingesta.  The small intestines are normal in size.  Gas and feces are present in the colon.  The urinary bladder is moderately distended.  The remaining abdominal organs are normal.</t>
  </si>
  <si>
    <t>Hepatomegaly=ZZ90= this is a nonspecific finding that may be seen with congestion, vacuolar hepatopathy, inflammation, neoplasia, etc.  Abdominal ultrasound may be helpful in further evaluation if biochemically indicated.  Mild bronchial pulmonary pattern.  Considerations include asthma, heartworm, lungworm, atypical infection, bronchitis.  Consider empiric therapy versus further diagnostics such as heartworm testing, Baermann fecal, airway sampling.</t>
  </si>
  <si>
    <t xml:space="preserve">Patient Name: Larry Nies, Date of study: Jul 5, 2024
5 whole body images are provided for review.
There are no previous radiographs for comparison.
Thorax:
Airway/pulmonary parenchyma: The lungs are mildly hypoinflated on the lateral projections. A mild bronchointerstitial pattern is present. 
Cardiovascular: Minimal cardiomegaly and minimal pulmonary vessel enlargement is present. The vessel margins are well visualized in the lungs. 
Mediastinum: Normal
Pleural space: Normal
Abdomen:
Liver: Normal
Spleen: Mild splenomegaly is present on the VD projection. The splenomegaly cannot be confirmed on the lateral projections.
Kidneys and urinary bladder: On the lateral projection, the right renal caudal margin appears mildly irregular. Renal size is normal. The urinary bladder is normal. 
GI: The stomach is moderately ingesta distended which is atypical for a vomiting cat. The small bowel is normal. The colon contains unformed feces and gas with the descending colon positioned along midline. A focal gas filled loop of small bowel is positioned in the left caudal abdomen on the VD projection. 
Abdominal detail: Retroperitoneal detail is mildly decreased around the renal hilus on the lateral projection. On the VD projection, the lateral abdominal detail is decreased with a wispy appearance and the colon is displaced to midline. </t>
  </si>
  <si>
    <t>1) Decreased left lateral abdominal detail with displacement of the colon to midline. Rule out active pancreatitis vs. primary GI disease with secondary mesenteric inflammation and/or lymphadenopathy. 
2) Mild splenomegaly on the VD projection only. Ddx: sedation vs. lymphoid hyperplasia vs. extramedullary hematopoiesis vs. less suspected, infiltrative neoplasia. 
3) Minimal cardiomegaly and minimal pulmonary vessel enlargement. No evidence of heart failure on this study. 
4) Mild bronchointerstitial pattern. A component of chronic lower airway disease may be present.
5) Ingesta filled stomach which is atypical for a vomiting cat. No gastric foreign body noted. DDx: recent meal vs. delayed gastric emptying vs. unseen gastric foreign body.
(amended on 07/05/2024 12:15)
6) Questionable right renal irregularity.</t>
  </si>
  <si>
    <t>Pancreatic testing. Abdominal ultrasound to assess the GI tract and pancreas.
Withhold food and repeat abdominal radiographs in 8-10 hours. Provide water and/or SQ fluids as needed while withholding food.
(amended on 07/05/2024 12:15)
Full bloodwork and urinalysis if not already performed.</t>
  </si>
  <si>
    <t>Opposite lateral and VD views of the thorax and abdomen are provided._x000D_
_x000D_
Abdomen: The stomach and proximal small intestine are mildly gas dilated. No foreign bodies are identified. The rest of the GI tract is unremarkable._x000D_
There is a bulge in the contour of the lateral margin of the left kidney in the VD view. The tail the spleen is nearby, and also has a focally moderately rounded margin. Overall spleen size is normal. The liver is at the upper end of normal size range. The right kidney is unremarkable. Abdominal serosal detail is normal._x000D_
_x000D_
Thorax: The ventral margin of the heart is obscured in the lateral views. This is suspected to be secondary to the pericardial and rectal sternal fat accumulation that is apparent in the VD view. The heart is within normal size and shape limits overall. Pulmonary vessels and parenchyma are unremarkable.</t>
  </si>
  <si>
    <t>There is mild dilation of the stomach and duodenum. No foreign bodies are seen. The appearance is not suggestive of a chronic partial obstruction, so is more likely a transient finding secondary to aerophagia or physiologic ileus._x000D_
There is mild rounding involving the tail the spleen which can be seen as a benign variant or artifact, or could be secondary to a nodule in this area._x000D_
There is a nodular contour involving the lateral margin of the left kidney. This is a result of a cortical cyst in most cases, typically benign. However, an inflammatory/infectious lesion or neoplastic nodule involving the kidney should also be ruled out._x000D_
_x000D_
The opacity obscuring the ventral margin of the heart is suspected to be an incidental finding associated with fat accumulation in this area.</t>
  </si>
  <si>
    <t>The radiographic findings are fairly mild overall, but follow up imaging of the abdomen with ultrasound or CT is recommended to differentiate infiltrative disease affecting the left kidney and spleen vs. benign changes._x000D_
The appearance of the liver and gallbladder is normal in the radiographs, but ultrasound evaluation of these structures is also indicated based on the reported laboratory changes and clinical signs.</t>
  </si>
  <si>
    <t xml:space="preserve">Patient Name: CHLOE MARKMAN, Date of study: Jul 5, 2024
3 images are provided for review
Feline Thorax (3 Images) - 2 Lateral, 1 VD
There are no previous radiographs for comparison.
The thoracic radiographs were not performed under sedation. 
Thorax:
Airway/pulmonary parenchyma: The lungs are mildly hypoinflated on all projections. A mild interstitial pattern is present in both caudal lung lobes on the VD projection. A slight increase in overall opacity overlies the cranial lung lobes on the VD projection which may be secondary to a scant volume of pleural fluid. 
Cardiovascular: The cardiac silhouette is minimally enlarged on the VD projection. On the lateral projections, minimal rounding to the right heart and CVC distention are present. The pulmonary veins to the caudal lung lobes are also minimally enlarged. 
Mediastinum: Gas is present in the thoracic esophagus. 
Pleural space: The ventral cardiac margin is less well defined on both lateral projections which is suggestive of scant pleural fluid. 
Cranial abdomen: The stomach contains a small quantity of gas. The small bowel is diffusely gas filled. 
Msk: Thoracic spondylosis is present. No aggressive vertebral lesions are noted. </t>
  </si>
  <si>
    <t xml:space="preserve">1) Mild cardiomegaly, pulmonary venous distention and CVC enlargement. Since no dexmeditomidine was administered for the radiographs, the concern is for primary cardiac insufficiency and/or mild overhydration. 
2) Pulmonary infiltrate on the VD projection and scant pleural fluid. DDx: secondary to emerging, low-grade or resolving heart failure vs. hypoinflation on the VD projection and scant pleural fluid secondary to another cause such as vasculitis. Cardiac disease should be ruled out.
3) Aerophagia.  </t>
  </si>
  <si>
    <t xml:space="preserve">Cardiac ultrasound, ECG and systemic blood pressure evaluation prior to fluid therapy. Monitor respiratory rate at home and repeat thoracic radiographs in 3-5 days, sooner if respiratory rate increases. </t>
  </si>
  <si>
    <t xml:space="preserve">
1.This result detects a minimal  mild, or rarely moderate bronchial pulmonary pattern._x000D_
2.Rarely, this result detects a minimal alveolar pulmonary pattern._x000D_
3.This result does not detect pulmonary soft tissue nodules._x000D_
4.This result detects no cardiomegaly to equivocal/borderline cardiomegaly. _x000D_
5.This result does not detect pulmonary vasculature enlargement._x000D_
6.Rarely, this result detects minimal pleural fissure lines/fluid._x000D_
7.This result detects a minimal, or rarely mild interstitial pulmonary pattern.</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</si>
  <si>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gas-filled but remain normal in size.  Gas and feces are present in the colon.  The urinary bladder is distended and contains an angular mineral structure.  The remaining abdominal organs are normal.</t>
  </si>
  <si>
    <t>Cystic calculus.  Gastric contents may represent normal ingesta or foreign material.  Consider repeat radiographs following strict fasting to determine if gastric contents persist.  Radiographically normal thorax for patient of this age.</t>
  </si>
  <si>
    <t>Three radiographs of the thorax/abdomen are provided. The cardiac silhouette and pulmonary vessels are normal size. There is a moderate bronchial pattern throughout the lungs. No pleural effusion. Faint curved 1.3 cm soft tissue opacity dorsal to the cranial sternum on the lateral views is not seen on the VD projection. In the abdomen the stomach is severely distended with formed soft tissue opacity. Numerous ovoid kibble-like contours are present within gastric contents. There is also large volume gas in the stomach. This is responsible for the abdominal distention. There is no effusion. Small intestines are diffusely mildly gas-filled. There is formed feces in the distal colon. Normal-sized liver, spleen, left kidney. The right kidney is obscured. No radiopaque urolithiasis. Narrowed L3-4 intervertebral disc space, and a 0.7 cm metal opaque pellet in the ventral extrathoracic tissues and proximal left pelvic limb are incidental findings today.</t>
  </si>
  <si>
    <t>1. Moderate bronchial pattern most consistent with chronic airway inflammation such as asthma. This is the most likely cause for coughing. Infectious bronchopneumonia is given lesser consideration._x000D_
2. Normal postprandial abdomen.</t>
  </si>
  <si>
    <t>A CBC is recommended. If the patient is febrile or has blood work consistent with bronchopneumonia, antibiotics would be recommended.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</si>
  <si>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liver margin is rounded and extends beyond the costal arch.  The small intestines are normal in size.  Gas and feces are present in the colon.  The urinary bladder is distended.  The kidneys are at the lower limits of normal for size.  The remaining abdominal organs are normal.</t>
  </si>
  <si>
    <t>Hepatomegaly=ZZ90= this is a nonspecific finding that may be seen with congestion, vacuolar hepatopathy, inflammation, neoplasia, etc. Association with diabetes mellitus is likely in this patient.  Abdominal ultrasound may be helpful in further evaluation if biochemically indicated.  Radiographically normal thorax for patient of this age.</t>
  </si>
  <si>
    <t>Three radiographs of the thorax, and three views of the abdomen are provided. The heart and pulmonary vessels are normal size and shape. There are no abnormalities in the pulmonary parenchyma. No pleural effusion or intrathoracic lymphadenomegaly._x000D_
_x000D_
In the abdomen peritoneal and retroperitoneal detail is normal. There is small volume gas in the stomach. Small bowel are minimally distended. Small volume of formed feces in the colon. There is no radiopaque gastrointestinal foreign material or cystic calculi. Normal-sized liver, spleen, kidneys. Osseous structures are normal.</t>
  </si>
  <si>
    <t>Normal thorax and abdomen. A reason for the clinical signs is not identified.</t>
  </si>
  <si>
    <t>Current diagnostics are appropriate. Depending on blood work results and if the patient does not improve with supportive care, abdominal ultrasound would be recommended.</t>
  </si>
  <si>
    <t>5 images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The kidneys are small with irregular margins.</t>
  </si>
  <si>
    <t>Radiographically normal thorax for patient of this age.  Chronic renal changes.</t>
  </si>
  <si>
    <t>Study:_x000D_
Thoracic radiography: three images dated July 3,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presumed to be ingesta. The patient is of obese body condition. The osseous structures are unremarkable.</t>
  </si>
  <si>
    <t>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t>
  </si>
  <si>
    <t xml:space="preserve">
1.Rarely, this result detects minimal pleural fissure lines/fluid._x000D_
2.This result detects a minimal, or rarely mild interstitial pulmonary pattern._x000D_
3.This result detects a minimal to mild, or rarely moderate bronchial pulmonary pattern._x000D_
4.Rarely, this result detects a minimal alveolar pulmonary pattern._x000D_
5.This result does not detect pulmonary soft tissue nodules._x000D_
6.This result does not detect pulmonary vasculature enlargement._x000D_
7.This result detects no cardiomegaly to equivocal/borderline cardiomegaly. </t>
  </si>
  <si>
    <t>Four orthogonal radiographs of the abdomen dated 3rd July 2024 are available for review. There are no previous radiographs available for comparison. _x000D_
_x000D_
Intra-abdominal findings: The hepatic silhouette is enlarged with smooth borders. The stomach is empty with a mildly caudally displaced axis. The small intestines are variable in shape and size, containing some gas, fluid and soft tissue opaque material. Some of the gas lucencies are angular in nature. There is mild loss of serosal detail in the region. The ascending transverse and descending colon is moderately gas dilated and contains gradually more formed faeces. The urinary bladder is filled. The kidneys are partially obscured by gastrointestinal contents, but the visible aspect are normal. The spleen is normal. There is significant overlying long hair artefact._x000D_
_x000D_
Extra-abdominal findings: No significant abnormalities are detected._x000D_
_x000D_
Included thorax: No significant abnormalities are detected.</t>
  </si>
  <si>
    <t>1. The small intestinal findings are suspicious of an enteritis, potentially a linear foreign body, although atypical. The mild colonic distension may be consistent with a mild colitis. There is no evidence for a obstructing foreign body. Pancreatitis is considered unlikely. The loss of serosal detail may be due to crowding, or a localised inflammatory transudate._x000D_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</si>
  <si>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Supportive management including rehydration, gastroprotectants,  full blood work, faecal analysis if clinically indicated is advised, if not already performed. Repeat 3-view radiographs depending on clinical progression or consider an abdominal ultrasound.</t>
  </si>
  <si>
    <t xml:space="preserve">
1.This result detects a minimal to moderate bronchial pulmonary pattern._x000D_
2.This result detects a minimal to mild interstitial pulmonary pattern._x000D_
3.This result does NOT detect an alveolar pulmonary pattern._x000D_
4.This result does NOT detect soft tissue pulmonary nodules._x000D_
5.This result detects equivocal/borderline to mild, or rarely moderate to severe cardiomegaly._x000D_
6.This result does NOT detect pleural fissure lines.</t>
  </si>
  <si>
    <t xml:space="preserve">Patient Name : Copper Frey-Frankenfield, Date of study: Jul 3, 2024
4 images are provided for review
There are no previous radiographs for comparison.
Pulmonary parenchyma: The pulmonary parenchyma is subjectively normal.
Pulmonary vasculature: The pulmonary vasculature is subjectively normal in size and tapers in the periphery of the lungs.
Cardiac silhouette: The cardiac silhouette is subjectively enlarged and reniform in the right lateral image.  The cardiac silhouette is slightly enlarged and rounded in the left lateral image.
Mediastinum: The cranial mediastinum is normal.
Trachea: The trachea is normal.
Esophagus: The esophagus is not well-identified.
Pleural space: The pleural space is normal.
Musculoskeletal: Ovoid and somewhat pedunculated soft tissue nodule arises from the soft  tissues of the right ventrolateral thoracic body wall, centered at the level of T3-4.  The remaining included musculoskeletal structures are normal.
</t>
  </si>
  <si>
    <t xml:space="preserve">1. Mild generalized cardiomegaly.
- Differential diagnoses include hypertrophic or thyrotoxic cardiomyopathy, or unlikely other.
- There is no evidence of left-sided congestive heart failure.
2. No obvious intrathoracic lymphadenomegaly or pulmonary nodules.
3. Right ventrolateral thoracic body wall soft tissue nodule, consistent with reported suspected carcinoma.
</t>
  </si>
  <si>
    <t>Echocardiography, ECG and blood pressure for further evaluation of the heart.  Routine blood work and thyroid function testing, if not recently performed.  Consider computed tomography for pre-surgical planning of incisional/excisional biopsy of extra-thoracic mass, and histopathology.  Oncologist consultation depending on results.  Empirical therapy and supportive care in the interim as needed.  Monitoring as directed or sooner if clinical signs acutely change, fail to improve or worsen.</t>
  </si>
  <si>
    <t>Patient Name : Luna Fisher, Date of study: Jul 3, 2024
4 images are provided for review
Feline Thorax (4 Images) - 3 Lateral, 1 Vd
There are no previous radiographs for comparison.
Pulmonary parenchyma: A  mild diffuse bronchial and minimal diffuse interstitial patterns are present.  The lungs are hypoinflated in the lateral image with the most severe interstitial component.  Mineral is in the right middle and right caudal lung lobes.  
Pulmonary vasculature: The pulmonary vasculature are partially obscured.
Cardiac silhouette: The cardiac silhouette is tall and enlarged in the right lateral image.  The descending aorta is presumed to be the ovoid soft tissue dorsal to the carina in the right lateral image.  
Mediastinum: The cranial mediastinum is normal.
Trachea: The trachea is normal.
Esophagus: The esophagus is not well-identified.
Pleural space: Mild pleural fluid is suspected with rounding of the right caudal lung lobe in the diaphragmatic recess.  A pleural fissure dorsally between the right cranial/caudal lung lobes is widened in a left lateral image.  
Musculoskeletal: Multifocal thoracic spondylosis deformans is present.  The remaining included musculoskeletal structures are normal.
Cranial abdomen:  A segment of intestine in the cranial abdomen is enlarged, but this may be the colon.</t>
  </si>
  <si>
    <t>1. Mild-moderate generalized cardiomegaly such as from hypertrophic or thyrotoxic cardiomyopathy, or unlikely other.
2. Minimal diffuse bronchial and interstitial pulmonary patterns due to infectious/immune-mediated lower airway disease, fibrosis from prior disease, age-related changes, or  less likely evolving left-sided congestive heart failure, or unlikely other.
3.  Suspected right-sided pleural fluid.
- Differential diagnoses include evolving left-sided congestive heart failure, hemorrhage, malignant effusion, vasculitis or unlikely other.
4. Multifocal bronchial mineral such as from prior disease, fibrosis, or other is considered.</t>
  </si>
  <si>
    <t>Echocardiography, blood pressure, ECG, routine blood work, thyroid function testing, and abdominal imaging for further evaluation.   Ultrasonography and possibly thoracocentesis with fluid analysis/cytology if right-sided pleural fluid is confirmed.  Consider respiratory PCR panel, airway sampling, and fecal analysis/deworming for further evaluation.  Empirical therapy and supportive care in the interim as needed.  Monitoring as directed, or sooner if clinical signs acutely change, fail to improve or worsen.</t>
  </si>
  <si>
    <t>Three radiographs of the thorax are provided. There is mild cardiomegaly. Pulmonary vessels are prominent. There is a patchy severe interstitial pattern within the lungs, worst in the mid and ventral lungs. No pleural effusion. Adequate tracheal diameter. The cranial abdomen is unremarkable.</t>
  </si>
  <si>
    <t>Mild cardiomegaly consistent with cardiomyopathy. The patchy severe interstitial pattern is most likely cardiogenic pulmonary edema. Aspiration pneumonia causing the lung pattern is given much lesser consideration but could be present concurrently.</t>
  </si>
  <si>
    <t>Recommend diuretic administration and an echocardiogram. If the patient is febrile, has elevated white blood cell count, or the lung pattern does not resolve with diuretics, the addition of antibiotics would be recommended.</t>
  </si>
  <si>
    <t xml:space="preserve">
1.This result detects mild to severe cardiomegaly._x000D_
2.Rarely, this result detects minimal to moderate pulmonary vasculature enlargement.  _x000D_
3.This result detects minimal to severe pleural fissure lines/fluid._x000D_
4.This result detects a mild to severe interstitial pulmonary pattern._x000D_
5.This result detects a mild to severe bronchial pulmonary pattern._x000D_
6.This result detects a minimal to moderate alveolar pulmonary pattern.</t>
  </si>
  <si>
    <t>WHOLE-BODY (3 total radiographs for review)._x000D_
_x000D_
- There is the impression of increased soft tissue opacity in the retroperitoneal space and the kidneys appear to be bilaterally enlarged._x000D_
- The stomach contains mild gas and gas-stippled soft-tissue opaque material_x000D_
- The small intestine contains mild multifocal gas and soft-tissue opaque material_x000D_
- The colon contains gas, soft-tissue/fluid and minimal formed fecal material._x000D_
- The liver, spleen and urinary bladder are normal._x000D_
- The cardiac silhouette is moderately enlarged, having an increased height and valentine shape on the VD projection._x000D_
- The pulmonary vasculature is normal._x000D_
- The pulmonary parenchyma is normal_x000D_
- The trachea, esophagus and remainder of the mediastinum are normal._x000D_
- The pleural space and remaining intrathoracic structures are normal._x000D_
- No musculoskeletal abnormalities are noted.</t>
  </si>
  <si>
    <t>1.  Bilateral renomegaly and retroperitoneal steatitis/effusion. DDx acute kidney injury (e.g. severe pyelonephritis, FIP), renal lymphoma or less likely bilateral hydronephrosis.  Consider abdominal ultrasonography for further assessment of the renal architecture, retroperitoneal space and ureters._x000D_
_x000D_
2. Moderate generalized cardiomegaly, without pulmonary vasculature congestion or congestive heart failure. Consider cardiomyopathy (e.g. hypertrophic, restrictive, unclassified) or congenital cardiac defect (e.g. VSD, aortic stenosis). Cardiologist consultation and echocardiography may be considered.</t>
  </si>
  <si>
    <t>THORAX (3 total radiographs for review). _x000D_
_x000D_
- Just dorsal to the caudal aspect of the thoracic trachea, there is a rounded increase in soft-tissue opacity that ventrally displaces the trachea and compresses the carina._x000D_
- On the LLAT projection, caudodorsal to the above-described mass-like region there is a rounded, nodular increase in soft-tissue opacity in the region of the dorsal aspect of the right caudal or right middle lung lobe that may have a small central gas cavitation._x000D_
- Unstructured interstitial to alveolar pattern in the right cranial lung lobe_x000D_
- Mild diffuse bronchial pulmonary pattern._x000D_
- Cardiac silhouette and pulmonary vasculature normal._x000D_
- The remaining intrathoracic structures normal._x000D_
- No discrete cranial abdominal abnormalities are identified._x000D_
- Mild multifocal spondylosis deformans.</t>
  </si>
  <si>
    <t>1. I am concerned for the presence of a mass in the mediastinum just dorsal to the caudal aspect of the trachea/carina.  It appears to be causing airway deviation and compression and may be leading to obstructive atelectasis of the right cranial lung lobe. If real, the mass could be neoplastic (e.g. enlarged tracheobronchial lymph node, solitary mediastinal tumor, metastatic disease from unseen primary mass) or less likely non-neoplastic etiologies. I would recommend considering thoracic CT in this patient and/or serial repeat thoracic radiographs over time._x000D_
_x000D_
2. Possible pulmonary nodule=ZZ90= dorsal portion of the right caudal or right middle lung lobe. If real, this would raise primary concern for metastatic neoplasia of the mass._x000D_
_x000D_
3. Mild diffuse bronchial pattern. A component of this may be normal age-related lower airway change, however chronic lower airway disease (e.g. feline asthma, bronchitis of infectious or inhaled irritant etiology) is also possible._x000D_
_x000D_
4. Unremarkable abdomen._x000D_
_x000D_
5. Mild multifocal spondylosis deformans._x000D_
_x000D_
6. Excessive body habitus.</t>
  </si>
  <si>
    <t xml:space="preserve">
1.This result detects equivocal/borderline to moderate cardiomegaly._x000D_
2.This result does NOT detect pleural fissure lines. _x000D_
3.This result detects a minimal to mild bronchial pulmonary pattern._x000D_
4.This result detects a minimal to mild interstitial pulmonary pattern._x000D_
5.This result does NOT detect an alveolar pulmonary pattern.</t>
  </si>
  <si>
    <t>Study:_x000D_
Thoracic radiography: five images dated July 2, 2024_x000D_
_x000D_
Findings:_x000D_
The cardiac silhouette is normal in size and shape. The pulmonary vasculature is normal in size. There is no apparent main pulmonary or lobar arterial enlargement. On both lateral projections, there is a 1.2 cm round soft tissue opaque nodule in the cranioventral lung field. The lesion is more clearly defined on the left lateral projection but is not clearly visualized on the orthogonal views. There is a mild generalized bronchial pulmonary pattern The pleural space is normal. There is no intrathoracic lymphadenopathy. There is a small volume of fluid in the caudal esophagus on the right lateral view. The trachea is normal in diameter. The included abdomen is unremarkable. No skeletal abnormalities are present. The ribs are normal.</t>
  </si>
  <si>
    <t>1. Pulmonary nodule. Rule out primary pulmonary neoplasia, metastatic neoplasia or granuloma. Consider abdominal sonography to evaluate for any evidence of intra-abdominal neoplasia. Regionally appropriate fungal serology testing can also be considered._x000D_
2. The mild generalized bronchial pulmonary pattern likely indicates heartworm associated bronchitis. There no cardiovascular changes associated with the reported heartworm disease. The lack of any cardiovascular changes and lack of any reported clinical signs would suggest class I heartworm disease. Echocardiography can be considered for further evaluation of the reported heart murmur.</t>
  </si>
  <si>
    <t xml:space="preserve">
1.This result detects equivocal/borderline to moderate cardiomegaly. _x000D_
2.This result detects a minimal to mild, or rarely moderate interstitial pulmonary pattern.  _x000D_
3.This result detects a minimal to moderate bronchial pulmonary pattern._x000D_
4.Rarely, this result detects a minimal alveolar pulmonary pattern._x000D_
5.This result does not detect pulmonary vasculature enlargement._x000D_
6.This result does not detect pleural fissure lines/fluid.  </t>
  </si>
  <si>
    <t>Five radiographs of the thorax/abdomen are provided. The right laterality marker is located on the left side of the patient on the VD projections. The cardiac silhouette is lower normal size, although has curved soft tissue bulge along the caudal dorsal aspect of the heart on the lateral views. Pulmonary vessels are normal size. There is a patchy severe interstitial pattern in the mid left lungs. On the edge of the left lateral abdominal view, there is a round 0.5 cm soft tissue opacity ventral to T8, possibly also present on the left lateral thoracic view. There is no pleural effusion. The cervical and cranial thoracic esophagus is diffusely gas-dilated. This gas dilation appears to terminate cranial to the tracheal bifurcation, where there is the appearance of a curved 2.3 cm soft tissue contour that also causes ventral displacement of the dorsal tracheal wall. This tracheal contour is persistent on all of the lateral views. No pleural effusion. In the abdomen if there is no peritoneal or retroperitoneal effusion. The stomach and small bowel are minimally filled. Gas in the proximal colon, and formed feces in the distal colon. No radiopaque foreign material. Normal-sized liver, kidneys, spleen. No radiopaque cystic calculi. Moderate degenerative change in the coxofemoral joints, worse on the left.</t>
  </si>
  <si>
    <t>1. Highly suspect caudal thoracic esophageal foreign material causing esophageal obstruction and tracheal compression. Segmental megaesophagus is given secondary consideration. The contour does not appear as opaque as would be expected for a mass lesion._x000D_
2. Probable aspiration pneumonia on the left. The small nodular contour may represent coalescing interstitial infiltrates versus neoplastic nodule._x000D_
3. The appearance of the caudal heart is most likely normal juncture with the caudal vena cava. Underlying cardiomyopathy that is masked by hypovolemia is next on the differential list. In the absence of a murmur or arrhythmia, significance is doubtful._x000D_
4. Normal abdomen.</t>
  </si>
  <si>
    <t>Recommend empiric antibiotics and an esophagram study. Liquid barium would be ideal. If mixing with canned food is necessary for administration, is acceptable as well.</t>
  </si>
  <si>
    <t xml:space="preserve">
1.This result detects none to equivocal/borderline, or uncommonly mild cardiomegaly. _x000D_
2.This result does not detect pulmonary vasculature enlargement._x000D_
3.Rarely, this result detects minimal pleural fissure lines/fluid.  _x000D_
4.This result detects a minimal, or rarely mild interstitial pulmonary pattern.  _x000D_
5.This result detects a mild to moderate bronchial pulmonary pattern._x000D_
6.Rarely, this result detects an alveolar pulmonary pattern.</t>
  </si>
  <si>
    <t>Abdomen: There is a moderate amount of heterogeneous soft tissue opacity within the gastric lumen.  There is loss of serosal detail throughout the abdomen.  There is a possible mass effect within the mid abdomen with displacement of the colon dorsally and small intestines ventrally.  There is a segment of bowel with moderate gas dilation which cannot be differentiated between jejunum and colon._x000D_
_x000D_
Thorax: There is a mild diffuse peribronchial pattern.  The remainder of the thorax is unremarkable.</t>
  </si>
  <si>
    <t>Decreased serosal detail which may represent low amounts of intra-abdominal fat or peritoneal effusion._x000D_
_x000D_
Possible mass effect within the mid abdomen._x000D_
_x000D_
The soft tissue opacity within the gastric lumen most likely represents normal ingesta.</t>
  </si>
  <si>
    <t>Three radiographs of the thorax/abdomen are provided. The heart and pulmonary vessels are normal size. There are no abnormalities in the pulmonary parenchyma. No pleural effusion or intrathoracic lymphadenomegaly. Tracheal diameter is adequate. In the abdomen there is moderate volume gas in the stomach. Normal rugal folds are not visible. Small intestines are diffusely mildly fluid filled. The colon is minimally distended. No radiopaque foreign material or urolithiasis. Normal-sized liver, kidneys, spleen. Bone opacity is subjectively increased.</t>
  </si>
  <si>
    <t>Normal thorax and abdomen. A reason for weight loss is not identified. Equivocal increased bone opacity, most likely artifact. Feline leukemia or metabolic abnormality could cause this appearance but does not correlate with blood work results.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</si>
  <si>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a large amount of feces are present in the colon.  The urinary bladder is small.  The kidneys are at the lower limits of normal for size.  The remaining abdominal organs are normal.</t>
  </si>
  <si>
    <t>Constipation.  Radiographically normal thorax for patient of this age.</t>
  </si>
  <si>
    <t>Six radiographs are provided, with images of the thorax/abdomen and spine. Images dated 10/19/22 are available for comparison. The cardiac silhouette is upper normal size to mildly enlarged, with suspected focal indentation of the caudal heart waist on the right lateral view. Prominence of the aortic arch on the VD projection is incidental aortic knob, present on the previous study as well. There are no abnormalities in the pulmonary parenchyma or pleural space. No thoracic spinal abnormalities. In the abdomen the gastrointestinal tract is moderately filled. No radiopaque urolithiasis or effusion. The left kidney is within normal size parameters, however is smaller than before. The right kidney is partially visible on the lateral views and also appears smaller than on the previous study. No radiopaque urolithiasis. The L3-4 intervertebral disc space is mildly narrowed on the 1st three lateral views, but is not definitively appreciated on the last lateral view. No other definitive spinal abnormalities. The coxofemoral joints are congruent. There is at least two smoothly marginated mineral opaque osseous bodies measuring up to 0.7 cm overlying the cranial aspect of the left stifle on the lateral views. At least one of these structures is medial to the stifle on the VD projection. These are not definitively seen on the edge of the previous study, however the stifles were superimposed on one another.</t>
  </si>
  <si>
    <t>1. The appearance of L3-4 is suggestive of intervertebral disc disease. Such a lesion at this or another site is the most likely cause for the recent clinical signs. Soft tissue sprain/strain is next on the differential list._x000D_
2. Left stifle periarticular osseous bodies consistent with chronic insult, likely ligamentous injury. Soft tissue sprain/strain may be contributing to current discomfort._x000D_
3. Equivocal mild cardiomegaly. Coupled with the murmur this is concerning for cardiomyopathy. No other thoracic abnormalities._x000D_
4. Mild reduced renal size suggestive of chronic renal disease. Otherwise normal abdomen.</t>
  </si>
  <si>
    <t>An echocardiogram should be considered. Cardiac proBNP evaluation is another option to investigate for supportive evidence of underlying cardiac disease. This patient may benefit from anti-inflammatories.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</si>
  <si>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kidneys are small with mineral in the diverticula.  The remaining abdominal organs are normal.</t>
  </si>
  <si>
    <t>Three radiographs of the thorax/abdomen are provided. Images dated 6/24/24 are available for comparison. The cardiac silhouette and pulmonary vessels are normal size and shape. There are no abnormalities in the pulmonary parenchyma. Fat deposition encircles the heart on the VD and left lateral views. There is no pleural effusion. Soft tissue thickening with several gas foci dorsal to the thoracic spine consistent with subcutaneous fluid administration. In the abdomen the stomach contains a large amount of soft tissue opacity, with several ovoid kibble-like contours noted. There are a few punctate mineral and metal opaque foci within the stomach. Gastric contents is increased in volume compared to the previous study. Small intestines are diffusely mildly filled with a mixture of fluid and gas. Moderate volume semi-formed and formed feces in the colon. Normal-sized kidneys, liver, spleen.</t>
  </si>
  <si>
    <t>Mineral and metal opaque foci in the stomach may represent administered medications and ingested cat litter. Otherwise normal postprandial abdomen. A reason for the clinical signs is not identified. There may be radiolucent foreign material/trichobezoar within the stomach causing gastritis and pyloric outflow obstruction. There is no evidence of small bowel obstruction. The thorax is normal.</t>
  </si>
  <si>
    <t>Recommend strictly fasted abdominal ultrasound.</t>
  </si>
  <si>
    <t>Three radiographs of the thorax, and three views of the abdomen are provided. The cardiac silhouette is mildly enlarged. Pulmonary vessels are normal size. No abnormalities in the pulmonary parenchyma. There is a round 1.2 cm soft tissue density dorsal to the 3rd sternal segment. No pleural effusion._x000D_
_x000D_
In the abdomen serosal detail is adequate. Small volume formed feces in the distal colon. The stomach and small bowel are minimally filled. There is faint curved 3.0 cm soft tissue opacity extending caudoventral to the liver on the lateral views. Normal-sized spleen and kidneys. Punctate nephrolith on the right is incidental. No radiopaque cystic calculi. Osseous structures are unremarkable.</t>
  </si>
  <si>
    <t>1. Mild cardiomegaly, most likely due to cardiomyopathy. Chronic anemia could also cause this appearance, and is next on the differential list._x000D_
2. Mild sternal lymphadenopathy, typically indicative of a disease process originating from the cranial abdomen._x000D_
3. Round soft tissue contour in the cranioventral abdomen may be distended gallbladder or hepatomegaly/hepatic mass. No other abdominal abnormalities.</t>
  </si>
  <si>
    <t>Abdominal ultrasound is recommended. An echocardiogram should also be considered. Since the patient is anemic and has the enlarged sternal lymph node, abdominal ultrasound is given top priority at this time.</t>
  </si>
  <si>
    <t xml:space="preserve">
1.This result detects a minimal to mild interstitial pulmonary pattern.  _x000D_
2.This result detects a mild to moderate bronchial pulmonary pattern._x000D_
3.This result does not detect an alveolar pulmonary pattern._x000D_
4.This result does not detect pulmonary soft tissue nodules._x000D_
5.This result detects equivocal/borderline to mild cardiomegaly. _x000D_
6.This result does not detect pulmonary vasculature enlargement._x000D_
7.This result does not detect pleural fissure lines/fluid.  </t>
  </si>
  <si>
    <t>Study:_x000D_
Thoracic and abdominal radiography: six images dated July 1, 2024_x000D_
_x000D_
Findings:_x000D_
The cardiac silhouette and pulmonary vasculature are normal in size. There is a mild caudodorsal bronchial pulmonary pattern. There is indistinct increased opacity within the ventral thorax on the lateral projection thought to be secondary mediastinal fat. There is no intrathoracic lymphadenopathy. The trachea is normal in diameter and course. The abdominal serosal detail is normal. On the left lateral views, there is a small amount of heterogeneous soft tissue material in the pylorus. The small intestines are normal in size, course and content. The colon contains formed fecal material. The liver extends mildly beyond the costal arch with smooth and sharp margins. The spleen is normal in size and margin. The renal silhouettes are normal in size and contour. The left lobe of the pancreas is incidentally visualized between the spleen/left kidney on the VD view and is normal in thickness. The urinary bladder is normal in size and opacity. The osseous structures are unremarkable.</t>
  </si>
  <si>
    <t>1. The mild caudodorsal bronchial pulmonary pattern may indicate allergic/inflammatory bronchitis (asthma). Infectious, parasitic and irritant bronchitis are also possible. Airway sampling, heartworm testing and Baermann fecal flotation can be considered for further evaluation._x000D_
2. Gastric contents may represent food and/or foreign material. There is no evidence of small intestinal mechanical obstruction. Repeat fasted radiography can be considered to ensure gastric emptying._x000D_
3. Mild hepatomegaly is nonspecific. Rule out individual normal variant (given the reportedly normal liver enzyme values), vacuolar hepatopathy, hepatitis, lipidosis or infiltrative neoplasia. Sonography can be considered for further evaluation.</t>
  </si>
  <si>
    <t>A definitive cause of the reported pyrexia is not evident. Abdominal sonography should be considered for further evaluation if clinical signs persist or worsen in spite of medical management.</t>
  </si>
  <si>
    <t xml:space="preserve">
1.This result detects a minimal to moderate bronchial pulmonary pattern._x000D_
2.This result detects a minimal to mild interstitial pulmonary pattern._x000D_
3.This result does NOT detect an alveolar pulmonary pattern. _x000D_
4.This result detects equivocal/borderline to mild cardiomegaly._x000D_
5.This result does NOT detect pleural fissure lines.  </t>
  </si>
  <si>
    <t>Differential diagnoses for cardiomegaly include: hypertrophic or thyrotoxic cardiomyopathy in a mature or older patient, or congenital anomaly in a very young patient.  Consider heartworm disase in endemic areas, or if not already ruled out. Equivocal cardiomegaly may be due to evolving disease or artifact from phase of the cardiopulmonary cycle, patient positioning/technique, or individual variation of normal.  The mixed interstitial and bronchial pulmonary patterns are NOT suspected to represent left-sided congestive heart failure. For patients with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t>
  </si>
  <si>
    <t xml:space="preserve">Patient Name : Henry Wickham-Pearson, Date of study: Jul 1, 2024
5 images are provided for review
There are no previous radiographs for comparison.  The caudal abdomen is excluded from al but one image.
Liver: The liver is subjectively normal in size.
Spleen: The spleen is normal in size with smooth margins and homogeneous soft tissue.
Kidneys: The kidneys are normal in the lateral images.
Retroperitoneum: Retroperitoneal detail is adequate.
Urogenital: The urinary bladder is not well identified.
Peritoneum: Peritoneal detail is adequate.
Gastrointestinal tract: The stomach contains a moderate volume of gas and mild fluid.
The small intestine contains moderate gas with a subjectively uniform population for size. Only in the ventrodorsal image, in the left caudal abdomen, an ovoid smoothly marginated mineral body is present, that may be in a segment of intestine.  In the ventrodorsal image, gas in the distal descending colon may acutely terminate over the level of L5-6.  The descending colon contains moderate gas.
Musculoskeletal: The included musculoskeletal structures are normal.
</t>
  </si>
  <si>
    <t>1. Possible Bates body versus small intestinal foreign material, left caudal abdomen.
2. Presumed artifact or unlikely descending colonic torsion given inability to visualize colonic gas caudal to L5-6 in the ventrodorsal image.
- This region is excluded in the lateral images, limiting evaluation, but no obvious colonic enlargement is present in the lateral images.
3. Non-specific gastric and small intestinal changes such as from gastritis/enteritis or less likely mechanical ileus (especially given lack of reported vomiting), aerophagia, or unlikely bowel ischemia/vascular accident or least likely dysautonomia or other.</t>
  </si>
  <si>
    <t xml:space="preserve">Consider repeat radiographs including the caudal abdomen and possibly pneumocolonogram.  If left caudal abdominal mineral is small intestinal foreign material, consider celiotomy versus medical therapy and monitoring with serial imaging.  Ultrasonography may be contributory, but will be limited by gastrointestinal gas.  Routine blood work, and GI panel may be contributory if not recently performed to rule out systemic disease.  Empirical therapy and supportive care in the interim as needed.  Monitoring as directed or sooner if clinical signs acutely change, fail to improve or worsen.  </t>
  </si>
  <si>
    <t>Patient Name : ted Blagg, Date of study: Jul 1, 2024_x000D_
2 images are provided for review_x000D_
Feline Abdomen (2 Images) - 1 Lateral, 1 Vd_x000D_
There are no previous radiographs for comparison. Abdominal evaluation is requested._x000D_
_x000D_
Liver: The liver is mildly small and occupies one to two intercostal spaces width._x000D_
Spleen: The spleen is normal in size with smooth margins and homogeneous soft tissue._x000D_
Kidneys: The left kidney is at the lower limit of normal for size. The right kidney is slightly small with a slightly undulant margin._x000D_
Retroperitoneum: Retroperitoneal detail is adequate._x000D_
Urogenital: The urinary bladder is normal in size, homogeneous soft tissue, and smoothly marginated._x000D_
Peritoneum: Peritoneal detail is adequate._x000D_
Gastrointestinal tract: The stomach contains a moderate volume of soft tissue material and gas. The stomach is normal in size._x000D_
The small intestine contains minimal gas, mild fluid or is empty with a subjectively uniform population for size._x000D_
The colon contains mild well-defined soft tissue material and gas._x000D_
_x000D_
Musculoskeletal: Multifocal thoracolumbar spondylosis deformans is present. The remaining included musculoskeletal structures are normal.</t>
  </si>
  <si>
    <t>1. Mild microhepatia versus individual variation of normal._x000D_
- If present, consider occult portosystemic shunt or chronic hepatitis/cirrhosis or unlikely other._x000D_
2. Slightly small right kidney with slight marginal change and borderline small left kidney such as from chronic renal disease._x000D_
3. Gastric material due to recent meal versus gastritis/delayed gastric emptying, or unlikely pyloric outflow tract obstruction given lack of vomiting in reported history.</t>
  </si>
  <si>
    <t>Consider respiratory PCR panel, fecal analysis/deworming and possibly airway sampling for further evaluation. Empirical therapy and supportive care as needed in the interim. Monitoring as directed, or sooner if clinical signs acutely change, fail to improve or worsen.</t>
  </si>
  <si>
    <t>Patient Name : Amelie Alcorn, Date of study: Feb 29, 2024
6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subjectively tall in the lateral images.  The cardiac silhouette is subjectively normal in size in the ventrodorsal image.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Gas is in the pylorus in the left lateral image.  The stomach is normal in size.
The small intestine contains mild fluid or is empty with a subjectively uniform population for size. 
The colon contains moderat well-defined soft tissue material and gas.
Musculoskeletal: Spondylosis deformans is at T13-L1.  L4-5 has a narrow intervertebral disc space.  The remaining included musculoskeletal structures are normal.</t>
  </si>
  <si>
    <t>1. Mild diffuse bronchial pulmonary pattern such as from infectious/immune-mediated lower airway disease (mycoplasma spp., bordetella spp., parasitism, or other),  inhaled allergen/irritant, fibrosis from prior disease, age-related changes, a combination of these, or unlikely other.
2. Mild cardiomegaly or unlikely artifact from phase of the cardiopulmonary cycle and patient positioning.
- This is most likely due to hypertrophic cardiomyopathy given reported patient history, or less likely other.
- There is no evidence of left-sided congestive heart failure.  
3. L4-5 intervertebral disc narrowing.
4. No obvious renal changes.</t>
  </si>
  <si>
    <t>Consider echocardiography, ecg and blood pressure as well as thyroid function testing if not recently performed.  Routine blood work, urinalysis and SDMA may be contributory.  Empirical therapy and supportive care in the interim as needed.  Monitoring as directed or sooner if clinical signs acutely change, fail to improve or worsen.</t>
  </si>
  <si>
    <t>Orthogonal views of the thorax are provided:_x000D_
_x000D_
Thorax:_x000D_
_x000D_
Cardiac silhouette has a normal shape and size._x000D_
Pulmonary vessels are within normal limits of size and shape._x000D_
Pulmonary parenchyma shows a generalized bronchial pattern. _x000D_
No signs of tracheobronchial lymphadenopathy._x000D_
Pleural space, mediastinum, diaphragm and thoracic wall within normal limits.</t>
  </si>
  <si>
    <t>1) Generalized bronchial pattern is compatible with a chronic lower airway disease such as bronchitis of parasitic origin vs asthma vs feline chronic bronchitis.</t>
  </si>
  <si>
    <t xml:space="preserve">
1.This result detects a minimal to moderate bronchial pulmonary pattern._x000D_
2.This result does NOT detect an alveolar pulmonary pattern._x000D_
3.This result detects equivocal/borderline cardiomegaly._x000D_
4.Rarely, this result detects minimal pleural fissure lines/fluid._x000D_
5.This result detects a minimal, or rarely mild interstitial pulmonary pattern.</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</si>
  <si>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Linear branching mineralization is seen within the liver.  The stomach contains a moderate amount of gas and the rugal folds are prominent.  The small intestines are normal in size.  Gas and feces are present in the colon.  The urinary bladder is distended.  The kidneys have mineral in the diverticula.  The remaining abdominal organs are normal.  There is a fracture of the right ilial body with minimal displacement.  This portion of the ilium appears relatively lucent.</t>
  </si>
  <si>
    <t>Chronic renal changes.  Biliary tree mineralization is likely incidental.  Prominent rugal folds consistent with gastritis.  This does not rule out underlying pancreatitis or infiltrative neoplasia.  Abdominal ultrasound may be helpful radiographically normal thorax for patient of this age.  Right ilial fracture with concern for an underlying pathologic process.  Complete pelvic radiographs may be helpful.</t>
  </si>
  <si>
    <t>Study:_x000D_
Thoracic/abdominal radiography: three images dated July 1, 2024_x000D_
_x000D_
Compared to prior study dated March 18, 2024_x000D_
_x000D_
Findings:_x000D_
The cardiac silhouette is normal in size and shape. There is no cardiomegaly in the present exam. The pulmonary parenchyma is unremarkable. There is a persistent mild generalized bronchial pulmonary pattern. There is improved but persistent soft tissue opacity within the right cranial aspect of the pleural space between the 1st to 3rd ribs. There is no intrathoracic lymphadenopathy. The trachea is normal in diameter. The stomach contains unstructured heterogeneous soft tissue material presumed to be ingesta. The small intestines are normal in size, course and content. The colon contains formed fecal material. As before, the liver extends mildly beyond the costal arch with smooth and sharp margins. The spleen is normal in size and margin. The renal silhouettes are normal in size and contour. The urinary bladder is normal in size and opacity. The osseous structures are unremarkable/age appropriate.</t>
  </si>
  <si>
    <t>1. Improved the persistent right sided pleural effusion versus pleural thickening. Point-of-care thoracic sonography can be considered for further evaluation._x000D_
2. Static mild generalized bronchial pulmonary pattern may indicate allergic/inflammatory bronchitis (asthma). Infectious, parasitic and irritant bronchitis are also possible. Correlate with any reported coughing. Airway sampling, heartworm testing and Baermann fecal flotation can be considered for further evaluation if clinically relevant._x000D_
3. There is no evidence of cardiomegaly in the present exam._x000D_
4. Static mild nonspecific hepatomegaly. Juvenile normal variation is suspected. Hepatitis, vacuolar hepatopathy, congestion or infiltrative neoplasia are considered less likely.</t>
  </si>
  <si>
    <t>Study:_x000D_
Thoracic/abdominal radiography: three images dated January 1,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a large amount of formed fecal material with a normal diameter. The liver and spleen are normal in size and margin. Both renal silhouettes are on the lower limits of normal for size (approximately two times the length of L2). The urinary bladder is normal in size and opacity. The osseous structures are unremarkable.</t>
  </si>
  <si>
    <t>1. While the colon is not overly dilated, the large amount of formed fecal material within the colon may indicate constipation based on the patient=ZZ91=s defecation history._x000D_
2. Bilateral lower limits of normal renal size. Rule out individual normal variant, chronic kidney disease or renal dysplasia (given the relatively young age of the patient). Correlate with renal values, estimate testing and urinalysis._x000D_
3. There is no radiographic evidence of gastrointestinal foreign material or small intestinal mechanical obstruction. Abdominal sonography can be considered for further evaluation if clinical signs persist or worsen in spite of medical management._x000D_
4. Normal thorax.</t>
  </si>
  <si>
    <t>7 images of the thorax and abdomen are provided for review.  The cardiac silhouette is mildly widened with rounding of the left ventricular border.  Increased bronchial markings are present normal.  The pulmonary vasculature is normal in size.  The mediastinal and pleural structures are normal.  Abdominal serosal detail is adequate in all quadrants.  The stomach contains a small amount of gas.  The small intestines are normal in size.  Gas and mineral opaque feces are present in the colon.  The urinary bladder is small.  The remaining abdominal organs are normal.  There is spondylosis deformans of the most proximal region.</t>
  </si>
  <si>
    <t>Constipation.  Moderate bronchial pulmonary pattern.  Considerations include asthma, heartworm, lungworm, atypical infection, bronchitis.  Consider empiric therapy versus further diagnostics such as heartworm testing, Baermann fecal, airway sampling.  Mild cardiomegaly without current evidence of cardiogenic pulmonary edema.  Echocardiography and thyroid testing may be helpful in further evaluation.</t>
  </si>
  <si>
    <t>Orthogonal views of the thorax are provided:_x000D_
_x000D_
Thorax:_x000D_
_x000D_
Cardiac silhouette has a normal shape and size._x000D_
Pulmonary vessels are within normal limits of size and shape._x000D_
Pulmonary parenchyma shows a generalized mild bronchial pattern. _x000D_
No signs of tracheobronchial lymphadenopathy._x000D_
Pleural space, mediastinum, diaphragm and thoracic wall within normal limits.</t>
  </si>
  <si>
    <t>1) Generalized mild bronchial pattern is compatible with a chronic lower airway disease such as asthma vs feline chronic bronchitis vs bronchitis of parasitic origin.</t>
  </si>
  <si>
    <t>Consider CT of the nasal cavity/thorax with bronchoscopy, BAL, culture, cytology followed (in this order) by rhinoscopy and biopsies with culture, with deworming vs empirical treatment for upper and lower inflammatory/infectious/parasitic airway disease.</t>
  </si>
  <si>
    <t>Thorax: There is a soft tissue nodule region (2.70 x 2.45 cm) associated with the right cranial lung lobe and superimposed over the cranial dorsal aspect of the cardiac silhouette.  This structure  appears to surround dilated airways.  There is a moderate to severe diffuse peribronchial pattern.  The cardiac silhouette and pulmonary vasculature are unremarkable.  There is no evidence of pleural effusion or lymphadenopathy._x000D_
_x000D_
Abdomen: There are no abnormalities identified.</t>
  </si>
  <si>
    <t>The soft tissue nodule region associated with the right cranial lung lobe may represent severe focal lower airway inflammation with severe dilation of airways.  Alternatively a neoplastic nodule at this level cannot be ruled out._x000D_
_x000D_
Moderate to severe diffuse peribronchial pattern.  Primary differential consideration a lower airway inflammatory process however an infectious process or neoplasia such as lymphoma cannot be ruled out.</t>
  </si>
  <si>
    <t xml:space="preserve">
1.This result detects no or equivocal/borderline cardiomegaly most commonly.  Rarely, this result detects mild or moderate cardiomegaly._x000D_
2.This result detects a minimal to mild, or less commonly moderate interstitial pulmonary pattern.  _x000D_
3.This result detects a moderate to severe, or less commonly mild  bronchial pulmonary pattern._x000D_
4.Uncommonly, this result detects a minimal to mild alveolar pulmonary pattern._x000D_
5.This result commonly detects pulmonary soft tissue nodules and masses._x000D_
6.This result does not detect pulmonary vasculature enlargement._x000D_
7.This result commonly detects minimal to mild, or rarely moderate pleural fissure lines/fluid.</t>
  </si>
  <si>
    <t>Five radiographs of the thorax/abdomen are provided. The cardiac silhouette is normal size and shape. Pulmonary vessels are normal size. Increased opacity in the right cranial thorax, with ipsilateral mediastinal shift on the VD projection, with lobar sign but no air bronchograms on the left lateral view. No pleural effusion. Adequate tracheal diameter. In the abdomen formed feces fills the distal colon. The stomach and small bowel are mildly filled. There is no effusion or radiopaque urolithiasis. Normal-sized liver, spleen, kidneys. Punctate mineral density in several intervertebral disc spaces is incidental mineralized intervertebral disc material in situ.</t>
  </si>
  <si>
    <t>The appearance of the right cranial lung is most likely incidental lobar collapse. This can be seen with chronic/prior airway inflammation or heartworm disease. In the absence of associated respiratory signs or positive heartworm test, significance is doubtful. Otherwise normal thorax and abdomen.</t>
  </si>
  <si>
    <t>Recommend testing for heartworms. There is no contraindication for general anesthesia based on this study, however if it is planned for immediately following these images, consider extubation with partial inflation of the endotracheal tube cuff given current gastric contents.</t>
  </si>
  <si>
    <t>Nine orthogonal radiographs of the vertebral column, pelvis and pelvic limbs dated 28th June 2024 are available for review. There are no previous radiographs available for comparison. _x000D_
_x000D_
Vertebral column: The thoracic vertebral column is normal. The lumbar vertebral column is normal. The lumbosacral junction is normal._x000D_
_x000D_
Pelvis: The included lumbar vertebral column is normal. The iliosacral joints are symmetric. There is good coverage of the femoral heads by the acetabuli.  No degenerative modelling is noted at the acetabular rim and femoral heads and there is good articular congruency. The pelvic and caudal thigh musculature is symmetric. The patella are in an anatomical position._x000D_
_x000D_
Pelvic limbs: Both stifle joints are normal. There is no soft tissue attenuation, or degenerative modelling. The included tarsi and extremities are normal (mediolateral image only).</t>
  </si>
  <si>
    <t>No radiographic findings explain the presenting signs. Occult intervertebral disease such as intervertebral disk protrusion or other spinal cord pathology including embolic (FCE), high velocity disk, inflammatory or neoplastic disease or degenerative myelopathy is not excluded .</t>
  </si>
  <si>
    <t>A full neurologic examination, if not already performed is advised to differentiate generalised weakness from CP deficits. Full blood work and empiric management. If no response to therapy, patient has continued proprioceptive deficits or is worsening in general, referral to a neurologist for discussion regarding feasibility of MRI vs. CT of the spine can be considered</t>
  </si>
  <si>
    <t>Consider abdominal US to further evaluate causes of chronic vomition with a linera probe to better evaluate the GI wall.</t>
  </si>
  <si>
    <t>Four radiographs of the thorax and abdomen are provided. The cardiac silhouette and pulmonary vessels are normal size and shape on the lateral views. Fat deposition encircling the heart causes the cardiac silhouette to appear larger on the VD projection. There is a mild bronchial pattern in the lungs. No pleural effusion or soft tissue pulmonary nodules. Small volume gas in the esophagus is transient and incidental. Tracheal diameter is adequate. In the abdomen formed feces fills the distal colon. The stomach and small bowel are mildly filled. Normal-sized liver, spleen, kidneys. No radiopaque cystic calculi. Spondylosis deformans at the lumbosacral junction is likely incidental.</t>
  </si>
  <si>
    <t>Mild bronchial pattern most consistent with chronic airway inflammation such as asthma. In the absence of a chronic cough, significance is doubtful. Otherwise normal thorax and abdomen.</t>
  </si>
  <si>
    <t xml:space="preserve">
1.This result does not detect an alveolar pulmonary pattern._x000D_
2.This result detects a mild to mild interstitial pulmonary pattern.  _x000D_
3.This result detects a minimal to mild bronchial pulmonary pattern._x000D_
4.This result detects mild to moderate cardiomegaly._x000D_
5.Rarely, this result detects minimal pulmonary vasculature enlargement._x000D_
6.Rarely, this result detects minimal pleural fissure lines/fluid.  </t>
  </si>
  <si>
    <t>Orthogonal views of the thorax and abdomen are provided:_x000D_
_x000D_
Thorax:_x000D_
_x000D_
Cardiac silhouette has a normal shape and size._x000D_
Pulmonary vessels are within normal limits of size and shape._x000D_
Pulmonary parenchyma shows a mild bronchial pattern.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</si>
  <si>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No signs of cardiomegaly (this does not exclude a cardiac disease)._x000D_
2) Unremarkable lungs do not exclude a chronic lower airway disease such as asthma, chronic bronchitis or parasitic bronchitis.</t>
  </si>
  <si>
    <t>Given the lack of cardiomegaly but audible murmur, consider a cardiology consultation with ECG and echocardiogram prior to a bronchoscopy with BAL, culture, cytology, Baermann test and deworming.</t>
  </si>
  <si>
    <t xml:space="preserve">Three view orthogonal radiographs (3 images) of the thorax and cranial abdomen dated June 28, 2024, are available for interpretation. No prior images are available for comparison.
The cat was sedated with 2 mcg/kg (10 mcg) dexmedetomidine and 0.2 mg/kg butorphanol (0.8 mg) IV. Partial reversal of sedation with 0.02 mls (0.1 mg) atipamezole IM after radiograph completed. 
Thorax:
Airway/pulmonary: No pulmonary nodules are noted. The lung parenchyma appears normal on the lateral projection but has a slightly increased interstitial opacity in both caudal lung lobes on the VD projection. 
Cardiovascular: The cardiac silhouette is mildly enlarged. The pulmonary vasculature, aortic root and CVC size are mildly distended.
Mediastinum: Normal with gas present in the cranial thoracic esophagus on the left lateral projection. 
Pleural space: No pleural fluid or pneumothorax noted.
Cranial abdomen: The liver is minimally enlarged but retains a smooth margin. The stomach is gas filled and there is questionable gastric wall thickening. An atypical lucent region is noted between the liver and stomach on the right lateral projection which is not typically present. A curved lucent region is also noted dorsal to the stomach which is concerning for free abdominal air. This finding is not present on the left lateral or VD projections. The visible colon on the edge of the radiographs contains a moderate amount of fecal material. 
Msk: The C3-4 disc space appears narrowed on both lateral projections. </t>
  </si>
  <si>
    <t xml:space="preserve">1) Minimal cardiomegaly. DDX: secondary to hyperthyroidism vs. secondary to hypertension vs. very early HCM. Appearance to the perivascular structures on the lateral projection and the caudal lung lobes on the VD projection could be secondary to dexmedetomidine sedation but also raises concern for early, emerging or resolving cardiogenic pulmonary edema. 
2) Moderately full colon. (Per owner history, the cat has normal feces and fecal habits.)
3) Lucent region between the liver and stomach on the right lateral projection and appearance to the gastric wall are concerning for gastritis and potential ulceration. Alone, this finding warrants further consideration but in the presence of vomiting or cranial abdominal pain, becomes even more concerning for GI ulceration. </t>
  </si>
  <si>
    <t xml:space="preserve">See same day cardiac ultrasound report.
If vomiting, cranial abdominal pain and/or evidence of inflammation is present, abdominal ultrasound ASAP is recommended. If there are no clinical signs, repeat abdominal radiographs or abdominal ultrasound is recommended. </t>
  </si>
  <si>
    <t>No radiographic contraindications to anesthesia.</t>
  </si>
  <si>
    <t>3 views of the thorax are provided for review. There is a mild bronchial pattern in all lung lobes.  The cardiovascular structures are normal.  Fat is present in the pericardium.  The mediastinal and pleural structures are normal.  Cranial abdominal detail is adequate.</t>
  </si>
  <si>
    <t>Three radiographs of the thorax/abdomen, and three views of the head/neck are provided. Head/neck images include a closed mouth rostrocaudal view, and two lateral projections. Nasal and frontal sinuses are air-filled. No osseous lysis or proliferation is appreciated. No nasopharyngeal abnormalities on the lateral views. The tympanic bullae are normally thin-walled and air-filled. Broad-based 1.2 cm soft tissue opaque cutaneous nodule cranial to the right shoulder is of doubtful clinical significance today._x000D_
_x000D_
There is severe degenerative change in the caudal cervical and cranial thoracic spine, likely incidental today. The cardiac silhouette is upper normal size. Increased opacity cranioventral to the heart on the left lateral view is likely a portion of the aortic arch, incidentally ventrally positioned due to advanced age. There is a mild bronchial pattern in the lungs. No pleural effusion. In the abdomen the liver is upper normal size. Normal-sized kidneys and spleen. The stomach and small bowel are minimally filled. Formed feces fills the colon. No radiopaque cystic calculi. Severe degenerative change in both coxofemoral joints, with suspect bilateral chronic femoral capital physeal fracture, of doubtful significance today.</t>
  </si>
  <si>
    <t>1. Mild bronchial pattern suggestive of chronic airway inflammation such as asthma. No other abnormalities are identified to explain the respiratory signs. No other thoracic abnormalities._x000D_
2. No nasal/head abnormalities are appreciated. Inflammatory rhinitis is the most likely diagnosis. Fungal rhinitis or neoplasia are given lesser consideration._x000D_
3. Normal abdomen.</t>
  </si>
  <si>
    <t>If the wheezing/sneezing does not improve with treatment for rhinitis, advanced imaging of the head with computed tomography should be considered.</t>
  </si>
  <si>
    <t xml:space="preserve">
1.This result does not detect pulmonary vasculature enlargement._x000D_
2.This result detects none to equivocal/borderline to moderate cardiomegaly. _x000D_
3.This result does not detect pleural fissure lines/fluid.  _x000D_
4.This result detects a minimal to mild interstitial pulmonary pattern.  _x000D_
5.This result detects a minimal to mild, or rarely moderate bronchial pulmonary pattern._x000D_
6.This result does not detect an alveolar pulmonary pattern.</t>
  </si>
  <si>
    <t>Four radiographs of the head, and three views of the thorax are provided. The head images include a lateral view, two oblique lateral views, and an open-mouth rostral caudal view. There are no laterality markers on these images. There is a broad-based 1.3 x 0.5 cm soft tissue swelling dorsal to the mid through caudal nasal sinuses. On the lateral projection there is a thin flat 0.4 x 0.1 cm bony contour along the dorsal aspect of the nasal bone, within the rostral ventral aspect of the swelling. No osseous lysis or proliferation. Nasal and frontal sinuses are normally air-filled. The nasopharynx and common pharyngeal region, as well as both tympanic bullae are air-filled._x000D_
_x000D_
In the thorax the cardiac silhouette and pulmonary vessels are normal size and shape. The lungs are clear. There is no pleural effusion or intrathoracic lymphadenomegaly. Normal tracheal diameter. The cranial abdomen is unremarkable.</t>
  </si>
  <si>
    <t>Soft tissue swelling dorsal to the nasal sinus, with possible small osseous fragment versus osseous artifact due to slight rotation. Previous trauma with inflammation should be considered. A soft tissue neoplasm is not definitively ruled out. No other head abnormalities, and the thorax is normal.</t>
  </si>
  <si>
    <t>Recommend cytology of the swelling. If further evaluation of the lesion is desired, cross-sectional imaging with computed tomography would be recommended.</t>
  </si>
  <si>
    <t>Consider empirical treatment for asthma or chronic bronchitis evaluating response to treatment. If clinical signs persist, consider a bronchoscopy with BAL, culture, cytology, Baermann test and deworming.</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</si>
  <si>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_x000D_
Pleural space, mediastinum, diaphragm and thoracic wall within normal limits._x000D_
_x000D_
Fluid/soft tissue material in the stomach.</t>
  </si>
  <si>
    <t>1) Unremarkable thorax. Can not exclude a hair ball in the stomach either.</t>
  </si>
  <si>
    <t>Consultate with the clinician in charge of the case for next steps.</t>
  </si>
  <si>
    <t xml:space="preserve">Patient Name : Kian Medina, Date of study: Jun 27, 2024
5 images are provided for review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mildly tall in the lateral image.  This is not corroborated in the ventrodorsal image.  
Mediastinum: The cranial mediastinum is normal.
Trachea: The trachea is normal.
Esophagus: The esophagus is not well-identified.
Pleural space: The pleural space is normal.
Liver: The liver is subjectively normal in size.
Spleen: The spleen is just identified in the mid-ventral abdomen in the left lateral image.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fluid/soft tissue and gas.  The stomach is within normal limits for size.
The small intestine contains mild to moderate fluid and mild gas, or is empty.   
The colon contains moderate well-defined soft tissue material and gas.  The colon is normal in size.  Minimal granular mineral is admixed with colon contents.
Bones/Joints:  A transverse fracture in the dorsoventral dimension splits the left acetabulum in its caudal third.  This is characterized by a well-defined lucent gap between the cranial and caudal segments, best identified in the lateral images. The fracture margins are flat and mildly angular and well-defined.  The left femoral head is in place and has a subjectively normal contour with the cranial and dorsal acetabular rim. The included musculoskeletal structures are normal.  the right coxofemoral joint is normal.  The stifles are normal.
Soft tissues:  The included soft tissues are subjectively normal.  
</t>
  </si>
  <si>
    <t xml:space="preserve">1. Left acetabular caudal aspect articular fracture without left coxofemroal luxation. 
-  This is suspicious for occult trauma.
- This is suspected to be acute to chronic due to clarity of fracture margins but absence of obvious soft tissue swelling.
2. Mild cardiomegaly versus artifact from positioning and phase of the cardiopulmonary cycle.
- Given reported murmur and young patient age, congenital anomaly such as mitral valvular dysplasia or atrial/ventricular septal defect are considered over hypertrophic or thyrotoxic or other cardiomyopathy.
- There is no current evidence of left-sided congestive heart failure.  
3. Minimal diffuse bronchial pulmonary pattern due to infectious/immune-mediated lower airway disease, fibrosis from prior disease, age-related changes or unlikely other.
4. Minimal splenomegaly versus variation of normal or artifact from positioning.
- If present, consider passive congestion from sedation (if administered), extramedullary hematopoiesis, lymphoid hyperplasia, or less likely other.
5. Granular colon mineral due to dietary indiscretion or less likely other.  </t>
  </si>
  <si>
    <t>Echocardiography, eCG and blood pressure as well as routine blood work if not recently performed.  Empirical therapy and supportive care in the interim as needed. consider abdominal ultrasonography for further evluation of the gastrointestinal tract and spleen, especially if gastrointestinal clinical signs fail to improve or worsen with empirical therapy.  Abdominal ultrasonography may also be beneficial to screen for aortic thromboembolism, especially if differential hind limb blood pressure or temperature or pulse quality is identified.  Consider orthopedic consultation for internal fixation and stabilization of the left acetabular fracture.  No current evidence of left coxofemoral joint luxation.  Monitoring as directed or sooner if clinical signs acutely change, fail to improve or worsen.</t>
  </si>
  <si>
    <t>THORAX (3 radiographs for review)._x000D_
_x000D_
- The cardiac silhouette, pulmonary parenchyma, vasculature, pleural space and remaining intrathoracic structures are normal._x000D_
- The stomach contains mild gas stippled soft-tissue opaque material._x000D_
- The remaining cranial abdominal structures are normal._x000D_
- The included musculoskeletal structures are normal.</t>
  </si>
  <si>
    <t>1. Normal thorax. An obvious radiographic cause for the reported panting with exercise and play is not clearly identified._x000D_
_x000D_
2. Recent meal.</t>
  </si>
  <si>
    <t>WHOLE-BODY (6 total radiographs for review). A previous examination is available for comparison from 2022._x000D_
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Bilateral femoral head and neck ostectomies have been performed (limited)</t>
  </si>
  <si>
    <t>1. Normal abdomen. A discrete radiographic cause for the reported vomiting and low energy is not clearly identified. Consider abdominal ultrasound for further assessment if clinically indicated._x000D_
_x000D_
2. Normal thorax._x000D_
_x000D_
3. Bilateral prior femoral head and neck ostectomies.</t>
  </si>
  <si>
    <t>THORAX (3 total radiographs for review). Compared to previous examination 08/09/2023._x000D_
_x000D_
- Mild to moderate diffuse bronchial pulmonary pattern_x000D_
- The aortic root is prominent._x000D_
- No pulmonary nodules are identified._x000D_
- The trachea, esophagus and remainder of the mediastinum is/are normal._x000D_
- The pleural space and remaining intrathoracic structures are normal._x000D_
- The cranial abdominal structures are normal._x000D_
- There is mild multifocal spondylosis deformans.</t>
  </si>
  <si>
    <t>1. Negative examination for evidence of thoracic metastatic neoplasia._x000D_
_x000D_
2. Mild diffuse bronchial pattern. Most likely compatible with chronic lower airway disease. Feline asthma is most likely, however bronchitis of infectious (e.g. parasitic, bacterial) or inhaled irritant etiologies are also possible._x000D_
_x000D_
3. Prominent aortic root. This can be an incidental finding in older cats, but does have an association with systemic hypertension. There is no obvious cardiomegaly to indicate secondary concentric cardiac hypertrophy, however radiographic sensitivity can be limited. You may consider systemic blood pressure measurement in this patient, especially if a cardiac murmur is present._x000D_
_x000D_
4. Mild multifocal spondylosis deformans.</t>
  </si>
  <si>
    <t>7 images of the thorax and abdomen are provided for review. There is a severe bronchial pattern in all lung lobes.  The cardiovascular structures are normal.  The mediastinal and pleural structures are normal.  Abdominal serosal detail is adequate in all quadrants.  The stomach contains a moderate amount of gas and the rugal folds are prominent.  The small intestines are normal in size.  Gas and feces are present in the colon.  The urinary bladder is moderately distended.  All lung soft tissue structures are seen dorsal to the colon and ventral to L6.  The remaining abdominal organs are normal.</t>
  </si>
  <si>
    <t>Prominent rugal folds suggestive of gastritis.  This does not rule out underlying pancreatitis, dietary indiscretion, inflammatory bowel disease, etc.  Mild sublumbar lymphadenopathy=ZZ90= consider reactive versus neoplastic.  Abdominal ultrasound could be considered in further evaluation.  Severe bronchial pulmonary pattern.  Considerations include asthma, heartworm, lungworm, atypical infection, bronchitis.  Consider empiric therapy versus further diagnostics such as heartworm testing, Baermann fecal, airway sampling.</t>
  </si>
  <si>
    <t>A three view thoracoabdominal study is provided for interpretation._x000D_
_x000D_
The patient has relatively thin overall body condition. There is mild chronic remodeling involving both hip joints No other skeletal abnormalities are identified._x000D_
_x000D_
The stomach is mildly dilated, with a combination of amorphous soft tissue dense ingesta and gas. A very small quantity of granular mineral density is also seen in the stomach. There is a fragmented gas pattern throughout the small intestine. The overall volume of intestinal gas is still within normal limits and no pathologic dilation or plication the intestine is seen. Liver size is borderline, at the upper end of normal range to slightly enlarged. The spleen is slightly prominent but not felt to be significantly enlarged._x000D_
_x000D_
The cardiovascular structures are within normal limits. No pulmonary infiltrates or pleural effusion are identified. No thoracic lymphadenopathy is seen.</t>
  </si>
  <si>
    <t>The radiographic findings are limited._x000D_
Liver and spleen size is borderline. The stomach is mildly dilated, and has a small quantity of granular mineral density but these are minimal changes of limited significance. The fragmented gas pattern in the intestine is suggestive of enteritis, but this is also not definitive for pathology. No findings indicative of peritonitis or obstruction are seen._x000D_
The thorax is unremarkable._x000D_
_x000D_
Systemic infectious/inflammatory disease including FIP or lymphoreticular neoplasia should be ruled out._x000D_
Proximal obstruction with radiolucent for material cannot be entirely excluded, but no specific indication of this is seen in the radiographs.</t>
  </si>
  <si>
    <t>Ultrasound of the abdomen could be considered for more definitive evaluation.</t>
  </si>
  <si>
    <t>Three orthogonal survey radiographs of the thorax and abdomen dated 27th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mildly hyperlucent and the thoracic volume is increased._x000D_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The patient is in a thin body condition. There is bilateral coxofemoral osteoarthritis.</t>
  </si>
  <si>
    <t>1. The hyperlucent pulmonary parenchyma is most likely due to body habitus. Underlying allergic lower airway disease (feline asthma) may still be present in light of increased thoracic volume.</t>
  </si>
  <si>
    <t>Respiratory workup including CBC, serum chemistry, urinalysis, Baermann faecal testing, 4DX, +/- respiratory panel or fungal testing as indicated is advised.  Bronchoscopy/BAL vs. endotracheal wash +/- consultation with an Internist should be considered.</t>
  </si>
  <si>
    <t>Two orthogonal thoracic radiographs dated 27th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</si>
  <si>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Normal thorax. No imaging findings can explain the polydipsia.</t>
  </si>
  <si>
    <t>Abdominal radiographs or ultrasound is advised, as well as full blood work and urinalysis.</t>
  </si>
  <si>
    <t>Three radiographs of the thorax are provided. The cardiac silhouette and pulmonary vessels are normal size and shape. There are several faint bronchial markings in the periphery. No interstitial infiltrates. Fat deposition encircles the heart on the VD projection, and is seen cranioventral to the heart on the lateral views. There is no pleural effusion. Normal tracheal diameter and position.</t>
  </si>
  <si>
    <t>Faint bronchial markings suggestive of airway inflammation due to inhaled irritants/allergens, asthma. Infectious etiology is given much lesser consideration. Otherwise normal thorax.</t>
  </si>
  <si>
    <t>This patient may benefit from symptomatic treatment for the cough.</t>
  </si>
  <si>
    <t>4 views of the torso are submitted for review.  The cardiac silhouette and pulmonary vasculature are within normal limits.  Mild bronchial markings are noted throughout the lung fields.  No pleural effusion or intrathoracic lymphadenopathy is noted.  The trachea is normal._x000D_
In the abdomen, the stomach and small bowel are within normal limits.  A mild amount of stool is noted in the colon.  The liver and spleen are normal in size, shape, and margination.  The bilateral renal silhouettes are within normal limits.  The urinary bladder is unremarkable.  Serosal detail is normal._x000D_
No significant osseous abnormalities are seen.</t>
  </si>
  <si>
    <t>The appearance of the lung field is consistent with chronic inflammatory airway disease such as chronic bronchitis or feline asthma.  No evidence of congestive heart failure is seen._x000D_
Radiographically normal abdomen.</t>
  </si>
  <si>
    <t>Empirical medical management for chronic inflammatory airway disease as clinically indicated may be helpful.  No radiographic indication for diuretic therapy is noted.</t>
  </si>
  <si>
    <t xml:space="preserve">
1.Rarely, this result detects a minimal to mild alveolar pulmonary pattern._x000D_
2.This result detects mild to severe cardiomegaly._x000D_
3.This result does NOT detect pleural fissure lines.  _x000D_
4.This result detects minimal to mild, mixed interstitial and bronchial pulmonary patterns.</t>
  </si>
  <si>
    <t>Orthogonal radiographs of the thorax/abdomen are provided. Tracheal diameter and position are normal. There is a small amount of gas in the cervical esophagus on the lateral view. This area is obscured by the spine and trachea on the VD projection. No other esophageal dilation is appreciated. No radiopaque esophageal foreign material. The cardiac silhouette and pulmonary vessels are normal size and shape. There is a small area of severe interstitial infiltrates in the caudal segment of the left cranial lung lobe, seen in the lateral aspect of the left 5th intercostal space on the VD projection, and overlying the cranioventral heart on the right lateral view. No other pulmonary parenchymal abnormalities. In the abdomen serosal detail is adequate for a juvenile patient. The gastrointestinal tract is mildly filled. No radiopaque foreign material. Normal-sized liver, kidneys, spleen. Osseous structures are age appropriate.</t>
  </si>
  <si>
    <t>1. Focal severe interstitial pattern in the central left lung most consistent with aspiration pneumonia. No other thoracic abnormalities._x000D_
2. Gas in the cervical esophagus, most likely aerophagia. There would be concern for esophageal foreign material if the patient had persistent swallowing, gagging/retching behavior, regurgitation._x000D_
3. Normal abdomen.</t>
  </si>
  <si>
    <t>Recommend antibiotics for aspiration pneumonia. If there is persistent concern regarding potential esophageal foreign material, an esophagram study could be considered.</t>
  </si>
  <si>
    <t>Orthogonal views of the thorax are provided:_x000D_
_x000D_
Thorax:_x000D_
_x000D_
Cardiac silhouette shows a severe enlargement of the left atrium dorsally displacing the carina. Right atrium is also rounded._x000D_
Pulmonary vessels are within normal limits of size and shape._x000D_
Pulmonary parenchyma is within normal limits. No evidence of pulmonary nodules/masses._x000D_
Pleural space, mediastinum, diaphragm and thoracic wall within normal limits._x000D_
_x000D_
Liver extends beyond the costal arch with sharp margins._x000D_
Serosal detail is decreased.</t>
  </si>
  <si>
    <t>1) Left atrial enlargement secondary to chronic mitral endocardiosis without signs of CHF. Rule out concomitant tricuspid endocardiosis with pulmonary hypertension._x000D_
2) Hepatomegaly: Metabolic vs Vacuolar infiltration vs Hepatic nodular hyperplasia vs Inflammatory vs Toxic vs Neoplastic or a combination of these differentials._x000D_
3) Rule out free fluid: pure transudate (RSCHF vs hypoalbuminemia) vs modified transudate vs exudate.</t>
  </si>
  <si>
    <t>Consider a cardiology consultation with ECG and echocardiogram and abdominal US to further evaluate the liver and peritoneum.</t>
  </si>
  <si>
    <t>Thorax: There is no evidence of pulmonary metastatic disease.  The pulmonary parenchyma, cardiac silhouette, and pulmonary vasculature are unremarkable.  There is no evidence of pleural effusion or lymphadenopathy._x000D_
_x000D_
Abdomen: There is mild amount of heterogeneous soft tissue opacity within the gastric lumen.  The remainder of the abdominal viscera is unremarkable.</t>
  </si>
  <si>
    <t>Unremarkable thorax._x000D_
_x000D_
The soft tissue opacity within the gastric lumen most likely represents normal ingesta.</t>
  </si>
  <si>
    <t>A two view study of the thorax is provided for interpretation._x000D_
_x000D_
The cardiac silhouette appears subjectively rounded, although overall size is not significantly enlarged. This could potentially be the result ventricular hypertrophy, right ventricle dilation, or benign variation. The pulmonary vessels and parenchyma are within normal limits. The cranial abdomen is unremarkable.</t>
  </si>
  <si>
    <t>The appearance of the heart is mildly abnormal in a nonspecific way. Clinical significance remains unknown at this time. Cardiomyopathy or valve disease should still be ruled out.</t>
  </si>
  <si>
    <t>Echocardiography is recommended.</t>
  </si>
  <si>
    <t>Opposite lateral and ventrodorsal thoracic and abdominal radiographs (6 images) and 26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left kidney is normal in size and shape. The right kidney appears smaller in size on the lateral views compared to the left, and is less well visualized on the VD projection. The urinary bladder is fairly distended with homogeneous fluid opacity. The stomach is abnormally dilated with a large amount of gas and a smaller amount of mobile soft-tissue/fluid content. The small intestine has a moderate variation in diameter with multiple segments distended with gas and fluid that contrasts with less distended segments of small bowel. The colon contains gas proximally and is mostly empty/collapsed distally. Retroperitoneal and peritoneal detail are normal. No regional lymphadenopathy is evident._x000D_
_x000D_
No aggressive or clinically significant osseous pathology is identified.
(amended on 06/26/2024 10:23)
Opposite lateral and ventrodorsal thoracic and abdominal radiographs (6 images) June 26, 2024.</t>
  </si>
  <si>
    <t>1. Diffuse small intestinal distention with a moderate variation in diameter and accompanied by gastric distention with a large amount of gas and some mobile soft-tissue content is primarily concerning for a partial or complete small intestinal mechanical obstruction (ex: foreign body, intussusception, tumor). However, I cannot completely rule out gastroenteritis with a functional gastric stasis and ileus._x000D_
2. Normal thorax.
(amended on 06/26/2024 10:23)
3. Suspected small right kidney. This could represent renal disease. Correlation with renal blood work and urinalysis is needed.</t>
  </si>
  <si>
    <t>Abdominal ultrasound vs. upper GI barium study (4 ml/kg PO or via NG tube) vs. least ideal fluids, single antiemetic injection, and repeat abdominal radiographs after 14 hours NPO food and 4 hours NPO water._x000D_
CBC, Chem, UA, T4, fecal, BP.</t>
  </si>
  <si>
    <t xml:space="preserve">
1.Uncommonly, this result detects a minimal interstitial pulmonary pattern.  _x000D_
2.This result detects a minimal to mild bronchial pulmonary pattern._x000D_
3.This result does not detect an alveolar pulmonary pattern._x000D_
4.This result does not detect pulmonary soft tissue nodules._x000D_
5.This result detects equivocal/borderline to mild, or rarely moderate cardiomegaly._x000D_
6.This result does not detect pulmonary vasculature enlargement._x000D_
7.This result does not detect pleural fissure lines/fluid.</t>
  </si>
  <si>
    <t>Orthogonal views of the thorax and abdomen are provided:_x000D_
_x000D_
Thorax:_x000D_
_x000D_
Mild esophageal gas distension._x000D_
Cardiac silhouette has a normal shape and size._x000D_
Pulmonary vessels are within normal limits of size and shape._x000D_
Pulmonary parenchyma shows a generalized mild broncho-interstitial pattern with an irregular rounded soft tissue mass in the left caudal lung lobe with a thickened wall. No evidence of concomitant pulmonary nodules/masses._x000D_
Pleural space, mediastinum, diaphragm and thoracic wall within normal limits._x000D_
_x000D_
Abdomen:_x000D_
_x000D_
The stomach is filled with gas._x000D_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</si>
  <si>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1) Unchanged left caudal lung lobe caveated mass: depending on the age of the patient a neoplastic process would be the first differential vs abscess (in case of a young age patient)._x000D_
2) Generalized bronchointerstitial pattern: Lower airway infectious-inflammatory disease such as viral-bacterial bronchitis, parasitic bronchitis, fungal pneumonia less likely. Heart worm is considered less likely._x000D_
3) Hepatomegaly: Metabolic vs Vacuolar infiltration vs Hepatic nodular hyperplasia vs Inflammatory vs Toxic vs Neoplastic or a combination of these differentials.</t>
  </si>
  <si>
    <t>Consider abdominal US to further evaluate the liver and causes of lethargy. Consider also a CT of the thorax with US guided FNAs from the left caudal lung lobe mass.</t>
  </si>
  <si>
    <t xml:space="preserve">
1.This result detects equivocal/borderline to mild, or rarely moderate cardiomegaly. _x000D_
2.This result does not detect pulmonary vasculature enlargement._x000D_
3.This result detects a minimal to mild, or rarely moderate interstitial pulmonary pattern.  _x000D_
4.This result detects a minimal to moderate bronchial pulmonary pattern._x000D_
5.Uncommonly, this result detects a minimal to moderate alveolar pulmonary pattern._x000D_
6.This result does not detect pulmonary soft tissue nodules._x000D_
7.This result does not detect pleural fissure lines/fluid.  </t>
  </si>
  <si>
    <t>Six radiographs of the thorax and abdomen are provided. The cardiac silhouette and pulmonary vessels are normal size and shape. There are no abnormalities in the pulmonary parenchyma. No pleural effusion. Small volume gas in the esophagus is transient and incidental. Tracheal diameter is adequate. In the abdomen there is no peritoneal or retroperitoneal effusion. There is moderate volume gas and two punctate mineral densities in the stomach. Small intestines are diffusely minimally distended. Moderate volume formed feces in the colon. No severe intestinal distention. Normal-sized liver, spleen, kidneys.</t>
  </si>
  <si>
    <t>No definitive abnormalities are appreciated on this study. Mineral debris in the stomach is most likely incidental. Small radiolucent foreign material causing gastritis and pyloric outflow obstruction is not definitively ruled out but given lesser consideration in the absence of vomiting. There is no evidence of small bowel obstruction. A reason for coughing is not identified. Inhaled irritants/allergens should be considered.</t>
  </si>
  <si>
    <t>Recommend a CBC, blood chemistry profile, and supportive care. If the retching behavior does not improve, fasted abdominal ultrasound should be considered.</t>
  </si>
  <si>
    <t>Orthogonal radiographs of the thorax/abdomen are provided. The cardiac silhouette and pulmonary vessels are normal size and shape. There is a mild bronchial pattern in the lungs. No pleural effusion or intrathoracic lymphadenomegaly. Normal tracheal diameter and position. In the abdomen there is large volume granular soft tissue density in the stomach. Small bowel are mildly filled with fluid and gas. Formed feces fills the colon. Normal-sized liver, kidneys, spleen. No radiopaque cystic calculi.</t>
  </si>
  <si>
    <t>1. Mild bronchial pattern suggestive of chronic airway inflammation such as asthma. This is the most likely cause for respiratory signs. Nasal discharge may also be due to airway inflammation/infection. Intranasal neoplasia is not definitively ruled out. Otherwise normal thorax._x000D_
2. Normal postprandial abdomen. A reason for weight loss is not identified.</t>
  </si>
  <si>
    <t>A CBC and blood chemistry profile are recommended. If further evaluation of the nasal sinuses is desired, computed tomography would be recommended.</t>
  </si>
  <si>
    <t>Study:_x000D_
Thoracic and abdominal radiography: six images dated June 25, 2024_x000D_
_x000D_
Findings:_x000D_
The cardiac silhouette and pulmonary vasculature are normal in size. There is a moderate generalized bronchial pulmonary pattern. The pleural space is normal. There is no intrathoracic lymphadenopathy. The trachea is normal in diameter and course. The stomach contains the stomach and some small intestinal segments contain heterogeneous soft tissue material. The small intestines are normal in size and course.  The colon contains formed fecal material. The liver and spleen are normal in size and margin. The kidneys are normal in size and contour. The urinary bladder is normal in size and opacity. There is bilateral periarticular new bone formation at the craniolateral margin of the acetabular rim=ZZ90= mild on the right and moderate on the left. There is moderate remodeling/osteophytosis of the femoral head bilaterally.</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</si>
  <si>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Gastrointestinal contents likely represent ingesta. Foreign material cannot be completely excluded. There is no evidence of small intestinal mechanical obstruction. Consider repeat fasted radiography to monitor for gastrointestinal emptying._x000D_
3. Moderate bilateral coxofemoral osteoarthrosis.</t>
  </si>
  <si>
    <t>Three radiographs of the thorax/abdomen are provided. The cardiac silhouette is upper normal size to mildly enlarged. Pulmonary vessels are normal size. There are no abnormalities in the pulmonary parenchyma. No pleural effusion._x000D_
_x000D_
In the abdomen peritoneal and retroperitoneal detail is adequate. There is moderate volume gas and small volume fluid in the stomach. Small intestines are diffusely moderately distended with fluid and scant gas. Several loops of small bowel are bunched/plicated in the ventral abdomen on both of the lateral views, faintly visible near midline on the VD projection. Formed feces fills the colon. No radiopaque foreign material is appreciated. Normal-sized spleen, kidneys, liver. No radiopaque cystic calculi.</t>
  </si>
  <si>
    <t>1. Plicated small bowel consistent with linear foreign body obstruction. No other abdominal abnormalities._x000D_
2. Equivocal prominent heart, concerning for underlying cardiomyopathy. In the absence of a murmur or arrhythmia, significance is doubtful. No other thoracic abnormalities.</t>
  </si>
  <si>
    <t>Immediate surgical intervention is recommended.</t>
  </si>
  <si>
    <t>4 views of the thorax and abdomen are submitted for review._x000D_
In the thorax, the cardiac silhouette is normal in size and shape.  The pulmonary vasculature is normal.  No pulmonary parenchymal abnormalities are seen.  No pleural effusion or intrathoracic lymphadenopathy is noted._x000D_
In the abdomen, the stomach contains a minimal amount of gas.  The small bowel is normal in uniform diameter.  A moderate amount of stool is noted throughout the colon.  The liver and spleen are normal in size, shape, and margination.  The bilateral renal silhouettes are within normal limits.  The urinary bladder is unremarkable.  Serosal detail is normal._x000D_
No significant osseous abnormalities are seen.</t>
  </si>
  <si>
    <t>Radiographically normal thorax and abdomen.  An explanation for the clinical signs is not identified.</t>
  </si>
  <si>
    <t>Symptomatic medical management may be helpful.</t>
  </si>
  <si>
    <t xml:space="preserve">Patient Name : Charlie Garris, Date of study: Jun 25, 2024
5 images are provided for review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mildly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Gas is in the pylorus in the left lateral image.  The stomach is within normal limits for size.
The small intestine contains moderate gas and fluid or is empty with a subjectively uniform population for size. 
The colon contains minimal soft tissue material and gas. The colon is normal in size.  
Musculoskeletal: L6-7 is narrowed with suspected in situ intervertebral disc mineral.  The remaining included musculoskeletal structures are normal.
</t>
  </si>
  <si>
    <t>1. Mild diffuse bronchial pulmonary pattern such as from infectious/immune-mediated lower airway disease (mycoplasma spp., bordetella spp., parasitism, or other), inhaled allergen/irritant, feline asthma, fibrosis from prior disease, age-related changes, or unlikely other.
2. Mild microhepatia versus individual variation of normal.
3. No obvious evidence of gastrointestinal mechanical ileus.
4. Non-specific gastrointestinal tract changes due to enteritis/colitis or less likely individual variation/recent bowel movement.
- Differential diagnoses include dietary indiscretion, inflammatory bowel disease, toxin ingestion, primary infectious disease/parasitism, pancreatitis, occult systemic disease, or other.
5. L6-7 intervertebral disc disease and possible in situ intervertebral disc mineral.</t>
  </si>
  <si>
    <t xml:space="preserve">Routine blood work to screen for occult systemic disease if not recently performed.  Empirical therapy and supportive care in the interim as needed.  Consider repeat radiographs and/or abdominal ultrasonography for further evaluation.  Monitoring as directed, or sooner if clinical signs acutely change, fail to improve or worsen in the face of empirical therapy and supportive care.  </t>
  </si>
  <si>
    <t>Six radiographs of the thorax and abdomen are provided. The cardiac silhouette is mildly enlarged on all views. There is fat deposition encircling the heart which may be exaggerating cardiac silhouette size. There are no abnormalities in the pulmonary parenchyma. No pleural fluid or gas. Fractured right 8th and 10th ribs, with widening of the 7th intercostal space. There is fat opacity within the lateral aspect of the right 7th intercostal space. This fat blends with the right extrathoracic fat. Incidentally, there are ribs on L1. The diaphragm is intact. No spinal abnormalities. In the abdomen there is no effusion or organomegaly. Soft tissue lateral to the left kidney is normal spleen. No radiopaque urolithiasis. The urinary bladder is distended and well delineated. There is a broad-based 4.1 x 0.6 and 6.1 x 1.1 cm fat opaque thickening in the ventrolateral right and left extra-abdominal tissues, respectively. No abdominal body wall disruption is appreciated. The sacroiliac and coxofemoral joints are congruent. No pelvic fractures.</t>
  </si>
  <si>
    <t>1. Fractured right ribs, with extension of fat into the right lateral pleural space at this level, most consistent with thoracic wall disruption. There is no pleural effusion or pneumothorax._x000D_
2. Possible cardiomegaly, concerning for cardiomyopathy. This could be artifact caused by adjacent fat deposition. In the absence of a murmur or arrhythmia, significance is doubtful._x000D_
3. No intra-abdominal abnormalities. Fat opaque bulges cranioventral to the abdomen on either side are likely lipomas. There is no evidence of abdominal hernia.</t>
  </si>
  <si>
    <t>The right lateral thoracic wall disruption may not cause any clinical signs or require surgical intervention. If the patient has paroxysmal motion with breathing or respiratory signs, surgical correction would be recommended.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</si>
  <si>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</si>
  <si>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Consider abdominal US to further evaluate causes of past vomition and current anorexia.</t>
  </si>
  <si>
    <t>Two orthogonal thoracic radiographs dated 24th June 2024 are available for review. There are no previous radiographs available for comparison. These images are submitted for assessment of the abdomen, even though the abdomen is incompletely included on both images._x000D_
_x000D_
Intra-abdominal findings: The hepatic silhouette is normal. The stomach is empty with a normal axis. The included small intestines are filled with a mixture of gas, fluid and soft tissue opaque material. The transverse and descending colon contain an increased amount of gas and some poorly formed faeces with mineral opacities. The included aspects of the kidneys are normal. The other aspects of the abdomen are not included._x000D_
_x000D_
Extra-abdominal findings: There is narrowing and mild step formation at T11-T12. The vertebral body of T12 is mildly dorsally positioned relative to T11._x000D_
_x000D_
Included thorax: There is a moderate caudal dorsal bronchointerstitial opacification.</t>
  </si>
  <si>
    <t>1. Unremarkable (incomplete) abdomen._x000D_
2. Caudal dorsal bronchointerstitial pattern: Primary consideration should be given to normal ageing/fibrosis from previous disease in absence of any respiratory signs. Allergic bronchitis, chronic bacterial /viral bronchitis +/- parasitic bronchitis should also be considered. Less likely are hyperardenocorticism, neoplasia (such a lymphoma) or idiopathic pulmonary fibrosis.  _x000D_
3. T11-T12 intervertebral disc disease: This may cause some back pain. No mineralised intervertebral disc protrusion may be present.</t>
  </si>
  <si>
    <t>Correlate with palpation testing for upper respiratory disease. 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t>
  </si>
  <si>
    <t xml:space="preserve">
1.This result does not detect pulmonary vasculature enlargement._x000D_
2.This result does not detect pleural fissure lines/fluid.  _x000D_
3.This result detects none, or equivocal/borderline to mild cardiomegaly. _x000D_
4.This result detects a minimal to mild interstitial pulmonary pattern.  _x000D_
5.This result detects a minimal to mild, or rarely moderate bronchial pulmonary pattern._x000D_
6.Rarely, this result detects a minimal to mild alveolar pulmonary pattern._x000D_
7.This result does not detect pulmonary soft tissue nodules.</t>
  </si>
  <si>
    <t xml:space="preserve">Patient Name : Eddie Sullivan, Date of study: Jun 24, 2024
4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</si>
  <si>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1. Mild diffuse bronchial pulmonary pattern.
- Differential diagnoses include infectious/immune-mediated lower airway disease such as from mycoplasma spp., bordetella spp., parasitism, or inhaled allergen/irritant, fibrosis from prior disease, age-related changes, or unlikely other.
2. There is no evidence of pulmonary soft tissue nodules or intra-thoracic lymphadenomegaly.  .</t>
  </si>
  <si>
    <t>Consider respiratory PCR panel, airway sampling, and fecal analysis for further evaluation if clinically indicated.  Urinalysis may also be contributory if not recently performed given reported calcium imbalance and depending on results of PTHrp panel.  Abdominal imaging and/or parathyroid/neck imaging to screen for occult systemic disease may be contributory.  Empirical therapy and supportive care in the interim as needed. Monitoring as directed or sooner if clinical signs acutely change, fail to improve or worsen.</t>
  </si>
  <si>
    <t>Orthogonal views of the thorax and abdomen are provided and compared to the previous exam on the 04/30/24:_x000D_
_x000D_
Thorax:_x000D_
_x000D_
Cardiac silhouette has a normal shape and size (age related increased sternal contact)_x000D_
Unchanged enlarged caudal lobar pulmonary arteries. Rest of the pulmonary vessels are within normal limits of size and shape._x000D_
Pulmonary parenchyma shows a generalized bronchial pattern. _x000D_
Pleural space, mediastinum, diaphragm and thoracic wall within normal limits._x000D_
_x000D_
Abdomen:_x000D_
_x000D_
The stomach is filled with food._x000D_
Small intestines are mildly gas and fluid filled, not overtly distended. _x000D_
Serosal detail is preserved._x000D_
Liver and spleen are within normal limits of size and smoothly marginated._x000D_
Kidneys and urinary bladder WNL.</t>
  </si>
  <si>
    <t>1) Enlarged caudal lobar pulmonary arteries: rule out pulmonary hypertension secondary to HW disease vs primary pulmonary hypertension._x000D_
2) Generalized bronchial pattern is compatible with a chronic lower airway disease such as asthma vs feline chronic bronchitis vs bronchitis of parasitic origin._x000D_
3) Unremarkable abdomen (unchanged fat necrosis focus cranial to the stomach).</t>
  </si>
  <si>
    <t>Airway sampling (BAL, TTW) for cytology and culture. Echocardiogram with cardiology consultation and heartworm testing and fecal parasite screening. IM consultation.</t>
  </si>
  <si>
    <t xml:space="preserve">
1.This result detects equivocal/borderline to mild cardiomegaly. _x000D_
2.This result does not detect pulmonary vasculature enlargement._x000D_
3.This result detects a minimal to mild, or uncommonly moderate interstitial pulmonary pattern.  _x000D_
4.This result detects a moderate to severe bronchial pulmonary pattern._x000D_
5.Uncommonly, this result detects a minimal to mild alveolar pulmonary pattern._x000D_
6.Uncommonly, this result detects pulmonary soft tissue or cavitary nodules._x000D_
7.Rarely, this result detects minimal pleural fissure lines/fluid.  </t>
  </si>
  <si>
    <t>Three radiographs of the thorax/abdomen, and a VD view of the abdomen are provided. Images dated 8/7/23 are available for comparison. The cardiac silhouette and pulmonary vessels are normal size and shape. The lungs are clear. No pleural effusion or esophageal abnormalities. In the abdomen serosal detail is adequate in the peritoneal and retroperitoneal spaces. There is no organomegaly. Small volume soft tissue density and several punctate mineral densities in the stomach. Small bowel are minimally distended. No intestinal plication or severe dilation. Moderate volume of formed feces in the colon. No radiopaque urolithiasis.</t>
  </si>
  <si>
    <t>Gastroenteritis secondary to dietary indiscretion is most likely. Gastric contents appears to be normal ingesta. Foreign material is not definitively ruled out. Otherwise normal abdomen and thorax.</t>
  </si>
  <si>
    <t>If the patient does not improve with supportive care, strictly fasting abdominal ultrasound would be recommended. Other studies such as a positive contrast gastrogram would not be feasible in a fractious patient.</t>
  </si>
  <si>
    <t>Orthogonal radiographs of the thorax/abdomen are provided. The cardiac silhouette and pulmonary vessels are normal size. There are no abnormalities in the pulmonary parenchyma or pleural space. The plane of the esophagus is unremarkable. Normal trachea. In the abdomen serosal detail is adequate in the peritoneal and retroperitoneal spaces. Small volume of gas in the stomach. Small bowel are mild to moderately filled with gas and scant fluid. Small volume of formed feces in the colon. Normal-sized liver, kidneys, spleen. Medial iliac lymph nodes are visible due to abundant adjacent fat. No radiopaque urolithiasis. Osseous structures are unremarkable.</t>
  </si>
  <si>
    <t>Gas in the small bowel consistent with aerophagia. No other gastrointestinal abnormalities. Gastroenteritis secondary to dietary indiscretion is most likely. Small radiolucent gastric foreign material/trichobezoar is not definitively ruled out. The thorax is normal.</t>
  </si>
  <si>
    <t>Recommend a CBC, blood chemistry profile, and supportive care. Based on lab work results and if the patient does not rapidly improve, further investigation with fasting ultrasound may be indicated. A positive contrast gastrogram is another option, as long as vomiting is at least somewhat controlled.</t>
  </si>
  <si>
    <t xml:space="preserve">Patient Name : Johnathan Ironfield, Date of study: Jun 22, 2024
4 images are provided for review
Feline Thorax (4 Images) - 3 Lateral, 1 Vd
There are no previous radiographs for comparison.
Pulmonary parenchyma: A minimal to mild diffuse bronchial pattern is present.  The lungs are minimally to mildly hypoinflated.  
Pulmonary vasculature: The pulmonary vasculature is subjectively normal in size and tapers in the periphery of the lungs.
Cardiac silhouette: The cardiac silhouette is subjectively normal in the lateral images.  In the ventrodorsal image, the cardiac silhouette is widened at its base.  
Mediastinum: The cranial mediastinum is normal.
Trachea: The trachea is normal.
Esophagus: The esophagus is not well-identified.
Pleural space: The pleural space is normal.
Musculoskeletal: The patient is obese.  The remaining included musculoskeletal structures are normal.
</t>
  </si>
  <si>
    <t xml:space="preserve">1.  Suspicious for mild generalized cardiomegaly in the ventrodorsal image.
- If present, differential diagnoses include hypertrophic cardiomyopathy, thyrotoxic cardiomyopathy, or less likely other.
- There is no current evidence of left-sided congestive heart failure.  
2. Minimal-mild diffuse bronchial pulmonary pattern and minimal hypoinflation.
- Differential diagnoses include infectious/immune-mediated lower airway disease such as from mycoplasma spp., bordetella spp., parasitism, or inhaled allergen/irritant,, feline asthma, or less likely fibrosis from prior disease, age-related changes, or unlikely other.
3. Obesity.  
</t>
  </si>
  <si>
    <t>Consider echocardiography, eCG and blood pressure for further evaluation.  Routine blood work, thyroid function testing and urinalysis may be contributory.  Consider respiratory PCR panel, airway sampling, and fecal analysis/deworming for further evaluation.  Empirical therapy and supportive care in the interim as needed.  Monitoring as directed or sooner if clinical signs acutely change, fail to improve or worsen.</t>
  </si>
  <si>
    <t xml:space="preserve">
1.This result detects equivocal/borderline to moderate cardiomegaly._x000D_
2.This result detects a minimal to mild bronchial pulmonary pattern._x000D_
3.This result detects a minimal to mild interstitial pulmonary pattern._x000D_
4.This result does NOT detect an alveolar pulmonary pattern._x000D_
5.This result does NOT detect pleural fissure lines. </t>
  </si>
  <si>
    <t>A three view study of the thorax is provided for interpretation._x000D_
_x000D_
No pulmonary infiltrates or pleural effusion are identified. No thoracic lymphadenopathy or mass lesions are seen. The cardiovascular structures are within normal limits. No musculoskeletal abnormalities are identified._x000D_
The spleen shadow in the VD view has slightly lobular margination. The spleen is not included in the lateral views.</t>
  </si>
  <si>
    <t>No thoracic abnormalities are identified._x000D_
_x000D_
Irregularity of the spleen contour is suspected. This can be seen due to incidental benign changes or associated with neoplastic infiltration.</t>
  </si>
  <si>
    <t>No evidence of metastasis of neoplasia is seen in the thorax._x000D_
Ultrasound evaluation of the spleen and other abdominal structures is suggested if this has not already been performed recently.</t>
  </si>
  <si>
    <t>THORAX (4 radiographs for review). No previous for comparison._x000D_
_x000D_
- Cardiac silhouette within normal limits for size, shape and margins._x000D_
- Pulmonary vasculature is normal._x000D_
- Mild, diffuse bronchial pulmonary pattern._x000D_
- Trachea, pleural space, remaining intrathoracic structures normal._x000D_
- Cranial abdomen normal._x000D_
- Included musculoskeletal structures normal.</t>
  </si>
  <si>
    <t>1. An obvious cause for coughing is not clearly identified, however there is a mild diffuse bronchial pattern that may reflect chronic lower airway disease (e.g. asthma, bronchitis) but could be age-related and expected lower airway changes._x000D_
_x000D_
2. Despite lack of radiographic cardiomegaly or pulmonary vasculature enlargement, given the reported heart murmur an echocardiogram and cardiologist consultation may still be considered. No evidence of congestive heart failure.</t>
  </si>
  <si>
    <t xml:space="preserve">Patient Name : Sirus Lanterman, Date of study: Jun 22, 2024
6 images are provided for review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subjectively normal in size and shape.
Mediastinum: The cranial mediastinum is normal.
Trachea: The trachea is normal.
Esophagus: The esophagus is not well-identified.
Pleural space: The pleural space is normal.
Musculoskeletal: The included musculoskeletal structures are normal.
</t>
  </si>
  <si>
    <t>1. Minimal diffuse bronchial pulmonary pattern such as from normal variation, or less likely infectious/immune-mediated lower airway disease (mycoplasma spp., bordetella spp., parasitism, or other), or less likely inhaled allergen/irritant, or unlikely other.
- There is no evidence of left-sided congestive heart failure.  
2. No obvious cardiomegaly is identified in this examination, but this does not preclude underlying congenital/evolving cardiac disease, especially given reported murmur.</t>
  </si>
  <si>
    <t>Consider echocardiography, eCG and blood pressure as well as routine blood work and urinalysis for further evaluation.  Empirical therapy and supportive care in the interim as needed. Monitoring as directed or sooner if clinical signs acutely change, fail to improve or worsen.</t>
  </si>
  <si>
    <t>A lateral radiograph of the neck/thorax, and orthogonal views of the thorax/abdomen are provided. No abnormalities in the pharyngeal/laryngeal region. Tracheal diameter and position are normal. The cardiac silhouette is mildly enlarged. Fat deposition encircling the heart causes heart to appear markedly larger on the VD projection. Pulmonary vessels are normal size. There are faint bronchial markings in the dorsal lungs. No pleural effusion. Stippled mineral densities dorsal to the thoracolumbar spine is superficial debris. In the abdomen serosal detail is adequate. Thin soft tissue density caudal to the splenic head on the VD projection may be a portion of the spleen or normal pancreas, increased in visibility due to abundant adjacent fat deposition. The stomach contains several long thin, flexible mineral densities. Small bowel are moderately filled with gas. Formed feces and gas fills the colon. No organomegaly. One of the kidneys has blunted caudoventral margin suggestive of previous infarct, likely incidental today. There is a broad-based curved soft tissue opaque 4.4 x 1.8 cm mass in the left flank tissues. This causes the increased opacity overlying the urinary bladder on the lateral projection.</t>
  </si>
  <si>
    <t>1. Elastic hair tie-like gastric foreign material. These are unlikely to pass successfully. Gas filled small bowel, likely due to aerophagia._x000D_
2. Mild cardiomegaly consistent with cardiomyopathy. There is no evidence of heart failure. Normal cervical tissues._x000D_
3. Left flank mass, concerning for a soft tissue neoplasm._x000D_
4. Faint bronchial markings suggestive of chronic airway inflammation. In the absence of respiratory signs, of significance is doubtful.</t>
  </si>
  <si>
    <t>Consider inducing emesis in an effort to retrieve the gastric foreign material. Gastroscopy may be necessary. Also recommend fine needle aspirates of the left flank mass.</t>
  </si>
  <si>
    <t>Three orthogonal survey radiographs of the thorax and abdomen dated 22nd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gastric axis is normal. The stomach contains some heterogenous soft tissue opaque material in the fundus and pylorus. No gas is visible in the pylorus on the left lateral image. The small intestines are variably filled with fluid and gas. In the ventral dorsal image there is a intestinal loops which contains soft tissue/fluid opaque material and comma-shaped gas lucencies, within irregular outline. The ascending transverse and descending colon contain formed faeces. The urinary bladder is filled. The hepatic silhouette is normal in size with smooth borders. The spleen is normal in shape, size and position. The kidneys are partially obscured by gastrointestinal contents, but the visible aspect are normal._x000D_
_x000D_
Musculoskeletal findings: No significant abnormalities are detected.</t>
  </si>
  <si>
    <t>1. The findings are suspicious of gastric and small intestinal foreign material. A partial pyloric outflow obstruction or partial small intestinal obstruction may be present. Secondary gastroenteritis is likely present. Pancreatitis is possible.</t>
  </si>
  <si>
    <t>Supportive management including rehydration, gastroprotectants,  full blood work, faecal analysis if clinically indicated is advised, if not already performed. Repeat 3-view post fasting radiographs and consider an abdominal ultrasound. An upper GI contrast study may also be considered.</t>
  </si>
  <si>
    <t>WHOLE-BODY (5 radiographs for review). No previous for comparison._x000D_
_x000D_
- Cardiac silhouette, pulmonary vasculature, pulmonary parenchyma normal._x000D_
- Trachea, pleural space, remaining intrathoracic structures normal._x000D_
- Stomach is non distended and contains mild soft-tissue opaque material._x000D_
- The small intestine and colon are normal._x000D_
- The liver, spleen, kidneys and urinary bladder are normal._x000D_
- There are only 6 lumbar vertebral segments noted.</t>
  </si>
  <si>
    <t>1. Normal thorax. Negative examination for evidence of metastatic neoplasia or obvious contraindication to general anesthesia._x000D_
_x000D_
2. Unremarkable abdomen._x000D_
_x000D_
3. Six lumbar vertebrae.</t>
  </si>
  <si>
    <t>6 views of the thorax and abdomen are submitted for review._x000D_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gas.  The gastric wall appears diffusely markedly thickened.  The small bowel generally appears within normal limits in diameter.  A mild amount of gas and stool is noted in the colon.  The left kidney is mildly misshapened.  The liver is subjectively normal in size and shape.  The spleen is normally thin and smooth.  The urinary bladder is moderately distended.  No radiopaque calculi are noted.  Serosal detail in the abdomen is normal._x000D_
No significant osseous abnormalities are noted.</t>
  </si>
  <si>
    <t>Highly suspect diffuse gastric wall thickening.  Diffuse neoplasia within the stomach is thought to be most likely.  Severe granulomatous inflammatory disease is not excluded.  The appearance of the left kidney is consistent with renal cortical infarction remodeling associated with chronic nonspecific nephritis.  No radiopaque calculi are noted.  Radiographically normal thorax.</t>
  </si>
  <si>
    <t>An abdominal ultrasound is recommended.</t>
  </si>
  <si>
    <t>Patient Name : Camo Acosta, Date of study: Jun 21, 2024_x000D_
2 images are provided for review_x000D_
Feline Thorax (2 Images) - 1 Vd, 1 Lateral_x000D_
There are no previous radiographs for comparison._x000D_
_x000D_
Pulmonary parenchyma: A mild diffuse bronchial pattern is present. Thoracic limbs superimpose over the cranial thorax in the lateral image._x000D_
Pulmonary vasculature: The pulmonary vasculature is subjectively normal in size and tapers in the periphery of the lungs._x000D_
Cardiac silhouette: The cardiac silhouette is normal in size and shape._x000D_
Mediastinum:  In the ventrodorsal image, a second tubular soft tissue opacity is identified superimposed over the T8 to T12 on mid-line.  This is suspected to be mild fluid in the esophagus, versus an empty esophagus.Middle mediastinal fat versus a pulmonary vessel margin is presumed to be the curved soft tissue margin over the left hemi-thorax in the ventrodorsal image. The cranial mediastinum is normal._x000D_
Trachea: The trachea is normal._x000D_
Esophagus: The esophagus is not well-identified._x000D_
Pleural space: The pleural space is normal._x000D_
_x000D_
Musculoskeletal: The included musculoskeletal structures are normal.</t>
  </si>
  <si>
    <t>1. Mild diffuse bronchial pulmonary pattern._x000D_
- Differential diagnoses include infectious/immune-mediated lower airway disease such as from mycoplasma spp., bordetella spp., parasitism, feline asthma, or inhaled allergen/irritant, and/or fibrosis from prior disease, age-related changes, or unlikely other._x000D_
2. Minimal esophageal fluid versus empty esophagus, without obvious evidence of distension.</t>
  </si>
  <si>
    <t>Consider respiratory PCR panel, airway sampling, and fecal analysis/empirical deworming for further evaluation. Routine blood work if not recently performed. Abdominal imaging to screen for occult systemic disease may be contributory. Consider esophageal contrast and/or swallowing examination for further evaluation of the esophagus, and/or endoscopy, especially if signs persist or worsen in the face of therapy for airway disease/cough. Empirical therapy and supportive care as needed in the interim for suspected cough/lower airway disease. Monitoring as directed or sooner if clinical signs acutely change, fail to improve or worsen.</t>
  </si>
  <si>
    <t xml:space="preserve">
1.Uncommonly, this result detects a minimal interstitial pulmonary pattern.  _x000D_
2.This result detects a minimal to mild bronchial pulmonary pattern._x000D_
3.This result does not detect an alveolar pulmonary pattern._x000D_
4.This result does not detect pulmonary soft tissue nodules._x000D_
5.This result does not detect pulmonary vasculature enlargement._x000D_
6.This result does not detect pleural fissure lines/fluid._x000D_
7.This result detects equivocal/borderline to mild, or rarely moderate cardiomegaly.</t>
  </si>
  <si>
    <t>Three radiographs of the thorax/abdomen are provided. Images dated 6/30/23 are available for comparison. The cardiac silhouette is normal size and shape. There are no abnormalities in the pulmonary parenchyma today. No pleural effusion. Normal tracheal diameter and position. In the abdomen serosal detail is adequate. There is large volume soft tissue opaque ingesta stippled with gas filling the stomach. Small bowel are moderately filled with soft tissue density and gas. Gas and small-volume semi-formed feces in the colon. No radiopaque foreign material. Normal-sized liver, kidneys, and spleen. Osseous structures are normal.</t>
  </si>
  <si>
    <t>Normal thorax and postprandial abdomen. The reason for the clinical signs is not identified.</t>
  </si>
  <si>
    <t>A CBC and blood chemistry profile are recommended. If further evaluation is indicated based on blood work, fasting ultrasound could be considered.</t>
  </si>
  <si>
    <t>3 views of the entire body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mottled soft tissue material.  The small intestines are normal in size.  Gas and feces are present in the colon.  The urinary bladder is small.  The remaining abdominal organs are normal.</t>
  </si>
  <si>
    <t>Radiographically normal thorax for patient of this age.  Material within the stomach may represent residual ingesta or foreign material.</t>
  </si>
  <si>
    <t>Consider repeat radiographs following strict fasting to determine if gastric contents persist.</t>
  </si>
  <si>
    <t xml:space="preserve">
1.This result does not detect pulmonary vasculature enlargement._x000D_
2.Rarely, this result detects minimal pleural fissure lines/fluid._x000D_
3.This result detects no cardiomegaly to equivocal/borderline cardiomegaly. _x000D_
4.This result detects a minimal, or rarely mild interstitial pulmonary pattern._x000D_
5.This result detects none, or a minimal to mild bronchial pulmonary pattern._x000D_
6.This result does not detect an alveolar pulmonary pattern._x000D_
7.This result does not detect pulmonary soft tissue nodules.</t>
  </si>
  <si>
    <t xml:space="preserve">If the patient has respiratory clinical signs, then differential diagnoses for the interstitial and bronchial pulmonary patterns include:  immune-mediated lower airway disease (i.e. feline asthma) or infectious lower airway disease (such as mycoplasma spp., parasitism, viral, or other), inhaled allergen/irritant, or less likely other.  If the patient does not have respiratory clinical signs, then differential diagnoses for mixed bronchial and interstitial pulmonary patterns include: changes from prior disease,  age-related factors, errors in patient positioning/technique, pulmonary hypoinflation, or a combination of these. Differential diagnoses for equivocal cardiomegaly include: phase of the cardiopulmonary cycle, patient positioning/technique, individual variation of normal (especially in younger patients), or evolving cardiomyopathy.  The primary differential diagnosis for minimal pleural fissure lines is tangential beam artifact.  Scant pleural fluid (such as from idiopathic or chylous effusions) is considered unlikely.  </t>
  </si>
  <si>
    <t>Four radiographs of the thorax/abdomen are provided. The cardiac silhouette is upper normal size to mildly enlarged. Pulmonary vessels are normal size. There is hazy ovoid 2.3 x 0.9 cm soft tissue opacity dorsal to the cranial sternum. The lungs are clear. No pleural effusion. In the abdomen there is large volume formed/desiccated angular feces in the distal colon. The fecal column measures up to 2.4 cm diameter. The stomach and small bowel are minimally filled. Serosal detail is reduced. The patient is thin. Normal size kidneys, liver, spleen. No radiopaque urolithiasis.</t>
  </si>
  <si>
    <t>1. Constipation. No other definitive abdominal abnormalities. Poor serosal detail may be due to thin body condition and lack of intra-abdominal fat. Scant effusion is not ruled out._x000D_
2. Sternal lymphadenopathy. This is typically indicative of a disease process (inflammatory versus neoplastic) originating from the cranial abdomen._x000D_
3. Equivocal mild cardiomegaly, concerning for cardiomyopathy. In the absence of a murmur or arrhythmia, significance is doubtful.</t>
  </si>
  <si>
    <t>Recommend fluid supplementation, enema administration, and abdominal ultrasound. If the patient has a murmur or arrhythmia, an echocardiogram would be recommended.</t>
  </si>
  <si>
    <t xml:space="preserve">
1.Rarely, this result detects minimal pulmonary vasculature enlargement._x000D_
2.This result detects mild to moderate cardiomegaly._x000D_
3.This result detects a mild to mild interstitial pulmonary pattern.  _x000D_
4.This result detects a minimal to mild bronchial pulmonary pattern._x000D_
5.This result does not detect an alveolar pulmonary pattern._x000D_
6.Rarely, this result detects minimal pleural fissure lines/fluid.  </t>
  </si>
  <si>
    <t>6 images of the thorax and abdomen are presented for review.  The cardiac silhouette is mildly widened with rounding of the left ventricular border.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  Spinal alignment is normal.  The coxofemoral joints are congruent.  No fractures or aggressive osseous lesions are seen.</t>
  </si>
  <si>
    <t>Radiographically normal abdomen.  Lack of specific changes does not rule out pancreatitis or infiltrative neoplasia.  Abdominal ultrasound could be considered. _x000D_
 Cardiomegaly without current evidence of cardiogenic pulmonary edema.  Echocardiography, proBNP, and thyroid testing may be helpful in further evaluation.</t>
  </si>
  <si>
    <t xml:space="preserve">
1.This result detects a minimal or mild bronchial pulmonary pattern._x000D_
2.This result detects equivocal/borderline to moderate cardiomegaly._x000D_
3.This result detects a  minimal to mild interstitial pulmonary pattern._x000D_
4.This result does NOT detect an alveolar pulmonary pattern. _x000D_
5.Rarely, this result detects minimal pleural fissure lines/fluid.</t>
  </si>
  <si>
    <t xml:space="preserve">Patient Name : Nala Shepard, Date of study: Jun 21, 2024
4 images are provided for review
Feline Thorax (4 Images) - 3 Lateral, 1 Vd
There are no previous radiographs for comparison.
Pulmonary parenchyma: A mild to moderate diffuse bronchial pattern is present.  Ill-defined interstitial soft tissue is over the ventral periphery of the caudal subsegment of the left cranial lung lobe in the right lateral image.  Ill-defined interstitial soft tissue is over the ventral periphery of the right middle lung lobe in the left lateral image.  This is not identified in the ventrodorsal images.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the ventrodorsal image.
Kidneys: The kidneys are normal in size and shape without obvious mineral.
Retroperitoneum: Retroperitoneal detail is adequate.
Urogenital: The urinary bladder is normal in size, homogeneous soft tissue, and smoothly marginated.
Peritoneum: In the cranioventral abdomen is a tubular to spindle-shaped soft tissue mass in the right lateral image.  This mass is ovoid or lobular in the left lateral image.  A second, ill-0defined mid-abdominal mass is suspected ventral to the colon in the left lateral image.  Peritoneal detail is adequate.
Gastrointestinal tract: The stomach contains a moderate volume of gas.  the stomach is within normal limits for size.
The small intestine otherwise contains mild to moderate gas.  Some small intestinal segments partially superimpose over the cranioventral and mid-abdominal masses.  
The colon contains mild  soft tissue material admixed with gas.  the colon is normal in size.
Musculoskeletal: the patient is thin with slightly undulant soft tissues over spinous processes.  The remaining included musculoskeletal structures are normal.
</t>
  </si>
  <si>
    <t xml:space="preserve">1. Mid-abdominal soft tissue mass and cranioventral abdominal soft tissue masses.
- Tissue of origin includes small intestine, mesentery/lymph nodes, or unlikely spleen or other.
- Differential diagnoses include neoplasia such as lymphosarcoma or unlikely other.
2. Mild to moderate diffuse bronchial pulmonary pattern.
- Differential diagnoses include  infectious/inflammatory lower airway disease such as from mycoplasma spp. or other, atypical metastatic neoplasia, fibrosis from prior disease, age-related changes, or a combination of these.
3. Suspected right middle and left cranial lung lobe ventrally positioned interstitial patterns due to evolving aspiration/bronchopneumonia, or atelectasis, or atypical metastatic neoplasia or other.
 suspected left cranial lung lobe interstitial soft tissue due to underlying
4. Thin body condition, consistent with reported weight loss.  </t>
  </si>
  <si>
    <t xml:space="preserve">Consider abdominal ultrasonography and tissue sampling for further evaluation depending on results.  Routine blood work and thyroid function testing if not recently performed.  Oncologist consultation depending on results. Empirical therapy and supportive care in the interim as needed. </t>
  </si>
  <si>
    <t>Three radiographs of the thorax, and three views of the abdomen are provided. The cardiac silhouette and pulmonary vessels are normal size and shape. There are no abnormalities in the pulmonary parenchyma or pleural space. No esophageal dilation. Normal tracheal diameter and position._x000D_
_x000D_
In the abdomen there is no peritoneal or retroperitoneal effusion. Small volume fluid and gas in the stomach. Fluid-filled pylorus causes the curved soft tissue opacity overlying the cranioventral abdomen on the left lateral view. Small intestines are mildly filled with fluid and soft tissue density that is stippled with gas. Small volume of formed feces in the distal colon. Wispy increased opacity overlying the caudoventral abdomen on the left lateral view is not persistent and is likely hair artifact. Normal-sized liver, spleen, kidneys. No radiopaque cystic calculi. Small round mineral densities in the stifle joint is likely incidental meniscal mineralization, commonly seen in older feline patients.</t>
  </si>
  <si>
    <t>Normal thorax and abdomen. No definitive abnormalities are appreciated on this study. Small radiolucent gastric foreign material for gastric wall abnormality is not ruled out. There is no evidence of small bowel obstruction.</t>
  </si>
  <si>
    <t>Recommend strictly fasted abdominal ultrasound. With the chronicity of vomiting, proceeding to gastroscopy would also be an appropriate next step.</t>
  </si>
  <si>
    <t>Opposite lateral and VD views of the thorax and abdomen are provided._x000D_
_x000D_
There is a mild bronchial pulmonary pattern. No alveolar infiltrates or pleural effusion are seen. The cardiovascular structures are within normal limits._x000D_
_x000D_
There is increased gas in the small intestine, with a fragmented gas pattern and slight dilation of several intestinal segments. No plication or obstructive pattern is seen. There is a minimal quantity of granular mineral density in the stomach. No solid foreign objects are identified. Serosal detail in the abdomen is normal. The other organs are within normal size and shape limits. No musculoskeletal abnormalities are identified.</t>
  </si>
  <si>
    <t>The appearance of the intestine is suggestive of enteritis. No foreign bodies or obstructive pattern are identified._x000D_
The minimal quantity of granular mineral density in the stomach is equivocal, as this could be seen with certain food products or secondary to dietary indiscretion._x000D_
_x000D_
The bronchial pattern is mild, but more prominent than expected given the young age of the patient. Low-grade bronchitis or asthma should be ruled out if clinically indicated. Correlation with relevant respiratory clinical signs is recommended.</t>
  </si>
  <si>
    <t>Supportive care as needed and symptomatic therapy for suspected gastroenteritis is recommended._x000D_
Infectious causes including viral disease should be ruled out.</t>
  </si>
  <si>
    <t>5 images of the thorax are provided for review.  The cardiac silhouette is widened with rounding of the left ventricular border.  No pulmonary infiltrates are seen.  The pulmonary vasculature is normal in size.  The mediastinal and pleural structures are normal.  Cranial abdominal detail is adequate.</t>
  </si>
  <si>
    <t>Three radiographs of the thorax/abdomen are provided. The cardiac silhouette and pulmonary vessels are normal size and shape. There are faint bronchial markings in the lungs. No pleural effusion or soft tissue pulmonary nodules._x000D_
_x000D_
In the abdomen there is small volume peritoneal fluid. There is a smoothly contoured round 5.2 cm soft tissue opaque mass in the cranial right abdomen. This is immediately caudal to the stomach on all views. Normal-sized spleen and kidneys. The gastric axis is in normal position. The gastrointestinal tract is minimally filled. No radiopaque urolithiasis. Degenerative change in both coxofemoral joints.</t>
  </si>
  <si>
    <t>1. Cranial right abdominal mass and mild peritoneal effusion. Neoplasia originating from the stomach, or a pedunculated hepatic mass is most likely._x000D_
2. Bronchial pattern suggestive of chronic airway inflammation such as asthma. In the absence of chronic respiratory signs, significance is doubtful. Otherwise normal thorax.</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</si>
  <si>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(looks mild interstitial in the lateral view due to expiratory phase and summating SC fat). _x000D_
Pleural space, mediastinum, diaphragm and thoracic wall within normal limits.</t>
  </si>
  <si>
    <t>Underlying causes for breathing hard include upper airway obstruction, pain, acid-base imbalance, spinal cord compression, intracranial disease, hyperthermia and PTE._x000D_
Consider work up for breathing hard with CBC, biochemistry, abdominal US, neuro exam and upper airway exam._x000D_
Evaluate the benefit of an empirical treatment for asthma or chronic bronchitis evaluating response to treatment. If clinical signs persist, consider a bronchoscopy with BAL, culture, cytology, Baermann test and deworming.</t>
  </si>
  <si>
    <t xml:space="preserve">
1.This result detects mild to moderate cardiomegaly.  _x000D_
2.This result detects a mild to moderate interstitial pulmonary pattern._x000D_
3.This result detects a mild to severe bronchial pulmonary pattern._x000D_
4.Uncommonly, this result detects a minimal to mild alveolar pulmonary pattern._x000D_
5.This result does NOT detect soft tissue pulmonary nodules.  _x000D_
6.Uncommonly, this result detects minimal pleural fissure lines/fluid.</t>
  </si>
  <si>
    <t>If the patient is dyspneic, or has an elevated heart rate/respiratory rate, or has otherwise severe pulmonary clinical signs, consider early left-sided congestive heart failure as the primary differential diagnosis for combined cardiomegaly, pulmonary pattern, and possible pleural fluid. For patients with mild respiratory clinical signs, additional non-cardiac differential diagnoses for mixed bronchial and interstitial pulmonary patterns include: infectious lower airway disease (such as mycoplasma spp., parasitism, viral, or other), immune-mediated lower airway disease (feline asthma), or inhaled allergen/irritant, or less likely other.  For patients with no respiratory clinical signs, differential diagnoses for a minimal or mild mixed bronchial and interstitial pattern include: changes from prior disease,  age-related factors, and errors in patient positioning/technique, or pulmonary hypoinflation. Differential diagnoses for an alveolar pattern include: bronchial plugging (such as from concurrent immune-mediated or infectious lower airway disease), atelectasis (such as from recumbency), or unlikely other such as bronchopneumonia. Differential diagnoses for cardiomegaly include: hypertrophic or thyrotoxic cardiomyopathy in a mature or older patient, or congenital anomaly in a very young patient.  Consider heartworm disase in endemic areas, or if not already ruled out.</t>
  </si>
  <si>
    <t>4 images of the thorax are provided for review. The cardiovascular structures are normal. There is a marked bronchial pattern in all lung lobes. The pleural and mediastinal structures are normal. Cranial abdominal detail is adequate.</t>
  </si>
  <si>
    <t>Severe bronchial pulmonary pattern. Consider asthma, heartworm, lungworm, bronchitis.</t>
  </si>
  <si>
    <t xml:space="preserve">
1.Rarely, this result detects a minimal alveolar pulmonary pattern._x000D_
2.This result detects mild to moderate cardiomegaly._x000D_
3.This result does NOT detect pleural fissure lines.  _x000D_
4.This result detects minimal to mild, mixed interstitial and bronchial pulmonary patterns.</t>
  </si>
  <si>
    <t>Study:_x000D_
Thoracic radiography: four images dated June 19, 2024_x000D_
_x000D_
Findings:_x000D_
There is mild generalized cardiomegaly (VHS approximately 8). The pulmonary vasculature is normal in size. There is a mild generalized bronchial pulmonary pattern. The pleural space is normal. There is no intrathoracic lymphadenopathy. The larynx is normal. The trachea is normal in diameter and course. The stomach contains heterogeneous soft tissue material presumed to be ingesta. The osseous structures are unremarkable. The patient is of overweight body condition.</t>
  </si>
  <si>
    <t>1. Mild cardiomegaly without evidence of decompensation. Rule out cardiomyopathy versus artifact created by excessive pericardial fat. ProBNP testing can be considered for further heart disease screening._x000D_
2. The generalized bronchial pulmonary pattern may indicate allergic/inflammatory bronchitis (asthma). Infectious, parasitic and irritant bronchitis are also possible. Airway sampling, heartworm testing and Baermann fecal flotation can be considered for further evaluation.</t>
  </si>
  <si>
    <t>The suspected lower airway disease may be unrelated to the upper respiratory signs. Infectious respiratory disease PCR testing, computed tomography=ZZ95=/nasal passages and rhinoscopy can be considered for further evaluation of the upper respiratory signs.</t>
  </si>
  <si>
    <t xml:space="preserve">Patient Name : Squeekie Holland, Date of study: Jun 19, 2024
7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</si>
  <si>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pulmonary pattern.
- Differential diagnoses include infectious/immune-mediated lower airway disease such as from feline asthma, mycoplasma spp., bordetella spp., parasitism, or inhaled allergen/irritant, or unlikely other.
2. No obvious pulmonary nodules or intra-thoracic lymphadenomegaly.  </t>
  </si>
  <si>
    <t>Consider respiratory PCR panel, airway sampling, and fecal analysis/empirical deworming for further evaluation.  Empirical therapy and supportive care in the interim as needed. Monitoring as directed or sooner if clinical signs acutely change, fail to improve or worsen.</t>
  </si>
  <si>
    <t xml:space="preserve">
1.This result detects a minimal to mild interstitial pulmonary pattern._x000D_
2.This result does NOT detect an alveolar pulmonary pattern._x000D_
3.This result detects mild to moderate cardiomegaly._x000D_
4.This result does NOT detect pleural fissure lines._x000D_
5.This result detects a minimal to moderate bronchial pulmonary pattern.</t>
  </si>
  <si>
    <t>A three view thoracoabdominal study is provided for interpretation._x000D_
_x000D_
The patient has thin overall body condition. Serosal detail throughout the abdomen is poor. No mass effect is seen. No abnormalities are identified involving the GI tract._x000D_
The cardiovascular structures are within normal limits. No pulmonary infiltrates or pleural effusion are seen.</t>
  </si>
  <si>
    <t>There is poor detail throughout the abdomen. This is likely due primarily to the thin body condition of the patient and the lack of intra-abdominal fat, but some degree of free fluid or peritoneal inflammation is still suspected._x000D_
Etiology cannot be determined from the images._x000D_
_x000D_
No thoracic abnormalities are identified.</t>
  </si>
  <si>
    <t>Follow up imaging such as ultrasound or CT should be considered.</t>
  </si>
  <si>
    <t>A three view thoracoabdominal study is provided for interpretation._x000D_
_x000D_
The heart is at the upper end of normal size range. The pulmonary vessels and parenchyma are within normal limits. No tracheal or esophageal abnormalities are identified._x000D_
_x000D_
The spleen is slightly enlarged, with normal shape and smooth margins. The other organs are within normal size and shape limits. The GI tract appears empty. No foreign bodies are seen. No dilation of the stomach or intestine is identified. Serosal detail in the abdomen is normal._x000D_
No musculoskeletal abnormalities are identified.</t>
  </si>
  <si>
    <t>The spleen is slightly enlarged. This is most commonly seen as a reactive change secondary to inflammatory disease. Lymphoreticular neoplasia is less likely but remains a consideration._x000D_
_x000D_
No abnormalities are seen involving the GI tract or the other organs._x000D_
The thorax is unremarkable.</t>
  </si>
  <si>
    <t>Supportive care is recommended._x000D_
Serologic testing for infectious/inflammatory diseases including FIP should be considered._x000D_
_x000D_
If clinical signs are not improving, recheck radiographs of the abdomen or ultrasound and cytologic evaluation of the spleen should be considered.</t>
  </si>
  <si>
    <t>Three radiographs of the thorax, and three views of the abdomen are provided. The cardiac silhouette is normal size and shape. Fat deposition is seen ventral to the heart on the lateral views. There is no pleural effusion, and the lungs are clear. Normal tracheal diameter. No esophageal dilation._x000D_
_x000D_
In the abdomen there is no peritoneal or retroperitoneal effusion. Small mineral opaque nephroliths bilaterally, of doubtful significance. Normal sized kidneys, liver, spleen. Curved soft tissue opacity overlying the ventral liver is likely distended gallbladder. The gastrointestinal tract is minimally filled. No radiopaque foreign material. Moderate degenerative change in the coxofemoral joints.</t>
  </si>
  <si>
    <t>Probable distended gallbladder, presumably due to anorexia. Biliary obstruction is not ruled out. Otherwise normal abdomen and thorax.</t>
  </si>
  <si>
    <t>7 images of the thorax and abdomen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small amount of gas and the rugal folds are prominent.  The small intestines are normal in size.  Gas is present in the colon.  The urinary bladder is small.  The remaining abdominal organs are normal.</t>
  </si>
  <si>
    <t>Prominent rugal folds suggestive of gastritis.  This does not rule out underlying pancreatitis or infiltrative neoplasia.  Abdominal ultrasound could be considered in further evaluation.  Cardiomegaly without current evidence of cardiogenic pulmonary edema.  Echocardiography, proBNP, and thyroid testing may be helpful in further evaluation.</t>
  </si>
  <si>
    <t xml:space="preserve">
1.This result detects a minimal to moderate bronchial pulmonary pattern._x000D_
2.This result detects a minimal to mild interstitial pulmonary pattern._x000D_
3.This result does NOT detect an alveolar pulmonary pattern._x000D_
4.This result detects mild to moderate cardiomegaly._x000D_
5.Rarely, this result detects minimal pleural fissure lines/fluid.</t>
  </si>
  <si>
    <t>Study:_x000D_
Spinal radiography including the thorax and abdomen: three images dated June 19, 2024_x000D_
_x000D_
Findings:_x000D_
There is mild to moderate spondylosis deformans from T 12 through L4. The L4-L5 intervertebral disc space appears mildly narrowed on both lateral views in comparison to the adjacent to spaces. The coxofemoral joints are normal with good coverage of the femoral head by the acetabulum bilaterally. There is a small, likely clinically insignificant, mineral opaque nodule in the subcutaneous tissues adjacent to the spinous process of T3.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right kidney is small with smooth margins. The left kidney is on the lower limits of normal for size. The urinary bladder is normal in size and opacity.</t>
  </si>
  <si>
    <t>1. Suspect L4-L5 intervertebral disc disease. Correlate with any lumbar pain and/or proprioceptive deficits._x000D_
2. Small size of the right kidney and lower limits of normal size of the left kidney is suggestive of bilateral chronic kidney disease. Correlate with renal values, SDMA testing and urinalysis._x000D_
3. Normal thorax.</t>
  </si>
  <si>
    <t>Thorax: There is mild generalized cardiomegaly.  The pulmonary parenchyma and pulmonary vasculature are unremarkable.  There is no evidence of pleural effusion or lymphadenopathy._x000D_
_x000D_
Abdomen: The right kidney is small and has a small nephrolith.  The liver and spleen are unremarkable.  The gastrointestinal tract is unremarkable.  Serosal detail is normal.</t>
  </si>
  <si>
    <t>Mild generalized cardiomegaly without evidence of decompensation._x000D_
_x000D_
Small right kidney most likely degenerative._x000D_
_x000D_
Right nephrolith.</t>
  </si>
  <si>
    <t xml:space="preserve">Patient Name : Flip Blanchard, Date of study: Jun 18, 2024
3 images are provided for review
Feline Thorax (3 Images) - 2 Lateral, 1 Vd
There are no previous radiographs for comparison.
Pulmonary parenchyma: A minimal diffuse bronchial pattern is present.  A minimal diffuse interstitial pattern is present.  
Pulmonary vasculature: The pulmonary vasculature is subjectively normal in size and tapers in the periphery of the lungs.
Cardiac silhouette: The cardiac silhouette is tall and enlarged in the lateral images.  The cardiac silhouette has a slightly rounded base, best identified in the lateral images.  
Mediastinum: The cranial mediastinum is normal.
Trachea: A soft tissue band partially superimposes over the dorsal trachea in the right lateral image, but is absent in the left lateral image. 
Esophagus: The esophagus is not well-identified.
Pleural space: The pleural space is normal.
Musculoskeletal: The included musculoskeletal structures are normal.
Neck:  Increased gas is suspected in the caudal nasopharynx/common pharynx in the lateral images.  </t>
  </si>
  <si>
    <t>1. Equivocal generalized cardiomegaly versus artifact from positioning or phase of the cardiopulmonary cycle..
-  If present differential diagnoses include congenital anomaly such as trial/ventricular septal defect versus other, or unlikely hypertrophic or thyrotoxic cardiomyopathy or other.
2. Minimal diffuse bronchial and interstitial pulmonary patterns.
- The primary differential diagnosis is infectious/immune-mediated lower airway disease such as from feline asthma, mycoplasma spp. or bordetella spp., or parasitism such as lung worms,, and/or hypoinflation, fibrosis from prior disease, or unlikely other.
3. Suspected redundant dorsal tracheal membrane versus superimposed normal structures.
4. Possible pharyngeal gas due to aerophagia/stress versus pharyngitis/laryngitis, or unlikely other, versus artifact.</t>
  </si>
  <si>
    <t>Consider echocardiography, ECG and blood pressure for further evaluation, especially if a murmur is later identified.  Routine blood work if not recently performed.  Consider respiratory PCR panel, airway sampling, and fecal analysis/deworming for further evaluation of the reported clinical signs.  Sedated laryngeal examination may be contributory.  Empirical therapy and supportive care in the interim as needed.  Monitoring as directed or sooner if clinical signs acutely change, fail to improve or worsen.</t>
  </si>
  <si>
    <t>Three radiographs of the thorax and three views of the abdomen are provided. Images dated 8/4/23 are available for comparison. The cardiac silhouette and pulmonary vessels are normal size and shape. There are no abnormalities in the pulmonary parenchyma. No pleural effusion. Normal tracheal diameter. Punctate increased opacity to the right of the heart on the VD projection is superimposed granuloma that is located dorsal to the thoracic spine._x000D_
_x000D_
In the abdomen there is large volume stacked fecal balls filling the distal colon. The colonic fecal column measures up to 3.8 cm diameter. The stomach and small bowel are mildly filled. The left kidney is reduced in size. Normal size liver and spleen. No radiopaque urolithiasis. Narrowed L5-6 intervertebral disc space, of doubtful clinical significance today.</t>
  </si>
  <si>
    <t>1. Constipation._x000D_
2. Chronic renal disease on the left._x000D_
3. Normal thorax.</t>
  </si>
  <si>
    <t>Recommend enema administration and supportive care. If the patient does not rapidly improve, abdominal ultrasound would be recommended.</t>
  </si>
  <si>
    <t>Opposite lateral and ventrodorsal whole body radiographs (5 images) dated June 19,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Both kidneys are unremarkable in size and shape. The urinary bladder is fairly distended with homogeneous fluid opacity. The stomach contains a mild volume of gas and a similar amount of homogeneous soft-tissue/fluid content. The pyloric antrum appears gas-filled on the left lateral view. The proximal duodenum is not clearly visible. The remaining small bowel is diffusely and mildly distended with fluid, and minimal amount of gas. The small bowel has broad ropelike turns in its course to give it a subjectively turgid appearance. The colon contains gas and formed stool. Retroperitoneal and peritoneal detail are normal. No regional lymphadenopathy is evident._x000D_
No aggressive or clinically significant osseous pathology is identified.</t>
  </si>
  <si>
    <t>1. The appearance of the gastrointestinal tract is primarily concerning for gastroenteritis. There is no convincing evidence of small intestinal mechanical obstruction. The gastric soft tissue content is suspected represent residual ingesta and/or fluid pooling from a functional gastric stasis=ZZ90= clinically significant foreign material is considered less likely._x000D_
2. The remainder of the abdomen is unremarkable._x000D_
3. Normal thorax.</t>
  </si>
  <si>
    <t>Supportive care with fluid rehydration, antiemetics, gastroprotectants/omeprazole, and bland diet.  General health profile (CBC, chemistry, UA, FeLV/FIV/heartworm, toxoplasmosis titers, fecal). Consider abdominal ultrasound to further workup the fever of unknown origin and to further assess the gastric content.</t>
  </si>
  <si>
    <t>Patient Name: Nico Lafontant, Date of study: June 19, 2024.
Feline Thorax (5 Images) - 4 Lateral, 1 VD
There are no previous radiographs for comparison.
Findings:
Cardiac silhouette: The cardiac silhouette is moderately enlarged and rounded in shape (VHS 8.5, normal less than 8.1).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Musculoskeletal: The patient is obese. The included skeletal structures are within normal limits.</t>
  </si>
  <si>
    <t xml:space="preserve">1. Moderate cardiomegaly. Differentials include hypertrophic or dilated cardiomyopathy. There is no evidence of heart failure.
2. The lower airways are normal. Feline asthma cannot be excluded as this may have a normal radiographic appearance.
</t>
  </si>
  <si>
    <t>-Airway sampling (respiratory PCR, lavage, wash) could be considered to guide treatment for lower airway disease.
-If a murmur can be auscultated or proBNP is elevated, an echocardiogram, EKG, and blood pressure would be recommended to further evaluate the heart prior to corticosteroid administration.</t>
  </si>
  <si>
    <t>Orthogonal views of the thorax are provided:_x000D_
_x000D_
Thorax:_x000D_
_x000D_
The esophagus contains some gas ventral to the trachea at the level of the thoracic inlet._x000D_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t>
  </si>
  <si>
    <t>Consider a pharyngeal and laryngeal exams under sedation given the history of =ZZ92=gurgling sounds when purring, swallows more than normal=ZZ92=</t>
  </si>
  <si>
    <t xml:space="preserve">
1.This result detects minimal to mild, mixed interstitial and bronchial pulmonary patterns._x000D_
2.This result does NOT detect an alveolar pulmonary pattern.  _x000D_
3.This result does NOT detect soft tissue pulmonary nodules._x000D_
4.Rarely, this result detects minimal to mild pleural fissure lines/fluid._x000D_
5.This result detects minimal/equivocal to moderate cardiomegaly.</t>
  </si>
  <si>
    <t xml:space="preserve">Three view orthogonal radiographs (3 images) of the thorax and cranial abdomen dated June 18, 2024, are available for interpretation. No prior images are available for comparison.
The cat was not sedated.
Thorax:
Airway/pulmonary: The lungs are mildly hyperinflated. Perihilar infiltrates with a heavy interstitial pattern surrounding the caudal pulmonary vessels is present.  No pulmonary nodules are noted.
Cardiovascular: The cardiac silhouette is enlarged. The pulmonary vasculature is distended cranially and caudally. The pulmonary vessel margins remain well visualized cranially, but are indistinct caudally. CVC size is moderately enlarged.
Mediastinum: Normal. 
Pleural space: Faint pleural fluid lines are noted. No pneumothorax noted.
Cranial abdomen: The liver extends just caudal to the costal arch with rounded margins. On all projections, a gas opacity overlies the liver which does not appear to reside within the liver parenchyma on the VD projection. The kidneys are asymmetric with stippled mineralization bilaterally. 
Msk: Partial fusion of the T10-11 dorsal spinous processes is present on the lateral projections. Ventral spondylosis affects C2-3 along with disc space narrowing. The cat is emaciated. </t>
  </si>
  <si>
    <t xml:space="preserve">1) Cardiomegaly with pulmonary infiltrates and pulmonary vessel distension consistent with left heart failure and cardiogenic edema.
2) Suspected free abdominal air in the cranial abdomen. Rule out a pyloroduodenal ulcer. 
3) Chronic renal disease.
4) Emaciation. DDx: secondary to chronic renal disease and/or hyperthyroidism.  </t>
  </si>
  <si>
    <t>Full abdominal radiographs ASAP to reassess for free abdominal air. Abdominal ultrasound or exploratory laparotomy to follow upon confirmation of free abdominal air. 
Administered 3 mg/kg (12.5 mg) furosemide IM. Monitor renal values. Repeat thoracic radiographs in 24-48 hours, sooner if clinically warranted. 
Prescription given to owner:
Furosemide (20 mg tabs): Give 10 mg (0.5 tab) by mouth twice daily for 5 days then 5 mg (0.25 mg) by mouth twice daily for 14 days. 
Owner to monitor resting/sleeping respiratory rate. Handout given.</t>
  </si>
  <si>
    <t xml:space="preserve">
1.This result detects mild to moderate, or rarely severe cardiomegaly._x000D_
2.This result detects a minimal to mild interstitial pulmonary pattern.  _x000D_
3.This result detects a mild to moderate bronchial pulmonary pattern._x000D_
4.This result does not detect an alveolar pulmonary pattern._x000D_
5.This result does not detect soft tissue pulmonary nodules._x000D_
6.Rarely, this result detects minimal pulmonary vasculature enlargement._x000D_
7.Rarely, this result detects minimal pleural fissure lines/fluid.  </t>
  </si>
  <si>
    <t>6 images of the thorax and abdomen are provided for review. There is a moderate bronchial pattern in all lung lobes.  The cardiovascular structures are normal.  The mediastinal and pleural structures are normal.  Abdominal serosal detail is adequate in all quadrants.  The stomach contains a moderate amount of mottled soft tissue material.  The small intestines are normal in size.  Gas and feces are present in the colon.  The urinary bladder is small.  The remaining abdominal organs are normal.</t>
  </si>
  <si>
    <t>Material within the stomach may represent normal ingesta or foreign material.  Consider repeat radiographs following strict fasting to determine if gastric contents persist.  Moderate bronchial pulmonary pattern.  Considerations include asthma, heartworm, lungworm, atypical infection, bronchitis.  Consider empiric therapy versus further diagnostics such as heartworm testing, Baermann fecal, airway sampling.</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</si>
  <si>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</si>
  <si>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3 views of the thorax are provided for review. There is a severe bronchial pattern in all lung lobes.  The cardiovascular structures are normal.  The mediastinal and pleural structures are normal.  Cranial abdominal detail is adequate.</t>
  </si>
  <si>
    <t xml:space="preserve">
1.This result detects a minimal to mild, or rarely moderate interstitial pulmonary pattern._x000D_
2.This result detects a minimal to moderate bronchial pulmonary pattern._x000D_
3.Rarely, this result detects a minimal alveolar pulmonary pattern._x000D_
4.This result does not detect soft tissue pulmonary nodules._x000D_
5.This result detects mild to moderate cardiomegaly._x000D_
6.Uncommonly, this result detects minimal to mild pulmonary vasculature enlargement._x000D_
7.Rarely, this result detects minimal pleural fissure lines/fluid.  </t>
  </si>
  <si>
    <t xml:space="preserve">Patient Name : Dobby Pacheco, Date of study: Jun 18, 2024
3 images are provided for review
Feline Thorax (3 Images) - 2 Lateral, 1 Vd
There are no previous radiographs for comparison.
Pulmonary parenchyma:  An interstitial to mild alveolar pattern is present in the right cranial and middle lung lobes.  No air-bronchograms are present, but there is lobar margination between these lungs and the right caudal lung lobe.  A minimal diffuse bronchial pattern is present.  The lungs are mild to moderately hypoinflated in the lateral images.  
Pulmonary vasculature: The pulmonary vasculature is subjectively normal in size and tapers in the periphery of the lungs.
Cardiac silhouette: The cardiac silhouette is normal in size and shape.
Mediastinum: A rightward mediastinal shift is considered in the ventrodorsal image.  The cranial mediastinum is normal.
Trachea: The trachea is normal.
Esophagus: The esophagus is not well-identified.
Pleural space: The pleural space is normal.
Musculoskeletal: The included musculoskeletal structures are normal.
</t>
  </si>
  <si>
    <t xml:space="preserve">1. Right cranial and middle lung lobe interstitial to mild alveolar pattern, with minimal diffuse bronchial pattern.
- Differential diagnoses for the alveolar pattern include bronchial plugging/atelectasis such as from underlying lower airway disease, or unlikely bronchopneumonia/aspiration pneumonia  hemorrhage, atypical neoplasia, or other.
- Underlying infectious/immune-mediated lower airway disease such as from feline asthma, inhaled allergen/irritant, infectious disease, or other are considered.  
2. Suspected rightward mediastinal shift such as from lung volume loss from bronchial plugging or unlikely other, versus recumbency induced atelectasis, or a combination of these.  </t>
  </si>
  <si>
    <t>Therapy for possible infectious/immune-mediated lower airway disease or less likely pneumonia in the interim as needed.  Consider respiratory PCR panel, airway sampling, and fecal analysis/deworming for further evaluation if clinical signs fail to improve or worsen in the face of empirical therapy.  Routine blood work and abdominal imaging to screen for occult systemic disease may be contributory if not recently performed given non-specific signs.  Monitoring as directed or sooner if clinical signs acutely change, fail to improve or worsen.</t>
  </si>
  <si>
    <t xml:space="preserve">
1.Rarely, this result detects minimal to mild pleural fissure lines/fluid._x000D_
2.This result does NOT detect an alveolar pulmonary pattern.  _x000D_
3.This result does NOT detect soft tissue pulmonary nodules._x000D_
4.This result detects minimal/equivocal to moderate cardiomegaly._x000D_
5.This result detects minimal to mild, mixed interstitial and bronchial pulmonary patterns.</t>
  </si>
  <si>
    <t>5 images of the thorax and abdomen are provided for review. There is a moderate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t>
  </si>
  <si>
    <t xml:space="preserve">Patient Name : Smokey Saad, Date of study: Jun 18, 2024
3 images are provided for review
There are no previous radiographs for comparison.  The cranial thorax is excluded from the right lateral image.  
Pulmonary parenchyma: A mild to moderate diffuse bronchial pattern is present.  the lungs are mildly hyperinflated.  
Pulmonary vasculature: The pulmonary vasculature is subjectively normal in size and tapers in the periphery of the lungs.
Cardiac silhouette: The cardiac silhouette is slightly generally enlarged and tall in the lateral image.  The cardiac silhouette is slightly widened at its base in the ventrodorsal image.  
Mediastinum: The cranial mediastinum is normal.
Trachea: The trachea is normal.
Esophagus: The esophagus is not well-identified.
Pleural space: The pleural space is normal.
Liver: The liver is minimally enlarged with a slightly displaced gastric axis.  The liver occupies 3-4 intercostal spaces width.
Spleen: The spleen is normal in size with smooth margins and homogeneous soft tissue.
Kidneys: The right kidney has a slightly undulant or rounded margin in the ventrodorsal image.  The kidneys are otherwise normal.  
Retroperitoneum: Retroperitoneal detail is adequate.
Urogenital: The urinary bladder is not well identified but no obvious mineral or enlargement is present.  
Peritoneum: Peritoneal detail is adequate.
Gastrointestinal tract: The stomach contains a small volume of gas or is empty. The stomach is normal in size.  Gas is suspected in the pylorus in the left lateral image.
The small intestine contains mild to moderate gas with a subjectively uniform population for size. 
The colon contains moderate gas and is within normal limits for size.
Musculoskeletal: The patient is thin with concave soft tissue between spinous processes.  The remaining included musculoskeletal structures are normal.
</t>
  </si>
  <si>
    <t>1. Mild-moderate diffuse bronchial pulmonary pattern and mild hyperinflation such as from infectious/immune-mediated lower airway disease (asthma and/or mycoplasma spp., bordetella spp., parasitism, or other), inhaled allergen/irritant, or less likely other.
2. Equivocal generalized cardiomegaly versus artifact from phase of the cardiopulmonary cycle and positioning.
- If present, differential diagnoses include hypertrophic or thyrotoxic cardiomyopathy.
- There is no evidence of left-sided congestive heart failure.
3. Minimal hepatomegaly due to vacuolar change, nodular hyperplasia, hepatitis/cholangiohepatitis, or less likely other.
4. Non-specific gastrointestinal tract changes due to enteritis/colitis versus aerophagia and/or variation of normal/recent bowel movement.  
5. Suspected right chronic renal disease versus artifact.
6. Thin patient.</t>
  </si>
  <si>
    <t>Consider respiratory PCR panel, airway sampling, and fecal analysis/deworming for further evaluation.  Routine blood work, thyroid function testing, and urinalysis if not recently performed.   Echocardiography, ECg and blood pressure, especially if hyperthyroidism is confirmed and/or a murmur is later identified.  Empirical therapy and supportive care in the interim as needed.  Monitoring as directed or sooner if clinical signs acutely change, fail to improve or worsen in the face of empirical therapy.</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</si>
  <si>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is present in the colon.  The urinary bladder is moderately distended.  The remaining abdominal organs are normal.</t>
  </si>
  <si>
    <t>3 views of the thorax are submitted for review.  The cardiac silhouette and pulmonary vasculature are within normal limits.  Mild generalized bronchial markings are noted in the lung fields.  No pleural or mediastinal abnormalities are seen.  The trachea is normal.  The visible cranial abdomen and skeletal structures are unremarkable.</t>
  </si>
  <si>
    <t>The mild bronchial markings in the lung fields are consistent with chronic inflammatory airway disease as with feline asthma or chronic bronchitis.</t>
  </si>
  <si>
    <t>Empirical medical management as clinically indicated appears appropriate. Otherwise, lower airway sampling could be considered.</t>
  </si>
  <si>
    <t>DESCRIPTION:_x000D_
_x000D_
Orthogonal views of the thorax are provided:_x000D_
_x000D_
Thorax:_x000D_
_x000D_
Cardiac silhouette is WNL. However the descending aorta is undulating._x000D_
Pulmonary vessels are within normal limits of size and shape._x000D_
Pulmonary parenchyma is within normal limits. No evidence of pulmonary nodules/masses._x000D_
Pleural space, mediastinum, diaphragm and thoracic wall within normal limits._x000D_
_x000D_
Unremarkable abdomen._x000D_
There is a large most likely mammary mass centered in RM5.</t>
  </si>
  <si>
    <t>1) Undulating descending aorta compatible with systemic hypertension vs incidental._x000D_
2) No signs of pulmonary metastases._x000D_
3) Most likely mammary mass centered in RM5 compatible with neoplasia vs other type of neoplasia vs other differential less likely.</t>
  </si>
  <si>
    <t>FNAs from the mass along with oncologist consultation and abdominal US to rule out abdominal metastases._x000D_
Consider a cardiology consultation with ECG and echocardiogram.</t>
  </si>
  <si>
    <t>Four radiographs of the thorax, and three views of the abdomen are provided. The cardiac silhouette is upper normal size on the lateral views. The heart appears larger on the VD projection due to expiration. Soft tissue bulge along the cranial left aspect of the heart is incidental aortic knob. There is a round 0.6 cm soft tissue to mineral density overlying the cranial lungs at the level of the thoracic inlet on both of the lateral views but is not seen on the VD projections. No intrathoracic lymphadenomegaly or pleural effusion. Spondylosis deformans is of doubtful clinical significance._x000D_
_x000D_
In the abdomen the urinary bladder is severely distended and soft tissue opaque. Small volume of formed feces in the colon. Small bowel are mildly filled. Moderate volume gas, amorphous soft tissue density in the stomach. Several punctate mineral densities throughout the gastrointestinal tract, incidental. Normal-sized liver, spleen, kidneys. The coxofemoral joints are congruent.</t>
  </si>
  <si>
    <t>1. Small nodular structure overlying the cranial lungs is concerning for neoplasia, either primary pulmonary neoplasia or metastatic disease. This could be incidental granuloma. No other thoracic abnormalities._x000D_
2. No abdominal abnormalities are appreciated.</t>
  </si>
  <si>
    <t>Abdominal ultrasound is recommended to evaluate the kidneys, liver, and to identify/sample potential primary neoplasia.</t>
  </si>
  <si>
    <t xml:space="preserve">
1.This result detects equivocal/borderline to mild cardiomegaly. _x000D_
2.This result detects a minimal to mild interstitial pulmonary pattern.  _x000D_
3.This result detects a minimal to mild, or rarely moderate bronchial pulmonary pattern._x000D_
4.Rarely, this result detects a minimal alveolar pulmonary pattern._x000D_
5.This result does not detect pulmonary vasculature enlargement._x000D_
6.This result does not detect pleural fissure lines/fluid.  </t>
  </si>
  <si>
    <t>3 images of the thorax and abdomen are presented for review.  The left ventricular border is rounded.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ingesta.  The small intestines are normal in size.  Gas and feces are present in the colon.  The urinary bladder is small.  The remaining abdominal organs are normal.</t>
  </si>
  <si>
    <t>Radiographically normal abdomen.  Mild cardiomegaly without current evidence of cardiogenic pulmonary edema.</t>
  </si>
  <si>
    <t>DESCRIPTION:_x000D_
_x000D_
Orthogonal views of the thorax and abdomen are provided:_x000D_
_x000D_
Thorax:_x000D_
_x000D_
Cardiac silhouette has a normal shape and size._x000D_
Pulmonary vessels are within normal limits of size and shape._x000D_
Pulmonary parenchyma is within normal limits. No pulmonary nodules seen (no nodules in the right caudal lung lobe)._x000D_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</si>
  <si>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Unremarkable thorax without signs of cardiomegaly (this does not exclude a cardiomyopathy or a hyperthyroidism) pulmonary metastases nor signs of thoracic lymphadenopathy._x000D_
2) Unremarkable abdomen.</t>
  </si>
  <si>
    <t>Consider abdominal US to further evaluate causes of vomition. Rule out hyperthyroidism._x000D_
Given the lack of cardiomegaly but audible murmur, consider a cardiology consultation with ECG and echocardiogram.</t>
  </si>
  <si>
    <t xml:space="preserve">
1.This result detects none to equivocal/borderline to moderate cardiomegaly. _x000D_
2.This result detects a minimal to mild interstitial pulmonary pattern.  _x000D_
3.This result detects a minimal to mild, or rarely moderate bronchial pulmonary pattern._x000D_
4.This result does not detect an alveolar pulmonary pattern._x000D_
5.This result does not detect pulmonary vasculature enlargement._x000D_
6.This result does not detect pleural fissure lines/fluid.  </t>
  </si>
  <si>
    <t>Orthogonal views of the thorax and abdomen and orthogonal views of the front limbs extremities are provided._x000D_
_x000D_
There is moderate medial subluxation of the left carpal joint. There is moderate chronic remodeling and multiple periarticular osseous bodies involving the medial aspect of the joint. There is minimal soft tissue swelling in the area._x000D_
Mild medial subluxation of the right carpus is also identified. No remodeling changes are seen. Minimal soft tissue swelling is also present involving the right carpus._x000D_
_x000D_
There is a moderate bronchial pulmonary pattern. The cardiovascular structures are within normal limits._x000D_
_x000D_
The abdominal organs are all within normal size and shape limits. There is a slight increase in ill defined opacity in the area of the pancreas, but this is a subtle appearance and artifactual causes cannot be excluded. No mass lesions are seen.</t>
  </si>
  <si>
    <t>There is medial subluxation and valgus angulation involving the carpal joints in both front limbs. The changes are more severe on the left side, and suggest that pre-existing congenital/developmental carpal valgus may have been aggravated by traumatic injury. However, the appearance is chronic, so any associated injury would likely be at least 3 to 6 months old._x000D_
Soft tissue inflammation/injury exacerbated by the abnormal conformation is likely responsible for the current lameness._x000D_
_x000D_
The bronchial pattern is compatible with chronic lower airway disease such as asthma. Clinical relevance should be correlated with respiratory clinical signs. This is not likely to be associated with the complaint of anemia._x000D_
_x000D_
Subtle opacity in the pancreatic area is an equivocal finding, possibly artifactual. Clinical relevance is unknown. Pancreatitis should be ruled out with labwork and possibly ultrasound if clinically indicated. No findings that would convincingly explain the anemia are identified.</t>
  </si>
  <si>
    <t>Pancreas specific lipase testing is recommended._x000D_
_x000D_
Symptomatic therapy for the lameness is recommended.</t>
  </si>
  <si>
    <t xml:space="preserve">
1.This result detects equivocal/borderline to mild cardiomegaly. _x000D_
2.This result detects a minimal to mild interstitial pulmonary pattern.  _x000D_
3.This result detects a minimal to mild, or rarely moderate bronchial pulmonary pattern._x000D_
4.This result does not detect an alveolar pulmonary pattern._x000D_
5.This result does not detect pulmonary soft tissue nodules._x000D_
6.This result does not detect pulmonary vasculature enlargement._x000D_
7.Rarely, this result detects minimal pleural fissure lines/fluid.</t>
  </si>
  <si>
    <t>12 radiographs representing the spine, pelvis, and limbs are provided for interpretation._x000D_
_x000D_
There are many moderately narrowed intervertebral disc spaces throughout the spine. More severe narrowing is identified in the caudal lumbar spine, especially the lumbosacral junction which has mild ventral subluxation, and moderate endplate sclerosis and spondylosis. The pelvis and hip joints are within normal limits._x000D_
There is a small enthesiophyte arising from the insertion of the left patellar ligament. No other stifle abnormalities are seen._x000D_
There is a mineral opacity suspected to represent a small osseous fragment superimposed over the left distal calcaneal tendon just proximal to the left calcaneal tuber. The calcaneal tendon is mildly thickened._x000D_
_x000D_
There is mild to moderate chronic remodeling change involving both elbow joints. Both elbows have periarticular osseous bodies at the cranial aspect of the radial head, more prominent on the right._x000D_
There is minimal chronic remodeling involving both carpal joints and the caudal margin of both shoulder joints.</t>
  </si>
  <si>
    <t>1) Bilateral mild to moderate elbow joint osteoarthritis_x000D_
_x000D_
2) Intervertebral disc degeneration throughout the spine, most prominent in the caudal lumbar spine and lumbosacral joint. Lumbosacral instability is suspected._x000D_
_x000D_
3) There is evidence of a previous focal left calcaneal tendon avulsion._x000D_
_x000D_
4) The left patellar tendon enthesiophyte and the minimal shoulder and carpal changes are likely incidental.</t>
  </si>
  <si>
    <t>Medical management for osteoarthritis is recommended.</t>
  </si>
  <si>
    <t>Three radiographs of the thorax are provided. The cardiac silhouette and pulmonary vessels are normal size and shape. No abnormalities in the pulmonary parenchyma or pleural space. There is no pleural effusion or intrathoracic lymphadenomegaly. There is smoothly contoured 2.2 cm soft tissue opaque bulge ventral to the mid sternum on the right lateral projection, possibly seen caudal to the left scapula on the VD projection. No adjacent osseous abnormalities. The cranial abdomen is unremarkable.</t>
  </si>
  <si>
    <t>Normal thorax. The soft tissue contour ventral lateral to the left thorax is presumably the described lesion. A soft tissue neoplasm, granuloma, or abscess should be considered.</t>
  </si>
  <si>
    <t>Recommend cytology of the left axillary lesion.</t>
  </si>
  <si>
    <t>Study:_x000D_
Thoracic/abdominal radiography: four images dated June 17,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is empty.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</si>
  <si>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t>
  </si>
  <si>
    <t xml:space="preserve">
1.Rarely, this result detects a minimal alveolar pulmonary pattern._x000D_
2.Negative for pulmonary vasculature enlargement._x000D_
3.Cardiac silhouette: Normal in most cases; rarely, minimal to mild generalized cardiomegaly is present._x000D_
4.Uncommonly, this result detects a minimal to mild bronchial pulmonary pattern._x000D_
5.Negative for pleural fissure lines/pleural fluid._x000D_
6.Rarely, this result detects a minimal to mild interstitial pulmonary pattern.</t>
  </si>
  <si>
    <t>A three view thoracoabdominal study is provided for interpretation. Previous radiographs dated 5-12-22 are compared._x000D_
_x000D_
The cardiovascular structures are within normal limits. There is a moderate bronchial pulmonary pattern. The appearance is similar to the previous study. There is a rounded contour involving the cranial mediastinum in the lateral views. This is more prominent than what was seen previously, although a subtle change in contour was present in the previous radiographs. No mediastinal widening is seen in the VD view._x000D_
_x000D_
There is a mild increase in overall small intestinal gas with a fragmented gas pattern. No dilation of the stomach or intestine is seen. Serosal detail in the abdomen is normal. The other abdominal organs are all within normal size and shape limits._x000D_
_x000D_
There is mild narrowing of the L3-L4 intervertebral disc space. L1 has a vestigial rib on the left side.</t>
  </si>
  <si>
    <t>There is a moderate bronchial pattern consistent with chronic lower airway disease. This was also present in the previous radiographs two years ago. Chronic allergic lung disease or asthma is most likely. Less likely considerations that should still be ruled out would include parasitic infection such as lungworms or heartworm disease, and infectious bronchitis._x000D_
_x000D_
The bulge in the cranial mediastinum in the lateral views is suspected to be a benign anatomic variant._x000D_
_x000D_
The fragmented gas pattern in the small intestine is a finding that could be associated with enteritis or seen incidentally. There was suspicion of intestinal thickening in the previous radiographs. Chronic enteropathy such as IBD should be ruled out as a cause of the reported intermittent vomiting.</t>
  </si>
  <si>
    <t>CBC, heartworm testing, and Baermann fecal exam for lungworms is recommended._x000D_
_x000D_
Sampling from the lower airways via TTW/BAL or bronchoscopy should also be considered to assist definitive diagnosis of the bronchial pattern._x000D_
_x000D_
Abdomen ultrasound to evaluate the layering pattern of the intestine should be considered.</t>
  </si>
  <si>
    <t xml:space="preserve">
1.This result detects a minimal to mild interstitial pulmonary pattern.  _x000D_
2.This result detects a minimal to mild, or rarely moderate bronchial pulmonary pattern._x000D_
3.This result does not detect an alveolar pulmonary pattern._x000D_
4.This result detects none to equivocal/borderline to moderate cardiomegaly. _x000D_
5.This result does not detect pulmonary vasculature enlargement._x000D_
6.This result does not detect pleural fissure lines/fluid.  </t>
  </si>
  <si>
    <t>A two view study of the thorax that includes the cranial abdomen is provided for interpretation._x000D_
_x000D_
The heart is within normal size and shape limits._x000D_
The pulmonary vasculature is unremarkable. The caudal thoracic esophagus is visible in the lateral view as a faint band of soft tissue opacity. No pulmonary infiltrates or pleural effusion are identified._x000D_
The abdominal organs are unremarkable.</t>
  </si>
  <si>
    <t>No radiographic cardiovascular abnormalities are identified.</t>
  </si>
  <si>
    <t>Clinical significance of the heart murmur is unknown._x000D_
Hypertrophic cardiomyopathy could still be present without significant radiographic changes._x000D_
Echocardiography should be considered.</t>
  </si>
  <si>
    <t>Study:_x000D_
Thoracic radiography: right lateral and orthogonal views (two images) dated June 13, 2024_x000D_
_x000D_
Findings:_x000D_
There is _mild generalized cardiomegaly (VHS approximately 8). The pulmonary vasculature is normal in size. There is a mild generalized bronchial pulmonary pattern. The pleural space is normal. There is no intrathoracic lymphadenopathy. The trachea is normal in diameter. The stomach contains heterogeneous soft tissue material presumed to be ingesta. The osseous structures are unremarkable.</t>
  </si>
  <si>
    <t>1. Mild generalized cardiomegaly without evidence of decompensation. Hypertrophic cardiomyopathy is most likely. Echocardiography can be considered for further evaluation._x000D_
2. The generalized bronchial pulmonary pattern may indicate allergic/inflammatory bronchitis (asthma). Infectious, parasitic and irritant bronchitis are also possible. Airway sampling, heartworm testing and Baermann fecal flotation can be considered for further evaluation.</t>
  </si>
  <si>
    <t>Three orthogonal radiographs of the abdomen dated 17th June 2024 are available for review. There are no previous radiographs available for comparison. _x000D_
_x000D_
Intra-abdominal findings: The hepatic silhouette is mildly enlarged with smooth borders. The stomach contains an increased amount of gas with a caudal displaced axis. There is appropriate gas in the pyloric region on the left lateral image. The small intestines are variable in shape and size and contain a mix of gas, fluid and soft tissue opaque material. The colon contains gradually more formed faeces. The descending colon contains a mildly increased amount of compacted faeces, but is however not significantly dilated. The urinary bladder is small. The serosal detail is normal. The spleen is normal. The kidneys are partially obscured by gastrointestinal contents, but the visible aspect are normal._x000D_
_x000D_
Extra-abdominal findings: No significant abnormalities are detected. Dorsal subcutaneous gas lucencies and swelling is present consistent with subcutaneous fluid._x000D_
_x000D_
Included thorax: There is mild interstitial opacification in the right caudal dorsal lung region on the ventrodorsal image, with prominent right pulmonic vasculature.</t>
  </si>
  <si>
    <t>1. The gas dilation of the stomach, and the stationary faeces in the colon raises suspicion of a mild gastrointestinal ileus secondary to systemic disease, or non-specific gastroenteritis or pancreatitis. Gas within the stomach secondary to aerophagia is considered less likely._x000D_
2. The opacification of the pulmonary parenchyma may be due to the subcutaneous fluid administration. Heart worm is considered less likely.</t>
  </si>
  <si>
    <t>Supportive management including rehydration, gastroprotectants,  full blood work, faecal analysis if clinically indicated is advised, if not already performed. Depending on clinical progression consider an abdominal ultrasound.</t>
  </si>
  <si>
    <t>Orthogonal radiographs of the thorax/abdomen are provided. The cardiac silhouette is normal size on the lateral view. The heart appears larger on the VD projection due to expiration. No abnormalities in the pulmonary parenchyma or pleural space. Normal tracheal diameter. Normal proximal thoracic limbs. In the abdomen there is large volume gas in the stomach and in the proximal colon. Formed feces fills the distal colon. Small intestines are mildly filled with fluid. Rounded lucency overlying the caudoventral stomach on the lateral view is end-on transverse colon. No radiopaque foreign material. Normal-sized liver, spleen, kidneys. Smoothly irregular lateral left renal margin on the VD view. No radiopaque cystic calculi. No spinal abnormalities. The coxofemoral joints are congruent. No pelvic limb abnormalities are appreciated.</t>
  </si>
  <si>
    <t>Smoothly irregular left renal margin may be due to previous infarct or renal cyst. Renal abscess or neoplasia are given lesser consideration. Otherwise normal abdomen and thorax. A reason for the clinical signs is not identified.</t>
  </si>
  <si>
    <t>Recommend routine blood work and close inspection for evidence of a distal pelvic limb scratch/puncture wound.</t>
  </si>
  <si>
    <t xml:space="preserve">
1.This result detects a minimal to mild bronchial pulmonary pattern._x000D_
2.This result detects a minimal to mild interstitial pulmonary pattern._x000D_
3.This result does NOT detect an alveolar pulmonary pattern._x000D_
4.This result does NOT detect pulmonary soft tissue nodules._x000D_
5.This result detects equivocal/borderline to moderate cardiomegaly._x000D_
6.This result does NOT detect pleural fissure lines.</t>
  </si>
  <si>
    <t>Paddington Bayne. Date of study: 06/17/24. Thoracic radiography (2 view, 2 images. 1 VD, R Lateral). No prior radiographs are available for comparison. No laterality marker is present, laterality based on anatomy. _x000D_
_x000D_
Airway/pulmonary findings: The trachea is normal in size and position. The tracheal bifurcation is normal. There is a mild interstitial pattern. No pulmonary masses or nodules are present._x000D_
_x000D_
Cardiovascular findings: The cardiac silhouette is normal in size.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Musculoskeletal: Open physes appropriate for young age of cat. The included musculoskeletal structures are normal._x000D_
_x000D_
Cranial abdomen: The stomach contains a mild amount of gas suggestive of aerophagia secondary to coughing.</t>
  </si>
  <si>
    <t>1. The interstitial pattern may well be within normal limits for a young age. This does not exclude the presence of viral pneumonia, environmental lower airway disease (tracheitis, mild bronchitis), or of the onset of early allergic lower airway disease.</t>
  </si>
  <si>
    <t>Correlate with palpation testing for upper respiratory disease. Respiratory workup including CBC, serum chemistry, urinalysis, Baermann fecal testing, 4DX, +/- respiratory panel as indicated may be considered. Alternatively, diagnostic /empirical therapy for lower airway disease, empirical deworming, and removal of allergens and environmental irritants (i.e. smoke, dust, perfumes, etc.) can be considered.</t>
  </si>
  <si>
    <t>3 views of the thorax are provided for review. There is a moderate bronchial pattern in all lung lobes.  The cardiovascular structures are normal.  Fat is present in the pericardium.  The mediastinal and pleural structures are normal.  Cranial abdominal detail is adequate.</t>
  </si>
  <si>
    <t>Moderate bronchial pulmonary pattern.  Considerations include viral pneumonitis, asthma, heartworm, lungworm, atypical infection, bronchitis.</t>
  </si>
  <si>
    <t>Consider empiric therapy versus further diagnostics such as heartworm testing, Baermann fecal, airway sampling.  Echocardiography could be considered in further evaluation of the reported murmur.</t>
  </si>
  <si>
    <t xml:space="preserve">
1.This result detects a minimal to mild, or uncommonly moderate bronchial pulmonary pattern._x000D_
2.Rarely, this result detects a minimal alveolar pulmonary pattern._x000D_
3.This result does not detect pulmonary vasculature enlargement._x000D_
4.Rarely, this result detects minimal pleural fissure lines/fluid._x000D_
5.This result detects equivocal/borderline to mild cardiomegaly. _x000D_
6.This result detects a minimal to mild interstitial pulmonary pattern.</t>
  </si>
  <si>
    <t>Study:_x000D_
Thoracic/abdominal radiography: three images dated June 17,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with the pylorus appropriately gas-filled on the left lateral image. The small intestines are normal in size, course and content. The colon contains a small amount of gas and formed fecal material. The liver and spleen are normal in size and margin. The renal silhouettes are normal in size and contour. The urinary bladder is normal in size and opacity. There is incidental visualization of the colic lymph nodes dorsal to the midaspect of the descending colon on the lateral projections. The osseous structures are unremarkable/age appropriate.</t>
  </si>
  <si>
    <t>Study:_x000D_
Thoracic radiography: three images dated June 17, 2024_x000D_
_x000D_
Findings:_x000D_
There is moderate generalized cardiomegaly (VHS approximately 9). The pulmonary veins and arteries are mildly distended. There is a diffuse bronchointerstitial pulmonary pattern, most pronounced in the perivascular regions. The pleural space is normal. There is no intrathoracic lymphadenopathy. The trachea is normal in diameter.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mild T8-T9 and lumbosacral spondylosis deformans.</t>
  </si>
  <si>
    <t>1. Moderate generalized cardiomegaly. Hypertrophic cardiomyopathy is most likely. Recommend echocardiography for further evaluation._x000D_
2. Given the suspected heart disease, the diffuse bronchointerstitial pulmonary pattern is concerning for interstitial cardiogenic pulmonary edema/decompensated congestive heart failure with secondary peribronchial cuffing. Severe allergic/inflammatory lower airway disease (asthma) cannot be completely excluded. Consider diuretic therapy with repeat radiography to monitor for response to treatment._x000D_
3. Unremarkable abdomen.</t>
  </si>
  <si>
    <t>Patient Name: Luna Campos, Date of study: Jun 17, 2024
2 images are provided for review
Feline Thorax (2 Images) - 1 Lateral, 1 VD
Previous images dated [06/10/2024 Case#2682180] are available for comparison.
Thorax: 
Airway/pulmonary parenchyma: The bronchointerstitial pattern has improved in the recheck interim.
Cardiovascular: The cardiomegaly has improved in the recheck interim with minimal cardiomegaly persisting. The pulmonary venous distention has also improved in the recheck interim. Mild pericardial fat remains.
Mediastinum: Normal
Pleural space: Normal
Cranial abdomen: Mild renal asymmetry is present with the more cranial kidney having a flattened margin caudodorsally. 
Msk: Normal</t>
  </si>
  <si>
    <t xml:space="preserve">1) Improved cardiomegaly, pulmonary vessel enlargement and pulmonary pattern in the recheck interim consistent with historical Lasix therapy.
2) Renal asymmetry with evidence of a chronic infarct affecting the cranial kidney. </t>
  </si>
  <si>
    <t xml:space="preserve">Continue treatment and plan for cardiologist evaluation. Repeat thoracic radiographs if clinical signs recur. 
Assess renal function. </t>
  </si>
  <si>
    <t>Three radiographs of the thorax/abdomen are provided. The cardiac silhouette is normal size on the lateral views. The heart appears relatively larger on the VD projection due to expiration and rotation. There is a well-defined smoothly marginated round 4.4 cm soft tissue opaque mass in the dorsal aspect of the left caudal lung lobe. No other pulmonary lesions are present. There is no pleural effusion. No rib lesions. In the abdomen peritoneal and retroperitoneal detail is adequate. Normal-sized liver, kidneys, spleen. Moderate volume soft tissue density stippled with gas filling the stomach. Small bowel are mildly filled. Large volume of formed feces in the colon. No radiopaque urolithiasis. Narrowed L5-6 intervertebral disc space, of doubtful clinical significance at this time.</t>
  </si>
  <si>
    <t>1. Large, solitary pulmonary mass in the left caudal lung lobe, most consistent with primary pulmonary neoplasia. Metastatic disease from a distant site is given secondary consideration._x000D_
2. There is no evidence of cardiovascular disease on this study. Underlying cardiomyopathy is not definitively ruled out._x000D_
3. Normal abdomen.</t>
  </si>
  <si>
    <t>The left lung mass is relatively close to the thoracic wall and may be visible with ultrasound for guided sampling purposes.</t>
  </si>
  <si>
    <t>Study:_x000D_
Thoracic radiography: three images dated June 17,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heterogeneous soft tissue material presumed to be ingesta. The osseous structures are unremarkable. The patient is of overweight body condition.</t>
  </si>
  <si>
    <t>The generalized bronchial pulmonary pattern likely allergic/inflammatory bronchitis (asthma) given the reported response to corticosteroid therapy. Infectious, parasitic and irritant cannot be completely excluded. Airway sampling, heartworm testing and Baermann fecal flotation can be considered for further evaluation. Alternatively, continued medical management for asthma can be considered.</t>
  </si>
  <si>
    <t xml:space="preserve">
1.This result detects mild to moderate cardiomegaly._x000D_
2.This result detects a mild to mild interstitial pulmonary pattern.  _x000D_
3.This result detects a minimal to mild bronchial pulmonary pattern._x000D_
4.This result does not detect an alveolar pulmonary pattern._x000D_
5.Rarely, this result detects minimal pulmonary vasculature enlargement._x000D_
6.Rarely, this result detects minimal pleural fissure lines/fluid.  </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</si>
  <si>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  Spinal alignment is normal.  There is no evidence of lytic changes within the osseous structures.</t>
  </si>
  <si>
    <t xml:space="preserve">
1.This result detects a minimal, or rarely mild interstitial pulmonary pattern.  _x000D_
2.This result detects a minimal to mild, or rarely moderate bronchial pulmonary pattern._x000D_
3.Rarely, this result detects a minimal alveolar pulmonary pattern._x000D_
4.This result detects equivocal/borderline to mild cardiomegaly. _x000D_
5.This result does not detect pulmonary vasculature enlargement._x000D_
6.Rarely, this result detects minimal pleural fissure lines/fluid.  </t>
  </si>
  <si>
    <t>Three orthogonal survey radiographs of the thorax and abdomen dated 16th June 2024 are available for review. There are no previous radiographs available for comparison. _x000D_
_x000D_
Abdomen: The stomach is mainly empty with a normal axis. The small intestines are homogenously filled with mainly fluid and some gas. The gas has a loculated pattern. No segmental dilation is present. The transverse and descending colon contain fluid and gas. The hepatic silhouette is normal in size with smooth borders. The spleen is normal in shape, size and position. The kidneys are partially obscured by gastrointestinal contents, but the visible aspect are normal. The serosal detail is normal._x000D_
_x000D_
Musculoskeletal findings: The musculoskeletal structures are consistent with very young age. 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</si>
  <si>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Pancreatitis is considered unlikely.</t>
  </si>
  <si>
    <t>Supportive management including rehydration, gastroprotectants,  full blood work, faecal analysis if clinically indicated is advised, if not already performed. Repeat 3-view  radiographs depending on clinical progression or consider an abdominal ultrasound. If vomiting continues without development of diarrhea, an upper GI contrast study may also be considered.</t>
  </si>
  <si>
    <t>Study:_x000D_
Thoracic/abdominal radiography: three images dated June 15, 2024_x000D_
_x000D_
Findings:_x000D_
There is severe bilateral pleural effusion. There is associated reduced lung volume/atelectasis. No nodules or masses are present in the aerated lung lobes. The severity of the effusion limits evaluation of the cardiac silhouette. There is no overt cardiomegaly. The pulmonary vasculature is normal in size. Pooling of the pleural effusion in the cranial thorax limits evaluation of the cranial mediastinum. There is no overt cranial mediastinal mass effect. The trachea is normal in diameter. On the VD view timestamped 5:47 PM, there are three ovoid soft tissue opacities in the left cranial abdomen medial to the head of the spleen. The stomach contains a small volume of gas. The small intestines are normal in size, course and content. The colon contains formed fecal material. The liver sense beyond the costal arch with smooth and sharp margins. The spleen is normal in size and margin. The kidneys are normal in size and contour. The urinary bladder is normal in size and opacity. The osseous structures are unremarkable.</t>
  </si>
  <si>
    <t>1. Severe bilateral nonspecific pleural effusion. A cause is not radiographically evident. Recommend thoracocentesis with fluid analysis plus/minus echocardiography and computed tomography of the thorax for further evaluation._x000D_
2. The three ovoid soft tissue opacities in the left cranial abdomen on the VD view may represent (reactive or neoplastic) lymphadenopathy or mesenteric nodules. Consider abdominal sonography for further evaluation._x000D_
3. The mild hepatomegaly is nonspecific. Rule out metabolic/vacuolar hepatopathy, hepatitis, congestion, lipidosis or infiltrative neoplasia. Correlate with any liver enzyme abnormalities. Abdominal sonography can be considered for further evaluation this finding.</t>
  </si>
  <si>
    <t xml:space="preserve">
1.This result detects a mild to moderate interstitial pulmonary pattern._x000D_
2.Rarely, this result detects a minimal alveolar pulmonary pattern._x000D_
3.This result detects mild to severe cardiomegaly._x000D_
4.Rarely, this result detects minimal to mild pulmonary vasculature enlargement._x000D_
5.This result detects minimal to moderate pleural fissure lines/fluid. _x000D_
6.This result detects a minimal to moderate bronchial pulmonary pattern.</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</si>
  <si>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</si>
  <si>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moderately distended.  The remaining abdominal organs are normal.</t>
  </si>
  <si>
    <t>Three orthogonal survey radiographs of the thorax and abdomen dated 15th June 2024 are available for review. There are no previous radiographs available for comparison. The caudal aspect of the abdomen is not included on the ventrodorsal image. These images are submitted for assessment of the abdomen._x000D_
_x000D_
Abdomen: There is loss of serosal detail within the abdomen. Only the gas filled organs are visible. The entire gastrointestinal tract including the stomach small intestines and large intestines are gas dilated. No radiopaque foreign material is seen. A minor amount of granular soft tissue opaque material is seen in the ascending colon. The hepatic silhouette is normal. The kidneys are poorly visible. The spleen is poorly visible._x000D_
_x000D_
Musculoskeletal findings: The animal is in a cachectic body condition. There is diffuse cervical region swelling, without a distinguishable separate mass. The larynx and cranial trachea is ventrally displaced.</t>
  </si>
  <si>
    <t>1. Diffuse gas distension of the gastrointestinal tract: This was most likely due to diffuse ileus secondary to systemic disease, cachexia, debilitation. This may be secondary to neoplasia. The loss of serosal detail is likely due to cachexia._x000D_
2. Diffuse cervical swelling: This may be due to oedema secondary to hypoproteinaemia. A retropharyngeal mass is possible.</t>
  </si>
  <si>
    <t>Ultrasonographic or CT examination of the cervical region is indicated, with FNA of any separately visible masses._x000D_
Emergency supportive management including complete bloodwork, nutritional support, is advised. Once stabilised, abdominal ultrasonography is indicated.</t>
  </si>
  <si>
    <t>3 views of the entire body are presented for review.  The cardiovascular and pulmonary structures are normal.  The pleural and mediastinal structures are normal.  Abdominal serosal detail is adequate in all quadrants.  The stomach contains a moderate amount of granular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</si>
  <si>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Radiographically normal thorax.</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</si>
  <si>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variable in diameter with larger fluid-filled segments in the right mid abdomen.  Gas and fluid are present in the colon.  The urinary bladder is moderately distended.  The remaining abdominal organs are normal.</t>
  </si>
  <si>
    <t>Prominent rugal folds consistent with gastritis.  Segmental small intestinal distention may indicate enteritis or early/partial obstruction.  Abdominal ultrasound could be considered to rule out pancreatitis or infiltrative neoplasia.  Radiographically normal thorax for patient of this age.</t>
  </si>
  <si>
    <t xml:space="preserve">
1.This result detects equivocal/borderline to mild, or rarely moderate cardiomegaly. _x000D_
2.This result detects a minimal to mild interstitial pulmonary pattern.  _x000D_
3.This result detects a mild to moderate bronchial pulmonary pattern._x000D_
4.This result does not detect an alveolar pulmonary pattern._x000D_
5.This result does not detect pulmonary soft tissue nodules._x000D_
6.This result does not detect pulmonary vasculature enlargement._x000D_
7.This result does not detect pleural fissure lines/fluid.  </t>
  </si>
  <si>
    <t>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</si>
  <si>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 xml:space="preserve">Patient Name : Nancy Hazlinger, Date of study: Jun 14, 2024
3 images are provided for review
Feline Thorax (3 Images) - 2 Lateral, 1 Vd
There are no previous radiographs for comparison.
Pulmonary parenchyma: A minimal diffuse bronchial pattern is present.  The lungs are hyperinflated.
Pulmonary vasculature: The pulmonary vasculature is subjectively normal in size and tapers in the periphery of the lungs.
Cardiac silhouette: The cardiac silhouette is slightly tall in the right lateral image.  The cardiac silhouette is slightly rounded at its base in the ventrodorsal image.  The aorta is redundant in the cranial thorax, and visible to the left of the mediastinum in the ventrodorsal image.  This is a normal variation due to patient age.
Mediastinum: The cranial mediastinum is normal.
Trachea: The trachea is normal.
Esophagus: The esophagus is not well-identified.
Pleural space: The pleural space is normal.
Musculoskeletal: The included musculoskeletal structures are normal.
</t>
  </si>
  <si>
    <t>1. Equivocal generalized cardiomegaly versus artifact from phase of the cardiopulmonary cycle and patient positioning.
- If present, consider evolving hypertrophic cardiomyopathy versus other.
- there is no evidence of left-sided congestive heart failure.
2. No obvious pulmonary nodules/masses or intra-thoracic lymphadenomegaly.
3. Minimal diffuse bronchial pulmonary pattern and hyperinflation such as from infectious/immune-mediated lower airway disease (asthma, mycoplasma spp., bordetella spp., parasitism, or other), or unlikely inhaled allergen/irritant, or least likely other.</t>
  </si>
  <si>
    <t xml:space="preserve"> Echocardiography, eCG and blood pressure as well as routine blood work, urinalysis and thyroid function testing may be contributory.   Empirical therapy and supportive care in the interim as needed. 
 Monitoring as directed or sooner if clinical signs acutely change, fail to improve or worsen.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</si>
  <si>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gas.  The small intestines are normal in size.  Gas and feces are present in the colon.  The urinary bladder is small.  The kidneys are small with mildly irregular margins.  The remaining abdominal organs are normal.</t>
  </si>
  <si>
    <t>Chronic renal changes.  Lack of specific gastrointestinal changes does not rule out pancreatitis or infiltrative neoplasia.  Abdominal ultrasound could be considered.  Radiographically normal thorax for patient of this age.</t>
  </si>
  <si>
    <t xml:space="preserve">Three view orthogonal radiographs (3 images) of the thorax and cranial abdomen dated June 14, 2024, are available for interpretation. No prior images are available for comparison.
The cat was not sedated.
Neck: Cervical tracheal narrowing is present on the right lateral projection. This narrowing is not present on the left lateral projection. 
Thorax:
Airway/pulmonary: The lungs are mildly hyperinflated on the left lateral projection. Lung inflation is normal on the right lateral and VD projections. A diffuse, mild bronchial pattern is present. Scalloping to the diaphragmatic margin is present on the VD projection. No pulmonary nodules are noted. 
Cardiovascular: The cardiac silhouette is minimally enlarged. Pericardial fat also contributes to the cardiac silhouette appearance. The pulmonary vasculature is normal. The pulmonary vessel margins remain well visualized. CVC size is normal.
Mediastinum: Gas is present throughout the thoracic esophagus. 
Pleural space: No pleural fluid or pneumothorax noted.
Cranial abdomen: The liver extends just caudal to the costal arch with rounded margins. The stomach is filled with normal appearing ingesta.
Msk: No osseous abnormalities. Soft tissue swelling is present along the dorsal thorax on the right lateral projection. This swelling appears smaller on the left lateral projection. </t>
  </si>
  <si>
    <t>1) Minimal cardiomegaly. No evidence of heart failure. DDX: secondary to hyperthyroidism vs. secondary to hypertension vs. early HCM. 
2) Transient cervical tracheal narrowing. Aerophagia. These findings are consistent with an upper airway obstruction. DDx: struggling at the time of the radiographic study vs. sinonasal or pharyngeal disease. 
3) Mild bronchial pattern. A component of low-grade chronic lower airway disease is likely present. DDx: recurrent microaspiration secondary to upper airway disease vs. allergic vs. bacterial vs. parasitic causes.
4) Soft tissue swelling along the dorsal thorax. Rule out a mass/fibrosarcoma vs. secondary to patient positioning at the time of the radiographs. No pulmonary nodules noted.</t>
  </si>
  <si>
    <t xml:space="preserve">Evaluation of the upper airway to rule in/out an upper airway obstruction. 
Evaluation of the dorsal thoracic soft tissues to assess for a mass. 
See cardiac ultrasound report. </t>
  </si>
  <si>
    <t xml:space="preserve">Patient Name : POOH PERILLO, Date of study: Jun 14, 2024
5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equivocally round at it base in the left lateral image.  The cardiac silhouette is slightly rounded and widened in the ventrodorsal image.  
Mediastinum: The cranial mediastinum is normal.
Trachea: The trachea is normal.
Esophagus: The esophagus is not well-identified.
Pleural space: The pleural space is normal.
Musculoskeletal: The included musculoskeletal structures are normal.
</t>
  </si>
  <si>
    <t xml:space="preserve">1. Minimal diffuse bronchial pattern such as from fibrosis from prior disease/age-related changes,  infectious/immune-mediated lower airway disease (mycoplasma spp. bordetella spp., or inhaled allergen/irritant/asthma), or unlikely other.
2. Equivocal cardiomegaly versus artifact from phase of the cardiac cycle.
  - If present, this may be due to evolving hypertrophic cardiomyopathy versus other.
- There is no current evidence of left-sided congestive heart failure.  
</t>
  </si>
  <si>
    <t xml:space="preserve">Echocardiography, eCG, blood pressure and thyroid function  testing for further evaluation of the heart, especially if a murmur is later identified.  Empirical therapy for infectious/inflammatory lower airway disease with/without airway sampling may be beneficial.   Monitoring with serial thoracic radiographs as directed or sooner if clinical signs acutely change, fail to improve or worsen. 
Consider CBC/serum biochemistry to screen for systemic disease if not already performed. Consider computed tomography/rhinoscopy for further evaluation of reported sneezing, especially if signs fail to improve or worsen.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</si>
  <si>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stomach contains a moderate amount of ingesta.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</si>
  <si>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Abdominal ultrasound may be helpful in further evaluation.  Radiographically normal thorax for patient of this age.</t>
  </si>
  <si>
    <t xml:space="preserve">Patient Name : Willow Whitman, Date of study: Jun 14, 2024
4 images are provided for review
Feline Thorax (4 Images) - 2 Lateral, 2 Vd
There are no previous radiographs for comparison.
Pulmonary parenchyma: A minimal to mild diffuse bronchial pattern is present. The presumed caudal subsegment of the left cranial lung lobe is small with minimal or moderate alveolar soft tissue, best identified in the ventrodorsal images.  
Pulmonary vasculature: The pulmonary vasculature is subjectively normal in size and tapers in the periphery of the lungs.
Cardiac silhouette: The cardiac silhouette is normal in size and shape.
Mediastinum: A leftward mediastinal shift is present.  The cranial mediastinum is normal.
Trachea: The trachea is normal.
Esophagus: The esophagus is not well-identified.
Pleural space: The pleural space is normal.
Musculoskeletal: The included musculoskeletal structures are normal.
</t>
  </si>
  <si>
    <t xml:space="preserve">1. Presumed left cranial lung lobe atelectasis and bronchial plugging, or unlikely other.
2. Minimal diffuse bronchial pattern due to infectious/immune-mediated lower airway disease (mycoplasma spp., bordetella spp., versus inhaled allergen/irritant or feline asthma, or unlikely other), fibrosis from prior disease, or unlikely age-related changes.
3. Leftward mediastinal shift such atelectatic left lung lobe/recumbency.
</t>
  </si>
  <si>
    <t xml:space="preserve">Empirical therapy for lower airway disease  in the interim as needed.  CBC/serum biochemistry to screen for occult systemic disease if not already performed.  Airway sampling may be contributory if repeat radiographs are inconclusive or worsen with therapy.   Monitoring with repeat thoracic radiographs after empirical therapy for infectious/immune-mediated lower airway disease.  </t>
  </si>
  <si>
    <t>3 views of the abdomen are provided for review.  Serosal detail is adequate in all quadrants.  The stomach contains a moderate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</si>
  <si>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inflammatory bowel disease, etc.</t>
  </si>
  <si>
    <t xml:space="preserve">
1.This result detects a minimal to mild interstitial pulmonary pattern.  _x000D_
2.This result detects a minimal to mild, or rarely moderate bronchial pulmonary pattern._x000D_
3.This result detects none, or equivocal/borderline to moderate cardiomegaly. _x000D_
4.This result does not detect pulmonary vasculature enlargement._x000D_
5.Rarely, this result detects a minimal alveolar pulmonary pattern._x000D_
6.Rarely, this result detects minimal pleural fissure lines/fluid.  </t>
  </si>
  <si>
    <t>3 views of the entire body are provided for review. There is a moderate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distended.  The remaining abdominal organs are normal.</t>
  </si>
  <si>
    <t>3 views of the thorax are provided for review. There is a moderate bronchial pattern in all lung lobes.  The cardiovascular structures are normal.  The mediastinal and pleural structures are normal.  Cranial abdominal detail is adequate.</t>
  </si>
  <si>
    <t xml:space="preserve">
1.This result does not detect pleural fissure lines/fluid.  _x000D_
2.This result detects a minimal to mild, or rarely moderate interstitial pulmonary pattern.  _x000D_
3.Rarely, this result detects a minimal to mild alveolar pulmonary pattern._x000D_
4.This result detects a minimal to mild, or rarely moderate bronchial pulmonary pattern._x000D_
5.This result does not detect pulmonary vasculature enlargement._x000D_
6.This result detects equivocal/borderline to mild cardiomegaly.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</si>
  <si>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kidneys are small with irregular margins.  The remaining abdominal organs are normal.</t>
  </si>
  <si>
    <t xml:space="preserve">
1.Rarely, this result detects a minimal alveolar pulmonary pattern._x000D_
2.This result detects none, or equivocal/borderline to moderate cardiomegaly. _x000D_
3.This result does not detect pulmonary vasculature enlargement._x000D_
4.Rarely, this result detects minimal pleural fissure lines/fluid.  _x000D_
5.This result detects a minimal to mild interstitial pulmonary pattern.  _x000D_
6.This result detects a minimal to mild, or rarely moderate bronchial pulmonary pattern.</t>
  </si>
  <si>
    <t>3 views of the thorax are provided for review. There is a severe bronchial pattern in all lung lobes, similar to previous images dated 5/30/2024.  The cardiovascular structures are normal.  The mediastinal and pleural structures are normal.  Cranial abdominal detail is adequate.</t>
  </si>
  <si>
    <t>Persistent severe bronchial pulmonary pattern.  Considerations include asthma, heartworm, lungworm, atypical infection, bronchitis.</t>
  </si>
  <si>
    <t>Patient Name: Simba Morel, Date of study: Jun 13, 2024
Skull and thorax: 7 images are provided for review
The thorax is compared to February 13, 2024.
Findings:
Cardiac silhouette: The cardiac silhouette remains normal in size and shape.
Pulmonary vessels: The pulmonary arteries and veins are are normal, unchanged.
Pulmonary parenchyma: Similar to previous, the pulmonary parenchyma is normal with no abnormal pulmonary patterns, nodules, or masses.
Pleural space: The pleural space is normal/unchanged.
Mediastinum: The mediastinum remains normal in width and opacity. As before there is no evidence of intrathoracic lymphadenopathy.
Trachea: The trachea is normal in diameter and course.
Esophagus: There is a small volume of gas within the cranial thoracic esophagus.
Musculoskeletal: There are several newly identified right-sided rib fractures involving ribs 4-11. The rib fractures are minimally displaced and surrounded by osseous calluses. There is intervertebral disc space narrowing of L3-4. There is mild, intermittent spondylosis deformans of the cranial lumbar spine.
Abdomen: There are no significant abnormalities identified in the abdomen.
Skull: There is increased soft tissue opacity within the left nasal cavity. Definitive nasal turbinate lysis is not identified in the absence of a dorsoventral or open-mouth VD projection. The tympanic bulla are thin rimmed and gas-filled. The frontal sinuses are normal. The included portion of the cervical spine is within normal limits.</t>
  </si>
  <si>
    <t>1. Left nasal cavity soft tissue opacity, consider nasal neoplasm, hemorrhage, or rhinitis. Upper airway pathology is prioritized as cause of clinical signs. 
2. The cardiopulmonary structures remain normal.
3. New identified healing right-sided rib fractures. A prior traumatic injury is prioritized.</t>
  </si>
  <si>
    <t>Rhinoscopy, nasal biopsies, and airway sampling (respiratory PCR, nasal flush, transtracheal wash) are recommended to further evaluate the upper airways. The addition of a dorsoventral or open-mouth VD view of the skull may be contributory to identify nasal turbinate lysis and guide sampling. If feasible, a head/nasal CT would be ideal for additional anatomic information and to guide sampling.</t>
  </si>
  <si>
    <t xml:space="preserve">
1.This result detects a minimal to mild interstitial pulmonary pattern.  _x000D_
2.This result detects a minimal to mild, or rarely moderate bronchial pulmonary pattern._x000D_
3.Rarely, this result detects a minimal alveolar pulmonary pattern._x000D_
4.Rarely, this result detects minimal pleural fissure lines/fluid.  _x000D_
5.This result detects none, or equivocal/borderline to moderate cardiomegaly. _x000D_
6.This result does not detect pulmonary vasculature enlargement.</t>
  </si>
  <si>
    <t>X 3 XX images of the thorax and abdomen are presented for review.  The cardiac silhouette is mildly widened in the region of the atria.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kidneys are difficult to visualize on the VD view but appear overall small on the lateral views.  The remaining abdominal organs are normal.</t>
  </si>
  <si>
    <t>Suspect small kidneys concerning for chronic renal disease.  Mild cardiomegaly without current evidence of cardiogenic pulmonary edema.</t>
  </si>
  <si>
    <t>3 views of the entire body are provided for review. There is a moderate bronchial pattern in all lung lobes.  The cardiac silhouette is mildly widened with rounding of the left ventricular border.  The mediastinal and pleural structures are normal.  Abdominal serosal detail is adequate in all quadrants.  The stomach contains a moderate amount of gas.  The small intestines are normal in size.  Gas and feces are present in the colon.  The urinary bladder is small.  No mineral is seen associated with the urinary tract.  The kidneys are small with irregular margins.  The remaining abdominal organs are normal.</t>
  </si>
  <si>
    <t>Chronic renal changes.  Moderate bronchial pulmonary pattern.  Considerations include asthma, heartworm, lungworm, atypical infection, bronchitis.  Consider empiric therapy versus further diagnostics such as heartworm testing, Baermann fecal, airway sampling.  Mild cardiomegaly without current evidence of cardiogenic pulmonary edema.  Echocardiography, proBNP, and thyroid testing may be helpful in further evaluation.</t>
  </si>
  <si>
    <t>Three radiographs of the thorax/abdomen are provided. The cardiac silhouette and pulmonary vessels are normal size and shape. There are no abnormalities in the pulmonary parenchyma. Increased opacity cranioventral to the heart is pleural fat deposition. There is no pleural effusion. In the abdomen there is small volume peritoneal and retroperitoneal effusion. The urinary bladder is moderately distended and there are a few faint punctate mineral densities overlying the bladder. No abnormalities appreciated along the plane of the urethra or in the region of the medial iliac lymph nodes. The kidneys are upper normal size. Normal-sized spleen and liver. The gastrointestinal tract is minimally filled. No radiopaque urolithiasis.
(amended on 06/14/2024 06:54)
There are moderate degenerative changes in both coxofemoral joints, of uncertain significance today.</t>
  </si>
  <si>
    <t>Probable small cystic calculi. These are of a size that is likely too large to pass the urethra, with subsequent urethral obstruction. Mild peritoneal and retroperitoneal effusion is most likely inflammatory. The thorax is normal.</t>
  </si>
  <si>
    <t>Recommend strict diet for urolithiasis. If urethral obstruction recurs, surgical intervention may be necessary.</t>
  </si>
  <si>
    <t>Opposite lateral and ventrodorsal whole body radiographs (3 images) dated June 13,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enlarged. The spleen is unremarkable in size and shape. Both kidneys are normal in size and shape. The urinary bladder is small and fluid opaque. The stomach is empty aside from a mild amount of gas. The small intestine is also mostly empty with an unremarkable course. The proximal colon contains gas. The descending colon contains formed stool. Retroperitoneal and peritoneal detail are normal. No regional lymphadenopathy is evident._x000D_
No aggressive or clinically significant osseous pathology is identified.</t>
  </si>
  <si>
    <t>1. Nonobstructive gastroenteritis. Rule out dietary indiscretion or toxin vs. food allergy/intolerance vs. flareup of a chronic enteropathy (ex: IBD or GI LSA) vs. GI infectious vs. systemic/extra GI causes (liver or kidney injury/disease, pancreatitis, endocrine disorder, systemic infection, non-GI neoplasia)._x000D_
2. Hepatomegaly. Rule out a benign metabolic/vacuolar hepatopathy (such as lipidosis or diabetes) vs. hepatitis/cholangiohepatitis vs. infiltrative round cell neoplasia. FIP is least likely._x000D_
3. Normal thorax.</t>
  </si>
  <si>
    <t>Supportive care with fluid rehydration, antiemetics, gastroprotectants/omeprazole, and bland diet.  General health profile (CBC, chemistry, T4, FeLV/FIV, blood pressure, UA, fecal) +/- fPLI. Abdominal ultrasound should also be considered, especially if the patient fails medical management or if indicated based on lab work findings.</t>
  </si>
  <si>
    <t xml:space="preserve">
1.This result detects equivocal/borderline to mild cardiomegaly. _x000D_
2.This result does not detect pleural fissure lines/fluid.  _x000D_
3.This result does not detect pulmonary vasculature enlargement._x000D_
4.This result detects a minimal to mild, or rarely moderate interstitial pulmonary pattern.  _x000D_
5.This result detects a minimal to mild, or rarely moderate bronchial pulmonary pattern._x000D_
6.Rarely, this result detects a minimal to mild alveolar pulmonary pattern.</t>
  </si>
  <si>
    <t>Four orthogonal radiographs of the abdomen dated 12th June 2024 are available for review. There are no previous radiographs available for comparison. _x000D_
_x000D_
Abdomen: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The distal colon is mildly dilated with some formed faeces. The urinary bladder is filled. The serosal detail is normal._x000D_
_x000D_
Extra-abdominal findings: No significant abnormalities are detected._x000D_
_x000D_
Included thorax: No significant abnormalities are detected.</t>
  </si>
  <si>
    <t>Relatively unremarkable abdomen. There may be some mild constipation, however no strictures or space occupying lesions are seen.</t>
  </si>
  <si>
    <t>Supportive management including rehydration, gastroprotectants,  full blood work, enema if clinically indicated is advised, if not already performed. Depending on clinical progression consider an abdominal ultrasound. If vomiting continues without development of diarrhea, an upper GI contrast study may also be considered.</t>
  </si>
  <si>
    <t>Opposite lateral views of the thorax and two VD views of the thorax are provided._x000D_
_x000D_
There is a moderate diffuse bronchial pattern. No alveolar infiltrates or pleural effusion are seen._x000D_
One of the VD views is fairly straight, the other has moderate rotational obliquity. In the oblique view, there is increased opacity in the right cranial thorax and a nodular shadow in the left cranial thorax. Neither is present in the other VD view and both are considered artifactual secondary to the rotation, probably summation of superimposed soft tissues in the right cranial thorax and enhance visibility of the aortic arch in the left cranial thorax. The heart is felt to be within normal size and shape limits overall. There is mild pericardial fat cranial to the cardiac margin in the right lateral view. Pulmonary vessels are normal. The liver is at the upper end of normal size range. The other cranial abdominal organs are unremarkable. No tracheal or esophageal abnormalities are seen.</t>
  </si>
  <si>
    <t>There is a moderate bronchial pattern consistent with lower airway disease. The subjective appearance is typical of asthma. Additional rule outs would include parasitic infection such as lungworms or heartworm disease, allergic lung disease, or less likely infectious bronchitis._x000D_
_x000D_
No significant cardiovascular abnormalities are identified. No findings that would explain the presenting complaint of vomiting are identified</t>
  </si>
  <si>
    <t>CBC, Baermann sedimentation fecal exam for lungworms, and heartworm testing is recommended._x000D_
Assuming no evidence of infectious disease is found, Symptomatic therapy for probable asthma is recommended as needed.</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</si>
  <si>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gas.  The small intestines are normal in size.  Gas and scant feces are present in the colon.  The urinary bladder is small.  The remaining abdominal organs are normal.</t>
  </si>
  <si>
    <t>Radiographically normal abdomen.  Lack of specific changes does not rule out pancreatitis or infiltrative neoplasia.  Abdominal ultrasound could be considered.  Radiographically normal thorax for patient of this age.</t>
  </si>
  <si>
    <t>WHOLE-BODY (3 total radiographs for review). A previous examination is available for comparison from 2016._x000D_
_x000D_
- Diffuse bronchial pulmonary pattern._x000D_
- Moderate pulmonary hyperinflation._x000D_
- Left-sided mediastinal shift._x000D_
- The cardiac silhouette and pulmonary vasculature are normal._x000D_
- The trachea, esophagus and remainder of the mediastinum is/are normal._x000D_
- The pleural space and remaining intrathoracic structures are normal._x000D_
- Peritoneal serosal detail is adequate_x000D_
- The stomach contains moderate gas._x000D_
- The small intestine contains mild multifocal gas and soft-tissue opaque material_x000D_
- The colon contains gas, soft-tissue/fluid and minimal formed fecal material._x000D_
- The liver, spleen, kidneys and urinary bladder are normal._x000D_
- No musculoskeletal abnormalities are noted.</t>
  </si>
  <si>
    <t>1. Mild diffuse bronchial pattern with pulmonary hyperinflation. Most likely compatible with chronic lower airway disease and secondary air-trapping. The leftward mediastinal shift could be atelectasis of the left cranial lung lobe due to bronchial mucus plugging. Feline asthma is most likely, however bronchitis of infectious (e.g. parasitic, bacterial) or inhaled irritant etiologies are also possible. If clinically indicated, consider treatment for chronic lower airway disease and if there is lack of improvement or worsening despite medical management, thoracic CT +/- lower airway sampling might be considered._x000D_
_x000D_
2. Aerophagia. Otherwise unremarkable abdomen. Lack of formed fecal material in the colon could indicate colitis.</t>
  </si>
  <si>
    <t>Opposite lateral and ventrodorsal thoracic radiographs (3 images) dated June 12, 2024._x000D_
_x000D_
The cardiac silhouette is mildly tall in height but measures within normal limits with a VHS score of 7.2. The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 There is caudal cervical and cranial thoracic spondylosis deformans.</t>
  </si>
  <si>
    <t>Tall cardiac silhouette with an overall normal VHS score. Rule out a subclinical cardiomyopathy vs. left ventricular hypertrophy from systemic hypertension vs. normal anatomy for this patient.</t>
  </si>
  <si>
    <t>Echocardiogram, T4, blood pressure.
(amended on 06/12/2024 12:23)
The radiographic morphologic features of the cardiac silhouette does not provide information on cardiac function. Although I suspect the patient is not at a significant risk of an adverse event under anesthesia, more information would be needed to confirm that, such as an echocardiogram.</t>
  </si>
  <si>
    <t>Whole body radiographs (3 images) dated June 12, 2024._x000D_
_x000D_
_x000D_
The cardiac silhouette, pulmonary vasculature, and great vessels are within normal limits. The lungs have a moderate diffuse bronchial pattern with wall thickening and peribronchial unstructured interstitial cuffing. No pulmonary nodules or masses are identified. No intrathoracic lymphadenopathy is evident. The trachea is normal in diameter and course with gas filling its lumen. The pleural space, mediastinum, and diaphragm are normal._x000D_
The liver and spleen are normal in size and shape. Both kidneys are normal in size and shape._x000D_
 _x000D_
The urinary bladder is mildly fluid-filled. The stomach is moderately distended with heterogeneous soft-tissue content. The small intestine is diffusely distended with gas, and multiple segments have an irregular linear coalescing gas pattern, whereas others have a string of pearls peristalsis pattern. The colon is mostly empty aside from some gas. Retroperitoneal and peritoneal detail are normal. No regional lymphadenopathy is evident._x000D_
_x000D_
No aggressive or clinically significant osseous pathology is identified.</t>
  </si>
  <si>
    <t>1. Bronchitis. Rule out eosinophilic/feline asthma vs. infectious (bacterial or parasitic ) vs. chronic inhaled irritants._x000D_
2. The appearance of the small intestine is suspicious for enteritis. There is no evidence of a small intestinal mechanical obstruction._x000D_
3. Heterogeneous soft-tissue content in the stomach is of unknown clinical relevance and may represent normal ingesta vs. a mixture of ingesta and foreign material vs. ingesta and a trichobezoar.</t>
  </si>
  <si>
    <t>Abdominal ultrasound to further scrutinize the gastric content vs. upper GI barium study (4 ml/kg PO or via NG tube) vs. conservative fluids, single antiemetic injection, and repeat abdominal radiographs after 16 hours NPO food and 4 hours NPO water._x000D_
_x000D_
General health profile (CBC, chemistry, UA, fecal, blood pressure) +/- fPLI (or GI blood panel depending on suspicions) to screen for underlying causes.</t>
  </si>
  <si>
    <t>Study:_x000D_
Thoracic and abdominal radiography: six images dated June 11, 2024_x000D_
_x000D_
Findings:_x000D_
The right 13th rib is hypoplastic. The spine is normal with no intervertebral disc space or foraminal narrowing. The included appendicular skeletal structures are unremarkable. The cardiac silhouette and pulmonary vasculature are normal in size. The pulmonary parenchyma is unremarkable. The pleural space is normal. There is no intrathoracic lymphadenopathy. The trachea is normal in diameter and course. The stomach contains a small amount of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t>
  </si>
  <si>
    <t>1. The spine is unremarkable. A cause of the thoracolumbar pain is not evident. Consider soft tissue injury. Lack of any apparent intervertebral disc space narrowing does not exclude the possibility of intervertebral disease. Neurology consultation and MRI can be considered for further evaluation of the conical signs persist or worsen in spite of medical management._x000D_
2. Normal thorax._x000D_
3. Postprandial stomach=ZZ90= otherwise, unremarkable abdomen.</t>
  </si>
  <si>
    <t>Three orthogonal thoracic radiographs dated 11th June 2024 are available for review. These are compared with previous radiographs dated 9th August 2022 and 9th December 2021._x000D_
_x000D_
Airway findings: The cervical and thoracic trachea are mildly variable in dimension between radiographs. The carina, tracheal bifurcation and mainstem bronchi are normal. The pulmonary parenchyma is normal._x000D_
_x000D_
Cardiovascular findings: The cardiac silhouette still has a mildly Valentine shape and the ventrodorsal image, and slightly globoid in the lateral, with a normal overall size. The pulmonary vasculature is normal. The mainstem vessels are normal._x000D_
_x000D_
Mediastinum and pleural space: There is mild increased ventral pleural and pericardial fat. Mild gas is present in the cranial oesophagus._x000D_
_x000D_
Musculoskeletal findings: No significant abnormalities are detected._x000D_
_x000D_
Included abdomen: There is still extensive biliary tract and gallbladder mineralisation.</t>
  </si>
  <si>
    <t>1. The mild Valentine shape to the cardiac silhouette has continued to decrease in comparison with original radiographs and follow-up radiographs. Hypertrophic cardiomyopathy is considered therefore highly unlikely._x000D_
2. The pulmonary parenchyma is unaltered and within normal limits for age in comparison with previous radiographs. The variation in tracheal diameter may be due to head positioning. Tracheitis, redundant trachealis membrane, or tracheomalacia is possible._x000D_
3. Unaltered extensive biliary tract and gallbladder mineralisation. This is still likely an incidental finding. Cholecystitis is possible.</t>
  </si>
  <si>
    <t>Consider therapy for upper airway allergic, or infectious-inflammatory disease. Depending on progression, airway sampling may need to be considered.</t>
  </si>
  <si>
    <t xml:space="preserve">
1.This result detects a minimal to mild, or rarely moderate bronchial pulmonary pattern._x000D_
2.Rarely, this result detects a minimal to mild alveolar pulmonary pattern._x000D_
3.This result detects equivocal/borderline to mild cardiomegaly. _x000D_
4.This result does not detect pulmonary vasculature enlargement._x000D_
5.This result does not detect pleural fissure lines/fluid.  _x000D_
6.This result detects a minimal to mild, or rarely moderate interstitial pulmonary pattern.  </t>
  </si>
  <si>
    <t>Four orthogonal thoracic radiographs dated 11th June 2024 are available for review. There are no previous radiographs available for comparison. _x000D_
_x000D_
Airway findings: The thorax is well inflated in the images. The trachea has a normal position, shape and size. The carina and tracheal bifurcation are normal. The pulmonary parenchyma is normal.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 _x000D_
_x000D_
Mediastinum and pleural space: No significant abnormalities are detected. _x000D_
_x000D_
Musculoskeletal findings:  No significant abnormalities are detected. _x000D_
_x000D_
Included abdomen: No significant abnormalities are detected.</t>
  </si>
  <si>
    <t>1. Mildly hyperinflated normal thorax: This may be due to upper respiratory disease (rhinitis, other), however allergic lower airway disease or viral pneumonia may be present initially without abnormal pulmonary pattern.</t>
  </si>
  <si>
    <t>Respiratory workup including CBC, serum chemistry, urinalysis, Baermann faecal testing, 4DX, +/- respiratory panel as indicated may be considered.  Alternatively, diagnostic /empirical therapy for upper airway disease, empirical deworming, and removal of allergens and environmental irritants (i.e. smoke, dust, perfumes, etc.) can be considered.</t>
  </si>
  <si>
    <t>Patient name: Pogo Graziano
THORAX (3 views, 3 images; [2 lateral, 1 VD])
Images are dated June 11, 2024.
There are no previous radiographs for comparison. 
Airway/Pulmonary: The lungs are adequately inflated.  Diffusely throughout the lungs, a mild increase in bronchointerstitial opacity is observed.  No distinct soft tissue pulmonary nodules are detected.  Tracheal and mainstem bronchial diameter is normal.   The caudal thoracic trachea, cranial to the carina, is ventrally deviated.
Cardiovascular: The cardiac silhouette is normal in size and shape but exhibits a horizontal orientation. The aorta is normal in diameter but extremely tortuous and undulant along its entire course.  There is rounded to oblong, smoothly marginated, increased soft tissue opacity surrounding the carina in the lateral views.  The pulmonary vessels are normal in width.
Mediastinum: No lymph node enlargement is detected.  The caudal vena cava is normal in height.  
Pleural space: No pleural effusion is seen. 
Cranial abdomen: The stomach contains a moderate volume of amorphous soft tissue admixed with gas.  Diffusely the small intestines are mild to moderately dilated with gas.  The colon is also gas dilated and contains scant formed feces.  The kidneys and spleen are obscured by superimposition of the bowel.    
Musculoskeletal: There is variable narrowing of the intervertebral disc spaces at T7-T8 and T9-L1.  Minimal smooth new bone formation is detected along the ventral aspect of vertebral bodies T8, T10, and L2-L4 without bridging the intervertebral disc spaces.</t>
  </si>
  <si>
    <t>1) Very tortuous aorta with atypical heart orientation.  Most likely due to age-related change but systemic hypertension could also be present.  Cardiomegaly is not suspected.
2) Diffuse mild bronchointerstitial pattern could represent age-related change or feline lower airway disease (allergic vs infectious).
3) Increased soft tissue opacity around carina and ventrally deviated trachea.  This is thought to be secondary to heart deviation. Regional lymphadenomegaly is considered less likely.
4) Diffuse intestinal gas dilation. May be functional ileus, as from gastroenteritis or pancreatitis. A distal mechanical obstruction is unlikely in the absence of reported vomiting.
5) Moderate volume gastric contents despite reported hyporexia is atypical and should be correlated with timing and volume of last meal.  The nature of the gastric contents consistent with intended ingesta but foreign material cannot be ruled out. 
6) Incidental multifocal spondylosis deformans and chronic intervertebral disc change.</t>
  </si>
  <si>
    <t>Systemic blood pressure recommended.    _x000D_
  _x000D_
Respiratory workup including CBC, serum chemistry, urinalysis, Baermann fecal testing, 4DX, +/- respiratory panel.  Empirical therapy for feline airway disease can be considered during the interim.  _x000D_
_x000D_
Abdominal ultrasound recommended for further evaluation of weight loss.</t>
  </si>
  <si>
    <t>Opposite lateral and ventrodorsal whole body radiographs (3 images) dated June 11,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Both kidneys are normal in size and shape. The urinary bladder is mildly fluid-filled. The stomach is fairly distended with gas and some amorphous heterogeneous soft-tissue content. The small intestine has a moderate variation in diameter with most segments distended with gas and having broad ropelike turns in their course and a minority that are more empty/collapsed. The colon contains some heterogeneous stool mixed with gas. Retroperitoneal and peritoneal detail are normal. No regional lymphadenopathy is evident._x000D_
Mild disc space narrowing is present at L3-L4.</t>
  </si>
  <si>
    <t>1. The appearance of the small intestine is concerning for enteritis. Rule out flareup of a chronic enteropathy (ex: IBD or GI LSA) vs. systemic/extra GI causes (liver or kidney injury/disease, pancreatitis, endocrine disorder, systemic infection, non-GI neoplasia) vs. dietary indiscretion or toxin vs. food allergy/intolerance vs. GI infectious._x000D_
2. Heterogeneous soft-tissue content in the stomach can represent residual ingesta from a functional gastric stasis vs. a mixture of ingesta and foreign material._x000D_
3. Normal thorax. Rapid breathing is suspected to be related to gastrointestinal/abdominal discomfort and/or physiologic stress or anxiety. A metabolic acidosis remains possible._x000D_
4. L3-L4 intervertebral disc disease. Correlation with orthopedic and neurologic exam is needed to determine significance.</t>
  </si>
  <si>
    <t>Supportive care with fluid rehydration, antiemetics, gastroprotectants/omeprazole, and bland diet.  General health profile (CBC, chemistry, UA, fecal, blood pressure, FeLV/FIV, T4)._x000D_
Abdominal ultrasound +/- GI blood panel.</t>
  </si>
  <si>
    <t>3 views of the entire body are presented for review.  The cardiovascular structures are normal.  There is mild increase in bronchial markings in the caudal lung lobes.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</si>
  <si>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 xml:space="preserve">
1.This result detects equivocal/borderline cardiomegaly._x000D_
2.Rarely, this result detects minimal pleural fissure lines/fluid._x000D_
3.This result detects a minimal, or rarely mild interstitial pulmonary pattern._x000D_
4.This result detects a minimal to moderate bronchial pulmonary pattern._x000D_
5.This result does NOT detect an alveolar pulmonary pattern.</t>
  </si>
  <si>
    <t>4 images of the thorax and abdomen are presented for review.  The cardiovascular and pulmonary structures are normal.  Minimal esophageal gas is present consistent with aerophagia.  The pleural and mediastinal structures are normal.  Abdominal serosal detail is adequate in all quadrants.  The stomach contains a moderate amount of soft tissue material.  The small intestines are normal in size.  Gas and feces are present in the colon.  The urinary bladder is moderately distended.  The remaining abdominal organs are normal.</t>
  </si>
  <si>
    <t>Radiographically normal thorax.  Material within the stomach may represent normal ingesta or foreign material.</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</si>
  <si>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extends mildly beyond the costal arch, causing caudal displacement of the gastric axis.  The stomach contains a small amount of gas.  The small intestines are normal in size.  Gas is present in the colon.  The urinary bladder is small.  The kidneys are small with mineral in the diverticula.  The remaining abdominal organs are normal.</t>
  </si>
  <si>
    <t>Chronic renal changes.  Mild hepatomegaly raises concern for potential hepatic lipidosis based on the history provided.  Concurrent neoplasia or hepatitis cannot be excluded.  Abdominal ultrasound may be helpful.  Radiographically normal thorax for patient of this age.</t>
  </si>
  <si>
    <t xml:space="preserve">
1.This result detects a minimal or less commonly mild interstitial pulmonary pattern.  _x000D_
2.This result detects a minimal to moderate bronchial pulmonary pattern._x000D_
3.Rarely, this result detects a minimal alveolar pulmonary pattern._x000D_
4.Uncommonly, this result detects pulmonary soft tissue or cavitary nodules._x000D_
5.This result detects equivocal/borderline to mild, or rarely moderate cardiomegaly. _x000D_
6.This result does not detect pulmonary vasculature enlargement._x000D_
7.Rarely, this result detects minimal pleural fissure lines/fluid.  </t>
  </si>
  <si>
    <t xml:space="preserve">Some bronchial patterns may mimic pulmonary soft tissue nodules due to bronchial plugging, or granuloma from prior disease.   Some alveolar patterns may mimic pulmonary soft tissue nodules or masses.  If a lesion is producing a mass effect, with mediastinal displacement contralateral to the lesion, a mass is prioritized.  If the patient is young, and/or a mediastinal shift is present ipsilateral to the lesion, an alveolar pattern is prioritized. This may be exacerbated if technical errors/artifacts (obliquity, motion, etc.) are present in the image. If present,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or patients with historic infectious/inflammatory lower airway disease. Granulomatous/fungal disease (such as blastomycosis spp.) is unlikely, unless the patient has an appropriate travel/exposure history.  If the patient has respiratory clinical signs, then differential diagnoses for a predominantly bronchial pulmonary pattern include: immune-mediated lower airway disease (i.e. feline asthma) or infectious lower airway disease (such as mycoplasma spp., parasitism, viral, or other).  Additional differential diagnoses include evolving neoplasia such as an ill-defined primary carcinoma versus metastatic disease (especially if nodules or masse are also present), or inhaled allergen/irritant, or less likely evolving left-sided congestive heart failure, or unlikely other.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evolving neoplasia, bronchopneumonia, or unlikely other. Differential diagnoses for equivocal cardiomegaly include: phase of the cardiopulmonary cycle, patient positioning/technique, individual variation of normal (especially in younger patients), or evolving cardiomyopathy (such as hypertrophic or thyrotoxic cardiomyopathy).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</si>
  <si>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soft tissue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</si>
  <si>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Radiographically normal thorax for patient of this age.</t>
  </si>
  <si>
    <t xml:space="preserve">
1.This result detects a minimal, or rarely mild interstitial pulmonary pattern.  _x000D_
2.This result detects a minimal to mild, or rarely moderate bronchial pulmonary pattern._x000D_
3.This result does not detect pulmonary vasculature enlargement._x000D_
4.This result does not detect pleural fissure lines/fluid.  _x000D_
5.This result detects equivocal/borderline to mild cardiomegaly. _x000D_
6.Rarely, this result detects a minimal alveolar pulmonary pattern.</t>
  </si>
  <si>
    <t>6 images of the thorax and abdomen are presented for review.  The cardiovascular structures are normal.  Fat is present within the pericardium.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mineral opaque feces are present in the colon.  The urinary bladder is moderately distended.  The remaining abdominal organs are normal.  A large amount of subcutaneous and intra-abdominal fat is present.</t>
  </si>
  <si>
    <t>Obesity.  Constipation.  Radiographically normal thorax for patient of this age.</t>
  </si>
  <si>
    <t>Abdominal ultrasound could be considered in further evaluation of gastrointestinal wall layering and the pancreas.</t>
  </si>
  <si>
    <t>Thorax: There is a diffuse peribronchial pattern.  There is a focal increase in soft tissue opacity associated with the right cranial lung lobe on the ventrodorsal view.  The cardiac silhouette and pulmonary vasculature are unremarkable.  There is no evidence of pleural effusion or lymphadenopathy._x000D_
_x000D_
Abdomen: There are no abnormalities identified.</t>
  </si>
  <si>
    <t>Moderate diffuse peribronchial pattern.  Primary differential consideration is a lower airway inflammatory process such as asthma.  Alternatively neoplasia such as lymphoma cannot be ruled out._x000D_
_x000D_
The focal increase in soft tissue opacity involving the right cranial lung lobe may represent inflammation, infection, or neoplasia.</t>
  </si>
  <si>
    <t>Patient Name: CHEWY HALLER, Date of study: June 11, 2024.
4 images are provided for review (2 lateral, 2 VD).
There are no previous radiographs for comparison.
Findings:
Pleural space: There is a moderate increase of soft tissue opacity within the pleural space which obscures cardiac silhouette and widened several pleural fissures.
Cardiac silhouette: The cardiac silhouette is largely obscured due to pleural effusion. The carina is dorsally displaced, suggestive of cardiomegaly. On the VD view the visible margins of the cardiac silhouette appear to be widened.
Pulmonary vessels: The pulmonary arteries and veins are within normal limits.
Pulmonary parenchyma: The cranial and right middle lung lobes are reduced in volume. All pulmonary margins are retracted and rounded.
Mediastinum: The mediastinum is widened and increased opacity.
Trachea: The trachea is normal in diameter.
Esophagus: The region of the esophagus is within normal limits.
Gastrointestinal tract: The stomach is normal in position and contains a small volume of gas. The small intestines are diffusely within normal limits of diameter and distribution. The colon contains gas and loosely formed feces.
Liver: The liver is normal in size and shape.
Spleen: The spleen is unremarkable.
Urinary: The kidneys are normal in size, shape, and margination. The urinary bladder is normal in size and opacity.
Peritoneal space: Peritoneal detail is equivocally reduced in the mid abdomen.
Musculoskeletal: There is moderate spondylosis deformans and intervertebral disc space narrowing of the mid thoracic spine. T13 and L1 are transitional, the left T13 through rib is hypoplastic and there is an anomalous L1 left rib.</t>
  </si>
  <si>
    <t>1. Moderate pleural effusion with suspected cardiomegaly. Congestive heart failure secondary to hypertrophic cardiomyopathy (versus dilated cardiomyopathy) is prioritized.
-Additional differentials for pleural effusion include hemorrhage, transudate/exudate, and less likely, chylous effusion.
2. Equivocal peritoneal effusion. This is thought to be artifactual secondary to reduced body condition/minimal mesenteric fat to provide contrast</t>
  </si>
  <si>
    <t>-Thoracocentesis is recommended as this may be both diagnostic and therapeutic.
-A diuretic trial with recheck thoracic radiographs is recommended.
-An echocardiogram, EKG, and blood pressure are recommended to further evaluate the heart, especially if a murmur can be auscultated or proBNP is elevated.</t>
  </si>
  <si>
    <t xml:space="preserve">Patient Name : Peach ASTOR, Date of study: Jun 10, 2024
3 images are provided for review
There are no previous radiographs for comparison.
Pulmonary parenchyma: A mild diffuse bronchial pattern is present.  The lungs are minimal or mildly hypoinflated.  A minimal diffuse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</si>
  <si>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pattern and minimal interstitial pulmonary pattern.  
- Differential diagnoses include infectious/immune-mediated lower airway disease (mycoplasma spp., bordetella spp., parasitism, or inhaled allergen/irritant),  less likely fibrosis from prior disease, or unlikely other. 
</t>
  </si>
  <si>
    <t>Empirical therapy for infectious/inflammatory lower airway disease with/without airway sampling and repeat radiographs to monitor for response to therapy, especially if clinical signs fail to improve or worsen in the interim.</t>
  </si>
  <si>
    <t xml:space="preserve">
1.This result detects equivocal/borderline to mild cardiomegaly. _x000D_
2.This result detects a minimal, or less commonly mild interstitial pulmonary pattern.  _x000D_
3.This result detects a mild or rarely moderate bronchial pulmonary pattern._x000D_
4.This result does not detect an alveolar pulmonary pattern._x000D_
5.This result does not detect pulmonary vasculature enlargement._x000D_
6.This result does not detect pleural fissure lines/fluid.  </t>
  </si>
  <si>
    <t>Opposite lateral and VD views of the thorax and abdomen are provided._x000D_
_x000D_
The thorax is hyperinflated. There is a mild bronchial pattern. The appearance is still within the limits of what might sometimes be seen as age related change. No alveolar infiltrates or pleural effusion are seen._x000D_
Opacity of the larynx is mildly increased. The laryngeal lumen appears moderately narrowed. There is moderate gas dilation of the cranial thoracic esophagus. No tracheal abnormalities are identified._x000D_
_x000D_
There is marked gas dilation of the stomach, and multiple small intestinal loops. The entire intestinal tract is gas filled._x000D_
The left kidney has mildly irregular shape. The right kidney is small. The other abdominal organs are within normal limits._x000D_
The patient has thin overall body condition.</t>
  </si>
  <si>
    <t>There is a mild bronchial pattern, but this is a subtle change and within the limits of what might sometimes be seen as age related change. Asthma still cannot be excluded._x000D_
_x000D_
Overall the degree of gas dilation of the GI tract and the pulmonary hyperinflation as well as cranial esophageal dilation is most compatible with aerophagia secondary to the respiratory abnormalities._x000D_
_x000D_
Upper airway obstruction is a primary differential for this patient. Asthma is the secondary differential._x000D_
Possible etiologies for upper airway obstruction would include inflammation of the larynx or infiltrative laryngeal disease such as lymphoma, nasopharyngeal polyp, and other obstructive nasal disease including neoplasia.</t>
  </si>
  <si>
    <t>Sedated nasopharyngeal and laryngeal exam is suggested to rule out upper airway obstruction as a cause of the clinical and radiographic signs.</t>
  </si>
  <si>
    <t>Opposite lateral and VD views of the thorax and abdomen are provided. There are four images total._x000D_
_x000D_
The nodular shadow seen just caudal to the apex of the heart in the lateral views in the 2-28-24 study is still present but less prominent and more difficult to visualize. The nodule is still suspected to be identified just caudal to the cardiac apex and dorsal to the xiphoid in the left lateral view, and superimposed over the cranial aspect of the liver 2 cm dorsal to the xiphoid in the right lateral view. It cannot be definitively localized in the VD view. There is a severe bronchial pattern involving all lung fields. The cardiovascular structures are within normal limits._x000D_
The rounded appearance of the spleen previously seen in the VD view is no longer present. This was probably a positional artifact. The other abdominal organs are within normal limits. Abdominal serosal detail is normal._x000D_
There is severe spondylosis involving the caudal lumbar spine. No destructive bone lesions are seen.</t>
  </si>
  <si>
    <t>There is severe bronchial pattern distant with chronic lower airway disease such as asthma. Parasitic infection such as lungworms or heartworm disease should also be ruled out. There is a nodular shadow in the caudal ventral thorax which would be compatible with a granuloma or small tumor. This lesion cannot be definitively localized but is repeatable between the previous and current x-rays as presumed to be a real nodular structure within the lung. CT would be ideal for more definitive evaluation._x000D_
No significant abdominal abnormalities are identified.</t>
  </si>
  <si>
    <t>Parasitic infection such as lungworms or heartworm disease should be ruled out as a cause of the bronchial pattern._x000D_
Recheck radiographs of the thorax are recommended in three months.</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</si>
  <si>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is present in the colon.  The urinary bladder is small.  The remaining abdominal organs are normal.</t>
  </si>
  <si>
    <t>Prominent rugal fold suggestive of gastritis.  This does not rule out underlying pancreatitis or infiltrative neoplasia.  Radiographically normal thorax for patient of this age.</t>
  </si>
  <si>
    <t>Opposite lateral and VD views of the thorax and abdomen are provided._x000D_
_x000D_
Thorax: The cardiac silhouette has an elongated appearance suggestive of mild heart enlargement. Vertebral Heart Score is normal at 7.5. The pulmonary vessels and parenchyma are within normal limits. No tracheal or esophageal abnormalities are identified._x000D_
_x000D_
Abdomen: No foreign bodies are identified in the GI tract. No dilation of the stomach or intestine is seen. Serosal detail is normal. The organs are within normal size and shape limits.</t>
  </si>
  <si>
    <t>No significant abdominal abnormalities are identified._x000D_
_x000D_
The heart appears subjectively elongated in the lateral views. Considering the normal VHS, this is likely to be a benign variant. Further investigation with echocardiography may be indicated if a heart murmur is ausculted.</t>
  </si>
  <si>
    <t>Supportive care as needed and symptomatic therapy for gastroenteritis is recommended.</t>
  </si>
  <si>
    <t>3 views of the thorax are presented for review.  Abdominal images are reviewed on case 2682184.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t>
  </si>
  <si>
    <t>No specific thoracic recommendations.</t>
  </si>
  <si>
    <t>Four orthogonal thoracic radiographs dated 10th June 2024 are available for review. There are no previous radiographs available for comparison. _x000D_
_x000D_
Airway findings: The cervical and thoracic trachea have a normal size, outline and position. The carina, tracheal bifurcation and mainstem bronchi are normal. There is a mild to moderate bronchointerstitial opacification of the lung parenchyma._x000D_
_x000D_
Cardiovascular findings: The cardiac silhouette has a globoid appearance on the lateral image. In the ventral dorsal image there is a Valentine shape. The visible pulmonary vessels are normal._x000D_
_x000D_
Mediastinum and pleural space: There is increased pericardial and ventral pleural fat. There is some gas in the cranial oesophagus._x000D_
_x000D_
Musculoskeletal findings: No significant abnormalities are detected._x000D_
_x000D_
Included abdomen: There is increased gas in the stomach and small intestines.</t>
  </si>
  <si>
    <t>1. The findings are suspicious of hypertrophic cardiomyopathy with cardiogenic pulmonary oedema. Alternatively, the cardiomegaly is partially due to stage of contraction and pericardial fat. _x000D_
2. The bronchointerstitial opacification is most likely due to cardiogenic pulmonary oedema, however lower airway infectious-inflammatory disease, feline asthma, less likely heartworm or pulmonary fibrosis should be considered._x000D_
3. The increased intestinal gas is likely secondary to respiratory distress and aerophagia.</t>
  </si>
  <si>
    <t>Complete bloodwork if not already performed. 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_x000D_
Once stabilized, an echocardiogram is recommended. Exclude cardiac disease prior to any medication with corticosteroids._x000D_
Respiratory workup including CBC, serum chemistry, urinalysis, Baermann faecal testing, 4DX, +/- respiratory panel or fungal testing as indicated is advised.</t>
  </si>
  <si>
    <t>Study:_x000D_
Thoracic/abdominal radiography: three images dated June 8, 2024_x000D_
_x000D_
Findings:_x000D_
The cardiac silhouette and pulmonary vasculature are normal in size. The pulmonary parenchyma is unremarkable. The pleural space is normal. There is no intrathoracic lymphadenopathy. The trachea is normal in diameter and course. The stomach and small intestines contain unstructured heterogeneous/granular soft tissue material presumed to be ingesta. The small intestines are normal in size and course. The colon contains formed fecal material. The liver extends mildly beyond the costal arch with smooth and sharp margins. The spleen is normal in size and margin. The renal silhouettes are normal in size and contour. The urinary bladder is normal in size and opacity. The osseous structures are unremarkable.</t>
  </si>
  <si>
    <t>1. The mild hepatomegaly is nonspecific. Rule out individual normal variant, metabolic/vacuolar hepatopathy, hepatitis, lipidosis or infiltrative neoplasia. Correlate with any liver enzyme abnormalities._x000D_
2. The remainder the abdomen is unremarkable. A definitive cause of the weight loss is not evident. Consider abdominal sonography and a G.I. panel to further evaluate for an enteropathy._x000D_
3. Normal thorax.</t>
  </si>
  <si>
    <t>Three orthogonal radiographs of the abdomen dated 8th June 2024 are available for review. There are no previous radiographs available for comparison. _x000D_
_x000D_
Intra-abdominal findings: The stomach is moderately filled with granular food material. The small intestines are diffusely filled with gas and granular food material and some fluid. There is mild loss of serosal detail in the region of the small intestines. The colon is mildly distended with gas and semiformed faeces. The urinary bladder is normal. The kidneys are partially obscured by gastrointestinal contents, but the visible aspect are normal. The spleen is normal. The hepatic silhouette is normal._x000D_
_x000D_
Extra-abdominal findings: No significant abnormalities are detected._x000D_
_x000D_
Included thorax: No significant abnormalities are detected.</t>
  </si>
  <si>
    <t>The loss of serosal detail is a mild indicator of an inflammatory, or inflammatory- infectious transudate secondary to enteritis. Pancreatitis is possible. There is no evidence for a foreign body or segmental obstruction._x000D_
The moderate amount of granular food material within the stomach may be indicative of a recent meal. Alternatively, dietary indiscretion, soft tissue foreign material may be present. This needs to be correlated with time of feeding and last emesis.</t>
  </si>
  <si>
    <t>Observational/supportive management is advised. Consider abdominal ultrasound depending on clinical progression. Consider post fasting radiographs.</t>
  </si>
  <si>
    <t>Study:_x000D_
Thoracic radiography: right lateral and orthogonal views dated June 7,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larynx is normal. The included abdomen is normal. No skeletal abnormalities are present. There is subcutaneous emphysema along the dorsum presumably from prior subcutaneous medication administration.</t>
  </si>
  <si>
    <t>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 if the patient fails to respond to antibiotic therapy.</t>
  </si>
  <si>
    <t>Three radiographs of the thorax are provided. The cardiac silhouette and pulmonary vessels are normal size and shape. There is a mild bronchial pattern throughout the lungs. No pleural effusion or intrathoracic lymphadenomegaly. The cranial abdomen is unremarkable.</t>
  </si>
  <si>
    <t>Mild bronchial pattern most consistent with chronic airway inflammation such as asthma.</t>
  </si>
  <si>
    <t>A CBC and treatment for allergic airway disease should be considered.</t>
  </si>
  <si>
    <t>Three radiographs of the thorax/abdomen are provided. The cardiac silhouette is normal size and shape. There is a mild bronchial pattern throughout the lungs. Fat deposition ventral to the heart on the lateral views. No pleural effusion._x000D_
_x000D_
In the abdomen the spleen is enlarged with smooth margins. Normal-sized liver and kidneys. The gastrointestinal tract is mildly filled. Several punctate mineral densities in the intestines, incidental. No radiopaque urolithiasis. Osseous structures are unremarkable.</t>
  </si>
  <si>
    <t>1. Splenomegaly. In a feline patient this is significantly concerning for neoplasia such as lymphoma or mast cell. An inflammatory process is given secondary consideration. Sedation could potentially cause this appearance. Otherwise normal abdomen._x000D_
2. Mild bronchial pattern suggestive of chronic airway inflammation such as asthma. In the absence of respiratory signs, significance is doubtful.</t>
  </si>
  <si>
    <t>Recommend CBC, blood chemistry profile, abdominal ultrasound, and fine-needle aspirates of the spleen. Premedication with diphenhydramine would be recommended prior to aspirates.</t>
  </si>
  <si>
    <t>Patient name:  Luke Ritchie 
ABDOMEN (3 views; 3 images, [2 Lateral, 1 VD]) 
Images are dated June 6, 2024.
There are no previous radiographs for comparison. 
Liver: The liver is enlarged but retains smooth margins.
Spleen: The spleen is normal in size and shape with smooth margins. 
Kidneys and urinary bladder: Both kidneys are normal in size and shape with smooth margins. The urinary bladder is mildly fluid distended. No radiopaque urinary calculi are detected. 
GI: The stomach contains a moderate volume of gas with prominent rugal folds.   Variably the small intestines contain fluid or gas while maintaining normal diameter and distribution. No distinct radiopaque gastrointestinal foreign material is detected. Gas and fluid feces are noted in the colon. 
Abdominal detail: Serosal detail is adequate.  A moderate volume flaciform fat is identified. 
MSK: Visible musculoskeletal structures are within normal limits. 
Caudal thorax:  Epicardial fat is suspected.  A mild increase in bronchial opacity is observed.</t>
  </si>
  <si>
    <t>1) Appearance of the stomach and intestines is consistent with gastroenterocolitis (e.g. dietary indiscretion , infection, inflammation, etc.), and pancreatitis.  There is no evidence of a mechanical small intestinal obstruction.  
2) Hepatomegaly.  This is a non-specific finding with many differentials including: fat deposition/lipidosis, vacuolar hyperplasia, infection/inflammation, endocrine/metabolic disease, or neoplasia.   
3) Mild diffuse bronchial pattern.  Age related change versus underlying lower airway disease (e.g. feline asthma, allergic versus infectious bronchitis).</t>
  </si>
  <si>
    <t>CBC/chemistry, T4, and urinalysis +/- urine culture and sensitivity. Consider abdominal ultrasound if clinical signs persist or worsen.</t>
  </si>
  <si>
    <t>Patient name:  Django Bartlett 
ABDOMEN (3 views; 4 images, [2 Lateral, 2 VD]) 
Images are dated June 6, 2024.
There are no previous radiographs for comparison. 
Liver: The liver is normal in size and shape with smooth margins.
Spleen: The spleen is normal in size and shape with smooth margins. 
Kidneys and urinary bladder: Both kidneys are normal in size and shape with smooth margins. The urinary bladder is mildly fluid distended. No radiopaque urinary calculi are detected. 
GI: The stomach contains a small volume of gas and fluid with prominent rugal folds.   Variably the small intestines contain fluid or gas while maintaining normal diameter and distribution. No distinct radiopaque gastrointestinal foreign material is detected. Gas and semi-formed feces are noted in the colon. 
Abdominal detail: Serosal detail is predominantly normal but wispy soft tissue streaks are noted in the left craniodorsal abdomen, partially superimposing the spleen.  A moderate volume flaciform fat is identified. 
MSK: The musculoskeletal structures are within normal limits. 
Caudal thorax:  No abnormalities are detected in the visible cardiopulmonary structures of the thorax.</t>
  </si>
  <si>
    <t>1) Appearance of the stomach and intestines is consistent with gastroenterocolitis (e.g. dietary indiscretion, infectious/inflammation, parasitism, etc.).  Soft tissue wisps in the left craniodorsal abdomen concerning for pancreatitis.  There is no evidence of a mechanical small intestinal obstruction.</t>
  </si>
  <si>
    <t>CBC/chemistry, fPL, T4, and urinalysis.  Consider abdominal ultrasound if clinical signs persist or worsen.</t>
  </si>
  <si>
    <t>Thoracic and appendicular radiographs (10 images) dated June 6, 2024 and compared to whole body radiographs from October 30, 2023._x000D_
_x000D_
_x000D_
The cardiac silhouette is normal in size and shape (VHS 7.1). The pulmonary vasculature and great vessels are within normal limits. The pulmonary parenchyma has a diffuse bronchial pattern that is similar to the prior study, in addition to volume loss of the right middle lung lobe and a mediastinal shift to the right on the VD projection. No pulmonary nodules or masses are identified. No intrathoracic lymphadenopathy is evident. The trachea is normal in diameter and course with gas filling its lumen. The pleural space, mediastinum, and diaphragm are normal._x000D_
_x000D_
Motion artifact affects the lateral view of the right thoracic limb. Without limitation, no obvious abnormalities are appreciated. No abnormalities are detected in the shoulders, elbows, carpi, mani, and nonarticular portions of the long bones._x000D_
_x000D_
Both hips have adequate acetabular coverage and normal congruity without degenerative or other pathologic changes noted. The sacroiliac joints, pelvic bones, and trochanters are normal. No abnormalities are detected in the stifles, tarsi and pes. Pelvic limb muscle volume is bilaterally subjectively adequate. _x000D_
_x000D_
The vertebral column is unremarkable with no evidence of disc space narrowing, osseous degenerative changes, subluxations, fractures, or aggressive processes.</t>
  </si>
  <si>
    <t>1. Normal cardiovascular structures with no evidence of heart failure._x000D_
2. Static moderate bronchitis with bronchial plugging resulting in chronic alveolar collapse and atelectasis of the right middle lung lobe. Rule out eosinophilic/feline asthma vs. infectious (bacterial or parasitic [including heartworm]) vs. chronic inhaled irritants._x000D_
3. No osseous abnormalities are identified in the thoracic limbs, pelvis/hips, pelvic limbs, or vertebral column.</t>
  </si>
  <si>
    <t>Strict rest with anti-inflammatory and analgesic therapy if there is evidence of lameness or discomfort. Orthopedic consultation if the lameness persists._x000D_
_x000D_
Schedule echocardiogram._x000D_
_x000D_
For bronchial disease:_x000D_
Airway sampling may be needed for definitive diagnosis (bronchoalveolar lavage or transtracheal wash).  Heartworm testing and fecal parasite screening (float and Baermann).  Empirical anti-inflammatory steroidal therapy (fluticasone inhaler=ZZ90= systemic steroids are contraindicated in cardiac patients) +/- antibiotic therapy is reasonable to consider.  Internal medicine consultation if the patient remains clinical despite treatment and the cause remains unknown.</t>
  </si>
  <si>
    <t>Three radiographs of the thorax/abdomen are provided. Images dated 3/15/24 were reviewed. The cardiac silhouette continues to be upper normal size, lying flat along the sternum, normal for a patient of this age. Pulmonary vessels and caudal vena cava are normal size. A moderate bronchial pattern with peribronchial cuffing is again noted throughout the lungs. There are several smoothly irregular oblong soft tissue to faintly mineral densities overlying the heart on the lateral views. These measure up to 1.0 x 0.5 cm, similar to the previous study. On the VD projection there is a smoothly ovoid 0.8 x 0.6 cm soft tissue opaque nodule in the right 9th intercostal space. This is not seen on the previous VD view due to obliquity, but is present on the left lateral view, overlying the diaphragm. This is also unchanged in size. The right middle lung lobe remains collapsed. No pleural effusion or intrathoracic lymphadenomegaly. Normal tracheal diameter. In the abdomen there is large volume formed feces in the colon. The fecal column measures up to 4.0 cm diameter. The stomach and small bowel are minimally filled. Normal-sized liver, spleen, kidneys. The urinary bladder is markedly distended. Punctate mineral density overlying the urinary bladder is likely intestinal contents.</t>
  </si>
  <si>
    <t>1. Unchanged moderate bronchial pattern with peribronchial cuffing and right middle lung lobe collapse. This remains most consistent with heartworm disease or asthma._x000D_
2. The nodular structures in the lungs are also unchanged in size and number, and are most likely granulomas. Metastatic disease is given secondary consideration._x000D_
3. Possible constipation, otherwise normal abdomen.</t>
  </si>
  <si>
    <t xml:space="preserve">
1.This result detects a minimal to mild, or rarely moderate interstitial pulmonary pattern.  _x000D_
2.This result detects a mild to moderate bronchial pulmonary pattern._x000D_
3.Rarely, this result detects a minimal alveolar pulmonary pattern._x000D_
4.Rarely, this result detects pulmonary soft tissue nodules._x000D_
5.This result does not detect pulmonary vasculature enlargement._x000D_
6.This result does not detect pleural fissure lines/fluid.  _x000D_
7.This result detects equivocal/borderline to moderate cardiomegaly. </t>
  </si>
  <si>
    <t>Patient Name: POSTER DAVIS, Date of study: Jun 6, 2024
Feline Thorax (3 Images) - 1 Vd, 2 Lateral
There are no previous radiographs for comparison.
Findings:
Cardiovascular: The cardiac silhouette is normal in size and shape. The pulmonary arteries and veins are normal in size and are symmetrical.
Pulmonary parenchyma: There is mild diffuse bronchial pattern. There is no evidence of soft tissue opaque pulmonary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Cranial abdomen: The liver is normal in size and shape. The stomach contains a small volume of heterogeneous ingesta admixed with gas. There is adequate serosal detail.
Musculoskeletal: There is mild spondylosis deformans of the mid thoracic spine. There is intervertebral disc space narrowing of C2-3.</t>
  </si>
  <si>
    <t>1. There is a mild diffuse bronchial pattern consistent with lower airway inflammation. Differentials include feline asthma, infectious/inflammatory disease, bronchitis, and parasites (lung worms, heartworm).
2. Normal cardiovascular structures.</t>
  </si>
  <si>
    <t>-Empiric treatment for feline asthma could be considered.
-A Baermann fecal analysis and heartworm testing are recommended.
-Airway sampling (respiratory PCR, lavage, wash) could be considered to guide treatment.</t>
  </si>
  <si>
    <t>Study:_x000D_
Thoracic/abdominal radiography: three images dated June 6, 2024_x000D_
_x000D_
Findings:_x000D_
The cardiac silhouette and pulmonary vasculature are normal in size. There is a mild caudodorsal bronchial pulmonary pattern. The pleural space is normal. There is no intrathoracic lymphadenopathy. The trachea is normal in diameter and course. The stomach contains unstructured heterogeneous soft tissue material.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</si>
  <si>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The mild caudodorsal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Gastric contents likely represent ingesta. Foreign material cannot be completely excluded. The abdomen is otherwise unremarkable. Repeat fasted radiographs can be considered to monitor for gastric emptying if clinically relevant.</t>
  </si>
  <si>
    <t>Four radiographs of the thorax/abdomen are provided. The cardiac silhouette and pulmonary vessels are normal size and shape. The lungs are clear. There is no pleural effusion. No enlarged intrathoracic lymph nodes. In the abdomen the stomach is severely dilated with fluid and moderate volume gas. The descending duodenum and a few loops of proximal small bowel are severely fluid dilated. On the right lateral view in the mid ventral abdomen there is a focal rounded 1.5 cm area of soft tissue density stippled with gas along the caudal margin of one of the dilated loops of bowel. Remaining small bowel are minimally distended. Small volume of formed feces in the colon. No effusion. Normal-sized liver, spleen, kidneys. No radiopaque cystic calculi.</t>
  </si>
  <si>
    <t>Proximal small intestinal foreign material with mechanical obstruction. Normal thorax.</t>
  </si>
  <si>
    <t>Surgical intervention is recommended.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</si>
  <si>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kidneys are small with irregular margins.  The remaining abdominal organs are normal.</t>
  </si>
  <si>
    <t xml:space="preserve">
1.This result does not detect pulmonary vasculature enlargement._x000D_
2.This result detects equivocal/borderline to mild cardiomegaly. _x000D_
3.This result detects a minimal, or rarely mild interstitial pulmonary pattern.  _x000D_
4.This result detects a minimal to mild, or rarely moderate bronchial pulmonary pattern._x000D_
5.This result does not detect an alveolar pulmonary pattern._x000D_
6.This result does not detect pleural fissure lines/fluid.  </t>
  </si>
  <si>
    <t>Study:_x000D_
Thoracic radiography: three images dated June 15, 2024_x000D_
_x000D_
Findings:_x000D_
Excessive pericardial fat accentuates the cardiac silhouette on the VD view. The cardiac silhouette is normal in size (VHS approximately 7.5). There is incidental cranioventral rotation of the cardiac silhouette and redundancy of the aorta. The pulmonary vasculature is normal in size. There is a moderate generalized bronchial pulmonary pattern. The pleural space is normal. There is no intrathoracic lymphadenopathy. The larynx is normal. The trachea is normal in diameter. There is a small volume of gas in the esophagus. The stomach contains a small amount of heterogeneous soft tissue material presumed to be ingesta. There is mild multifocal thoracic spondylosis deformans. The patient is of obese body condition.</t>
  </si>
  <si>
    <t>Study:_x000D_
Thoracic radiography: right lateral and orthogonal views (two images) dated May 31, 2024_x000D_
_x000D_
Compared to prior study dated March 30, 2022_x000D_
_x000D_
Findings:_x000D_
The cardiac silhouette is increased in size from the previous exam in is now moderately enlarged (VHS approximately 9.5). The pulmonary vasculature is normal in size. The bronchial pulmonary pattern has also increase in severity and is now moderate. The pleural space is normal. There is no intrathoracic lymphadenopathy. The trachea is normal in diameter. The stomach contains heterogeneous soft tissue material presumed to be ingesta. The liver is enlarged in comparison to the prior exam extending beyond the costal arch with smooth and sharp margins. The osseous structures are unremarkable.</t>
  </si>
  <si>
    <t>1. Moderate generalized cardiomegaly. Hypertrophic cardiomyopathy is most likely. Echocardiography should be considered for further evaluation._x000D_
2. Progressive generalized bronchial pulmonary pattern. Rule out allergic/inflammatory bronchitis (asthma). Infectious, inhaled irritant and parasitic etiologies cannot be completely excluded. Airway sampling plus/minus heartworm testing and Baermann fecal flotation can be considered for further evaluation._x000D_
3. The generalized hepatomegaly is nonspecific. Rule out metabolic/vacuolar hepatopathy, hepatitis, congestion or infiltrative neoplasia. Correlate with any liver enzyme abnormalities. Sonography can be considered for further evaluation if clinically relevant.</t>
  </si>
  <si>
    <t>The apparent lower disease may not be related to the chronic nasal discharge. Consider computed tomography of the head/rhinoscopy for further evaluation of the upper respiratory signs.</t>
  </si>
  <si>
    <t>Opposite lateral and ventrodorsal thoracic radiographs (3 images) dated June 5, 2024._x000D_
_x000D_
_x000D_
The cardiac silhouette, pulmonary vasculature, and great vessels are within normal limits. The pulmonary parenchyma is a mild diffuse bronchial pattern. No pulmonary nodules, masses, or other pathology is affected. The pleural space and diaphragm are normal. No mediastinal abnormalities are appreciated. The trachea is normal in diameter and course with gas filling its lumen. No intrathoracic lymphadenopathy is evident. The liver, ingesta filled stomach, and cranial peritoneal detail are normal. No aggressive or clinically significant osseous pathology is identified.</t>
  </si>
  <si>
    <t>Bronchitis. Rule out eosinophilic/feline asthma vs. infectious (bacterial or parasitic [including heartworm]) vs. chronic inhaled irritants.</t>
  </si>
  <si>
    <t>2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and are cranially displaced.  Fat is present in the mid to caudal abdomen causing this displacement..  Gas and feces are present in the colon.  The urinary bladder is moderately distended.  The remaining abdominal organs are normal.</t>
  </si>
  <si>
    <t>Intra-abdominal fat causing intestinal displacement.  An intra-abdominal lipoma with poorly defined margins is considered most likely.  Radiographically normal thorax for patient of this age.</t>
  </si>
  <si>
    <t>Three orthogonal thoracic radiographs dated 5th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pulmonary vasculature is normal. The caudal pulmonary vasculature on the right is mildly prominent. The caudal vena cava is normal. The aorta and mainstem pulmonary artery have a normal outline in the vd/dv l image._x000D_
_x000D_
Mediastinum and pleural space: No significant abnormalities are detected. There is mild increased pericardial fat._x000D_
_x000D_
Abdomen: No significant abnormalities are detected._x000D_
_x000D_
Musculoskeletal findings: No significant abnormalities are detected.</t>
  </si>
  <si>
    <t>Normal thorax. There is no evidence for cardiomegaly, however early hypertrophic cardiomyopathy can be present without any radiographic signs. The murmur reported is most likely a physiologic murmur, or a compensated valvular disease such as myxoid degeneration of the mitral valve or early hypertrophic cardiomyopathy.  The prominence of caudal right pulmonary vessels may be due to normal phase of contraction, heart worm, pulmonary hypertension.</t>
  </si>
  <si>
    <t>Radiography is insensitive for early cardiac insufficiency, therefore ECG, blood pressure measurements, and echocardiography may be considered for further evaluation, or baseline measurements.</t>
  </si>
  <si>
    <t>Three radiographs of the thorax, and three views of the abdomen are provided. The cardiac silhouette and pulmonary vessels are normal size and shape. There are no abnormalities in the pulmonary parenchyma. No pleural effusion or esophageal abnormalities. Normal tracheal diameter._x000D_
_x000D_
In the abdomen there is no effusion. Small volume gas in the stomach. Small intestines are diffusely moderate to severely distended with a mixture of fluid and gas. Small intestines appears thickened, however must be interpreted with caution, as fluid-gas interface can mimic wall thickening. Small volume formed feces fills the colon. No radiopaque gastrointestinal foreign material. Normal-sized liver, spleen, kidneys. No radiopaque urolithiasis.</t>
  </si>
  <si>
    <t>Small intestinal functional ileus, a nonspecific finding that may be due to stress/discomfort, metabolic abnormality, primary gastrointestinal disorder. Otherwise normal abdomen and thorax.</t>
  </si>
  <si>
    <t>Full abdominal ultrasound is recommended.</t>
  </si>
  <si>
    <t xml:space="preserve">Patient Name : Ella Nelson, Date of study: Jun 5, 2024
6 images are provided for review
Feline Thorax (6 Images) - 2 Vd, 4 Lateral
There are no previous radiographs for comparison.
Pulmonary parenchyma: A ]mild diffuse bronchial pattern is present.The lungs are slightly or mildly hyperinflated with slight flattening of the diaphragm in the lateral image, increased distance between the cardiac silhouette and diaphragm, and slight tenting of the diaphragm in the ventrodorsal image.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</si>
  <si>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1. Mild diffuse bronchial pulmonary pattern and slight hyperinflation such as from infectious/immune-mediated lower airway disease (feline asthma with/without mycoplasma spp., bordetella spp., parasitism, or inhaled allergen/irritant) and air-trapping, or unlikely other.
2. There is no current evidence of cardiomegaly.</t>
  </si>
  <si>
    <t>Consider airway sampling, respiratory PCR panel, routine blood work, and fecal analysis/empirical deworming for further evaluation.  Consider empirical therapy/supportive care for suspected feline asthma and cough in the interim as needed.  Monitoring as directed or sooner if clinical signs acutely change, fail to improve or worsen.</t>
  </si>
  <si>
    <t>Study:_x000D_
Thoracic/abdominal radiography: three images dated June 5,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presumed to be ingesta with a small amount of interspersed granular mineral. Similar mineral is seen in some small intestinal segments and interspersed within the formed fecal material of the colon. The small intestines are normal in size and course. The liver and spleen are normal in size and margin. The renal silhouettes are normal in size and contour. The urinary bladder is normal in size and opacity. No skeletal abnormalities are present.</t>
  </si>
  <si>
    <t>1. The generalized bronchial pulmonary pattern likely indicates allergic/inflammatory bronchitis (asthma). Infectious, parasitic and irritant bronchitis are also possible. Airway sampling, heartworm testing and Baermann fecal flotation can be considered for further evaluation. Alternatively, a treatment trial for asthma can be considered._x000D_
2. The granular mineral the gastrointestinal tract may be an incidental finding depending on the contents of the patient=ZZ91=s normal diet and treats or may indicate dietary indiscretion. The abdomen is otherwise unremarkable.</t>
  </si>
  <si>
    <t xml:space="preserve">
1.This result detects no cardiomegaly to equivocal/borderline cardiomegaly. _x000D_
2.This result does not detect pulmonary soft tissue nodules._x000D_
3.This result does not detect pulmonary vasculature enlargement._x000D_
4.Rarely, this result detects minimal pleural fissure lines/fluid._x000D_
5.This result detects a minimal, or rarely mild interstitial pulmonary pattern._x000D_
6.This result detects a minimal  mild, or rarely moderate bronchial pulmonary pattern._x000D_
7.Rarely, this result detects a minimal alveolar pulmonary pattern.</t>
  </si>
  <si>
    <t>Patient Name : Kitty Pie Crocker, Date of study: Jun 4, 2024
3 images are provided for review
Feline Thorax (3 Images) - 2 Lateral, 1 Vd
There are no previous radiographs for comparison.
Findings:
Musculoskeletal: There is moderate subcutaneous emphysema and soft tissue swelling dorsal to the thoracic and cranial lumbar spine and along the left thoracic and cranial abdominal wall. Emphysema is most severe dorsal to T12. The left 11th rib is fractured and moderately displaced cranially and proximally. There is moderate spondylosis deformans of T6-7 and T8-9. There is kyphosis at the level of T12-13.
Pleural space: Subcutaneous emphysema superimposed with the cranioventral thorax and mid caudal thorax. There is mild widening of the pleural fissure between the caudal subsegment of the left cranial and left caudal lung lobes.
Cardiac silhouette: The cardiac silhouette is normal in size and shape.
Pulmonary vessels: The pulmonary arteries and veins are within normal limits.
Pulmonary parenchyma: There is a subtle interstitial pattern at the level of the left 11th rib. The pattern is parallel to the ribs and fills the 10th intercostal space on the lateral views.
Mediastinum: The mediastinum is normal in width. There is a cluster of emphysema superimposed with the cranial mediastinum (thought to be subcutaneous and superimposed versus mediastinal).
Trachea: The trachea is normal in diameter and course.
Esophagus: The region of the esophagus is within normal limits.
Cranial abdomen: There is normal detail in the cranial abdomen. A pneumoperitoneum is not identified.</t>
  </si>
  <si>
    <t xml:space="preserve">1. Moderate subcutaneous emphysema and left 11th rib fracture. 
2. Suspected mild pulmonary contusion of the left caudal lung lobe (vs. superimposed soft tissue swelling). 
3. Superimposed subcutaneous emphysema with the cranial mediastinum. Small volume of pneumomediastinum cannot be excluded but is thought to be less likely.
4. Suspected minimal pleural effusion (likely clinically insignificant). </t>
  </si>
  <si>
    <t>Medical and surgical management for the traumatic lacerations are recommended. If respiratory distress develops, recheck thoracic radiographs would be recommended.</t>
  </si>
  <si>
    <t>A three view thoracoabdominal study is provided for interpretation._x000D_
_x000D_
There is a moderate to severe diffuse bronchial pattern with a mild to moderate interstitial component. No alveolar infiltrates are seen in the lungs. No thoracic lymphadenopathy or pleural effusion is identified. The cardiovascular structures are within normal limits._x000D_
_x000D_
The abdominal organs are unremarkable. No abnormalities are identified involving the GI tract. Abdominal serosal detail is normal._x000D_
No musculoskeletal abnormalities are identified.</t>
  </si>
  <si>
    <t>A moderate to severe bronchointerstitial pulmonary pattern is the only radiographic abnormalities. Relevance to the presenting complaint is unknown in the absence of coughing, dyspnea, or other more specific lung oriented clinical signs. Infectious bronchitis still be a primary differential._x000D_
_x000D_
Systemic infectious disease with pulmonary involvement including fungal or protozoal disease should also be considered._x000D_
No abdominal abnormalities that would explain the hypalbuminemia are identified. Parasitism, protein losing enteropathy, or protein losing nephropathy including pyelonephritis should be ruled out.</t>
  </si>
  <si>
    <t>Urinalysis and urine culture is recommended._x000D_
_x000D_
Serology for atypical infectious diseases should be considered._x000D_
_x000D_
Abdomen ultrasound could be considered if no other explanation for the fever is found.</t>
  </si>
  <si>
    <t xml:space="preserve">
1.This result detects equivocal/borderline to moderate cardiomegaly._x000D_
2.This result does NOT detect pleural fissure lines._x000D_
3.This result detects a minimal to mild bronchial pulmonary pattern._x000D_
4.This result detects a minimal to mild interstitial pulmonary pattern._x000D_
5.This result does NOT detect an alveolar pulmonary pattern._x000D_
6.This result does NOT detect pulmonary soft tissue nodules.</t>
  </si>
  <si>
    <t>Moderate bronchial pulmonary pattern consider pneumonitis most likely in a patient of this age but cannot rule out asthma, lungworm, atypical infection, bronchitis.</t>
  </si>
  <si>
    <t>A three view thoracoabdominal study is provided for interpretation._x000D_
_x000D_
There is a mild overall increase in small intestinal gas. No dilation or plication the intestine is seen. The stomach appears empty and contracted. No foreign bodies are identified in the GI tract. The other abdominal organs are within normal limits. Serosal detail is normal._x000D_
_x000D_
There is subtle ill defined opacity just renal to the heart, likely representing residual thymus tissue and pericardial fat. The cardiovascular structures are within normal limits. No pulmonary infiltrates are identified. No esophageal abnormalities are seen.</t>
  </si>
  <si>
    <t>Normal thorax._x000D_
_x000D_
Mildly increased small intestinal gas can be incidental or associated with enteritis. No foreign bodies or obstructive pattern are identified.</t>
  </si>
  <si>
    <t>Symptomatic therapy and supportive care for probable gastroenteritis is recommended.</t>
  </si>
  <si>
    <t>Four radiographs of the thorax/abdomen are provided. The cardiac silhouette is normal size. Pulmonary vessels are normal size. There are no abnormalities in the pulmonary parenchyma. No pleural effusion. Small volume gas in the esophagus is transient and incidental._x000D_
_x000D_
In the abdomen the liver is upper normal size to mildly enlarged. Both kidneys are smoothly ovoid and reduced in size. Normal-sized spleen. The stomach is minimally distended. Small intestines are mildly filled with fluid and gas. Small volume semi-formed feces in the colon. No radiopaque foreign material. The urinary bladder is mildly filled and soft tissue opaque. Narrowed T 13-L1 intervertebral disc space, of doubtful significance today.</t>
  </si>
  <si>
    <t>1. Possible prominent liver, consider hepatic lipidosis, acute inflammation, or neoplasia. No other definitive abnormalities are identified to explain the clinical signs and blood work abnormalities._x000D_
2. Reduced renal size, likely chronic renal disease._x000D_
3. Normal thorax.</t>
  </si>
  <si>
    <t xml:space="preserve">
1.This result detects mild or less commonly equivocal/borderline cardiomegaly. _x000D_
2.This result does not detect pulmonary vasculature enlargement._x000D_
3.This result detects a minimal to mild interstitial pulmonary pattern.  _x000D_
4.This result detects a minimal to mild, or uncommonly moderate bronchial pulmonary pattern._x000D_
5.Rarely, this result detects a mild alveolar pulmonary pattern._x000D_
6.This result does not detect pleural fissure lines/fluid.  </t>
  </si>
  <si>
    <t>Patient Name : Gus Brokvist, Date of study: Jun 4, 2024
7 images are provided for review
There are no previous radiographs for comparison.
Pulmonary parenchyma: A minimal to mild diffuse bronchial pattern is present.  A minimal interstitial pattern is suspected in the right cranial and middle lung lobes in the left lateral and ventrodorsal images.  This may be exacerbated by patient obliquity and rightward mediastinal shift in the ventrodorsal images.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A thin pleural fissure line that does not widen in the periphery of the lungs is only identified in one ventrodorsal image between the right middle and caudal lung lobes.  
Musculoskeletal: Mild dorsal curvature to the sternum at the 2nd/3rd/4th sternebrae.  The remaining included musculoskeletal structures are normal.
(amended on 06/06/2024 10:06)
This examination is compared to prior dated September 25, 2023.  These findings are similar to prior.</t>
  </si>
  <si>
    <t xml:space="preserve">1. Mild diffuse bronchial pattern.  
- Differential diagnoses include infectious/immune-mediated lower airway disease, fibrosis from prior disease/age-related changes, or unlikely other.
2. Minimal interstitial pattern in the right cranial and middle lung lobes due to artifact/atelectasis with/without bronchial plugging, versus evolving aspiration pneumonia, or unlikely other.
3. Suspected tangential beam artifact or pleural thickening/folding, or unlikely scant pleural fluid.  </t>
  </si>
  <si>
    <t xml:space="preserve">Consider empirical therapy and supportive care for infectious/immune-mediated lower airway disease and possible evolving pneumonia in the interim as needed.  Routine blood work, respiratory PCR panel may be contributory.  Consider abdominal imaging for further evaluation of reported recent vomiting, if not recently performed. Monitoring as directed, or sooner if clinical signs acutely change, fail to improve or worsen in the face of empirical therapy.  </t>
  </si>
  <si>
    <t xml:space="preserve">
1.This result detects mild to moderate cardiomegaly._x000D_
2.This result does NOT detect pleural fissure lines.  _x000D_
3.Rarely, this result detects a minimal alveolar pulmonary pattern._x000D_
4.This result detects minimal to mild, mixed interstitial and bronchial pulmonary patterns.</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</si>
  <si>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No esophageal dilation is seen.  Abdominal serosal detail is adequate in all quadrants.  The stomach contains a moderate amount of ingesta.  The small intestines are normal in size.  Gas and feces are present in the colon.  The urinary bladder is small.  Mineral is present in the right renal diverticula.  The proximal ureters are visible and more opaque than typical.  The remaining abdominal organs are normal.</t>
  </si>
  <si>
    <t>Right renal mineralization consistent with chronic change.  The degree of proximal ureteral visualization is consistent with mild dilation and may indicate diuresis or inflammation.  Radiographically normal thorax for patient of this age.</t>
  </si>
  <si>
    <t xml:space="preserve">Patient name: Recks Spencer. Date of study: 6/4/24. 5 thoracic radiographs (2 VDs and 3 Laterals), including portions of the forelimbs, are available for interpretation. No prior radiographs are available for comparison.
C-spine: The cervical disc spaces are narrowed on both the lateral and VD projections. No end-plate or vertebral lysis is noted. 
Forelimbs:
Joints: 
Shoulders: Minimal periarticular osteophyte formation affects the left shoulder. Mineralization overlies the region of the left bicipital groove. 
Elbows: Normal
Long bones: A mixed productive and destructive left scapular mass is present. The extraosseous soft tissue mass is best visualized on the left lateral projection and has overlying/internal stippled mineralization. On the lateral projection, the mass measures approximately L:10.6 cm, H: 8.1 cm. The mass involves the central portion of the scapula but does not appear to extend to the left shoulder joint. 
No additional long bone lesions are noted. 
Soft tissues: As mentioned above, a partially mineralized soft tissue mass is associated with the left scapula. 
Thorax: On one of the VD projections (time stamped 11:57:22 AM), sharply margined convex soft tissue opacities overlie the caudal lung tips bilaterally and the cranial abdomen. These soft tissue structures are not visualized on the lateral projections. </t>
  </si>
  <si>
    <t>1) Left shoulder soft tissue mass with scapular body lysis. DDx: primary soft tissue neoplasia with secondary osseous involvement vs. primary flat bone osteosarcoma with a secondary soft tissue component.
2) Soft tissue opacities overlying the caudal lung tips. The defined margin is suggestive of a pulmonary location but abdominal location abutting the lungs cannot be excluded. 
3) Left shoulder chronic mineralization. Cervical disc space narrowing. No end-plate or vertebral lysis noted.</t>
  </si>
  <si>
    <t>Pre-surgical CT with contrast evaluation of the mass and thorax. Full bloodwork and urinalysis prior to sedation or anesthesia for CT.</t>
  </si>
  <si>
    <t xml:space="preserve">Patient Name : Persephone Neely, Date of study: Jun 4, 2024
2 images are provided for review
There are no previous radiographs for comparison.  Ungloved human digits primary beam.
Liver: The liver is minimally to mildly enlarged with a slight caudal displacement of the gastric axis, and occupies at least 4 intercostal spaces.
Spleen: The spleen is moderate to severely enlarged, and extends into the right mid/caudal abdomen in the ventrodorsal image, and extends into the mid-ventral to caudal abdomen in the lateral image.  
Kidneys: The left kidney is at the lower limit of normal size in the ventrodorsal image, and otherwise normal. The right kidney is normal in the lateral image.
Retroperitoneum: Retroperitoneal detail is adequate.
Urogenital: The urinary bladder is small in size, homogeneous soft tissue, and smoothly marginated.
Peritoneum: Peritoneal detail is adequate.
Gastrointestinal tract: The stomach contains a moderate gas and heterogeneous soft tissue material.  Granular mineral is admixed with gastric contents.  Gas is in the pylorus in the left lateral image.
The small intestine contains mild gas and is uniform in size.
The colon contains mild mineralized/dessicated fecal material.  The colon is normal in size.
Musculoskeletal: The included musculoskeletal structures are normal.
</t>
  </si>
  <si>
    <t xml:space="preserve">1. Moderate-severe generalized splenomegaly due to extramedullary hematopoiesis, lymphoid hyperplasia, splenitis such as from FIP (dry form) or less likely tick-borne illnesses (mycoplasma spp.), or less likely evolving neoplasia (lymphosarcoma versus other) given patient age, or unlikely other.
2. Mild hepatomegaly.  
- Differential diagnoses include vacuolar hepatopathy, nodular hyperplasia, hepatitis/cholangiohepatitis or less likely evolving neoplasia such as metastatic carcinoma or lymphosarcoma.  
3. Granular mineral gastric foreign material likely from dietary indiscretion, without evidence of pyloric outflow obstruction.
4. Gastric material from recent meal versus gastritis/delayed gastric emptying, such as from dietary indiscretion.
5. Dessicated fecal material such as from systemic dehydration (possibly underlying renal disease versus other), or less likely due to dietary indiscretion.
6. Equivocal small left kidney, possibly from evolving chronic renal disease versus variation of normal/artifact.  </t>
  </si>
  <si>
    <t xml:space="preserve">Consider routine blood work, urinalysis and abdominal ultrasonography for further evaluation. Coagulation testing and splenic/hepatic tissue sampling may be contributory.  4DX testing may be contributory.  Empirical therapy and supportive care in the interim as needed.  Consider enema given dessicated appearing fecal contents.  Therapy for gastroenteritis in the interim may be beneficial.  Monitoring as directed, or sooner if clinical signs acutely change, fail to improve or worsen.  </t>
  </si>
  <si>
    <t>3 views of the thorax and abdomen are provided for review. There is a moderate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mineral opaque feces are present in the colon.  The urinary bladder is moderately distended.  The remaining abdominal organs are normal.</t>
  </si>
  <si>
    <t>Constipation.  Moderate bronchial pulmonary pattern.  Considerations include asthma, heartworm, lungworm, atypical infection, bronchitis.</t>
  </si>
  <si>
    <t>Patient Name: Casper Hamden, Date of study: Jun 3, 2024
4 images are provided for review
Feline Thorax (4 Images) - 3 Lateral, 1 Vd
There are no previous radiographs for comparison.
Findings:
Cardiac silhouette: The cardiac silhouette is normal in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gas-filled. The small intestines are diffusely normal in diameter and are predominantly gas-filled. The colon contains a small volume of formed feces and gas.
Liver: The liver is normal in size and shape.
Spleen: The spleen is within normal limits.
Urinary: The kidneys are normal in size, shape, and margination. The urinary bladder is mildly distended and normal in opacity.
Peritoneal space: There is adequate serosal detail.
Musculoskeletal: The patient's body habitus is reduced. The included skeletal and superficial soft tissue structures are otherwise normal.</t>
  </si>
  <si>
    <t>1. Normal thorax.
2. There is gas throughout the gastrointestinal tract. Aerophagia is prioritized; however functional ileus cannot be excluded. There is no evidence of a mechanical obstruction or mineral/metal opaque foreign body. 
3. Mild urinary bladder distention. Consider voluntary/stress retention versus urinary obstruction.</t>
  </si>
  <si>
    <t>CBC, biochemistry, urinalysis, and respiratory panel are recommended to screen for systemic disease which may be contributing to clinical signs. Medical management and supportive care are recommended to address the reported nasal discharge and hypovolemia.
If a urinary obstruction is clinically suspected, placing urinary catheter to confirm ureteral patency would be recommended.</t>
  </si>
  <si>
    <t>Orthogonal radiographs of the thorax are provided. The cardiac silhouette and pulmonary vessels are normal size. There is a mild bronchial pattern throughout the lungs. Increased opacity overlying the ventral heart on the lateral view is fat between lung lobes. There is no pleural effusion or intrathoracic lymphadenomegaly. No pulmonary nodules. Normal tracheal diameter. Incidental vertebral malformations in the mid thoracic spine. In the cranial abdomen the stomach is severely distended with fluid, numerous small mineral opaque fragments, and a few metal opaque wire-like fragments that measure up to 0.9 cm. These are of doubtful clinical significance today.</t>
  </si>
  <si>
    <t>Mild bronchial pattern, most consistent with airway inflammation. This could be due to infectious airway disease. Asthma is also possible.</t>
  </si>
  <si>
    <t>Consider symptomatic treatment for the cough. Treatment for asthma may be necessary.</t>
  </si>
  <si>
    <t xml:space="preserve">
1.This result detects equivocal/borderline to mild cardiomegaly._x000D_
2.Rarely, this result detects minimal to mild pulmonary vasculature enlargement._x000D_
3.This result detects a minimal to mild bronchial pulmonary pattern._x000D_
4.This results detects a minimal to mild interstitial pulmonary pattern._x000D_
5.Rarely, this result detects a minimal alveolar pulmonary pattern. _x000D_
6.Rarely,  this result detects minimal pleural fissure lines/fluid.  </t>
  </si>
  <si>
    <t>Four orthogonal thoracic radiographs dated 3rd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has a minimal bronchial pattern._x000D_
_x000D_
Cardiovascular findings: The cardiac silhouette is normal in shape, size and margination. The cranial and caudal pulmonary vasculature is normal. The caudal vena cava is normal. The aorta is mildly redundant consistent with age. The pulmonary artery is normal._x000D_
_x000D_
Mediastinum and pleural space: No significant abnormalities are detected._x000D_
_x000D_
Abdomen: No significant abnormalities are detected._x000D_
_x000D_
Musculoskeletal findings: No significant abnormalities are detected.</t>
  </si>
  <si>
    <t>The murmur reported is most likely a physiologic murmur, or a compensated valvular disease such as myxoid degeneration of the mitral or tricuspid valve. Early hypertrophic cardiomyopathy can be present without any radiographic signs._x000D_
_x000D_
The bronchial pattern is consistent with normal ageing.</t>
  </si>
  <si>
    <t>In absence of clinical signs indicative of cardiac disease, conservative management may be considered, alternatively with an acute onset murmur, and signs of exercise intolerance, echocardiography may be considered.</t>
  </si>
  <si>
    <t>4 images of the thorax are provided for review. There is a mild bronchial pattern in all lung lobes.  The cardiovascular structures are normal.  Thin pleural fissure lines are seen on the right lateral view.  The mediastinal structures are normal.  Cranial abdominal detail is adequate.  The abdominal structures included are normal.</t>
  </si>
  <si>
    <t>Scant pleural effusion.  Ultrasound-guided aspiration could be considered for analysis.  Consider BNP to rule out cardiac cause.  Mild bronchial pulmonary pattern.  Considerations include asthma, heartworm, lungworm, atypical infection, bronchitis.  Consider empiric therapy versus further diagnostics such as heartworm testing, Baermann fecal, airway sampling.</t>
  </si>
  <si>
    <t xml:space="preserve">
1.This result detects minimal/equivocal to moderate cardiomegaly._x000D_
2.Rarely, this result detects minimal to mild pleural fissure lines/fluid._x000D_
3.This result does NOT detect soft tissue pulmonary nodules._x000D_
4.This result detects minimal to mild, mixed interstitial and bronchial pulmonary patterns._x000D_
5.This result does NOT detect an alveolar pulmonary pattern.  </t>
  </si>
  <si>
    <t>Six orthogonal thoracic radiographs dated 3rd June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mixed bronchointerstitial opacification. There is more homogenous interstitial opacification of the right middle lung lobe. There is indentation of the right caudal lung lobe. There is rounding of the ventral and caudal dorsal lung lobes._x000D_
_x000D_
Cardiovascular findings: There is partial border effacement of the cardiac silhouette. The overall size is within normal limits. The pulmonary vasculature and mainstem vessels are poorly visible._x000D_
_x000D_
Mediastinum and pleural space: There is ventral and peripheral opacification consistent with some pleural effusion._x000D_
_x000D_
Musculoskeletal findings: Multiple caudal left-sided rib fractures are present affecting the 11th and 10th left ribs, as well as displacement of the mineralised rib cartilages and angulation of the xyphoid. The left thoracic wall contains gas lucencies and a severely thickened._x000D_
_x000D_
Included abdomen: No free gas lucencies are visible in the abdomen. The serosal detail is within normal limits.</t>
  </si>
  <si>
    <t>1. Multiple rib fractures (left 10th and 11th ribs) with body wall contusion and cellulitis and likely haematoma compressing the left caudal lung lobe. There is no evidence for pneumothorax at this stage. Likely pleural haemorrhage is present._x000D_
2. Likely multi sites of lung contusion/haemorrhage. Potential for development of ARDS.</t>
  </si>
  <si>
    <t>Intensive supportive management is advised, close monitoring for any respiratory distress and oxygen therapy as indicated. Repeat radiographs as clinically indicated.</t>
  </si>
  <si>
    <t xml:space="preserve">
1.This result detects equivocal/borderline to mild cardiomegaly._x000D_
2.This result detects a minimal to moderate bronchial pulmonary pattern._x000D_
3.This result detects a minimal to mild interstitial pulmonary pattern._x000D_
4.This result does NOT detect an alveolar pulmonary pattern. _x000D_
5.This result does NOT detect pleural fissure lines.  </t>
  </si>
  <si>
    <t>Three radiographs of the thorax, and three views of the abdomen are provided. The cardiac silhouette and pulmonary vessels are normal size and shape. There are no abnormalities in the pulmonary parenchyma or pleural space. No enlarged intrathoracic lymph nodes. Adequate tracheal diameter._x000D_
_x000D_
In the abdomen there is no peritoneal or retroperitoneal effusion. The urinary bladder is mildly filled and contains a smoothly marginated round 0.3 cm mineral opaque calculus, and possible few additional punctate calculi. No abnormalities along the viewable urethral plane. No medial iliac lymphadenomegaly. The kidneys, spleen, and liver are normal size. Large volume soft tissue opaque ingesta in the stomach. The intestines are mildly filled. Severe degenerative change in the right coxofemoral joint.</t>
  </si>
  <si>
    <t>Cystic calculus, of a size that is too large to pass the urethra. Possible few additional sand-like calculi. Subsequent cystitis is likely. There is no evidence of urethral obstruction. Otherwise normal abdomen and thorax.</t>
  </si>
  <si>
    <t>Consider diet modification in an effort to dissolve the calculi and prevent further formation. If unsuccessful, surgical retrieval may be necessary.</t>
  </si>
  <si>
    <t>Patient name: Smokey Wistinghause
THORAX (3 views, 3 images; [2 lateral, 1 VD]) &amp; ABDOMEN (3 views, 3 images; [2 lateral, 1 VD])
Images are dated June 3, 2024.
There are no previous radiographs for comparison. 
THORAX:
Airway/Pulmonary: The lungs are adequately inflated.  Diffusely throughout the lungs, a mild increase in bronchial opacity is observed.  In the cranial thorax on both lateral views, the ventral margin of the scapula is seen as a linear mineral opacity, oriented in a craniodorsal to caudoventral direction across the 1st -2nd (on the right lateral) or 2nd and 3rd (on the left lateral) intercostal spaces.  No distinct soft tissue pulmonary nodules are detected.  Tracheal and mainstem bronchial diameter is normal. 
Cardiovascular: The cardiac silhouette is at the upper limits of normal size and shape.  Mild epicardial fat is noted.  Pulmonary vessels are normal in width. 
Mediastinum: No lymph node enlargement is detected.  The caudal vena cava is normal in height.  
Pleural space: No pleural effusion is seen. 
Musculoskeletal: No abnormalities detected in the visible musculoskeletal structures.
ABDOMEN: 
Liver: The liver is normal in size and shape with smooth margins.
Spleen: The spleen is enlarged but normal in shape with smooth margins. 
Kidneys and urinary bladder: Both kidneys are normal in length but the right kidney is narrower.  Both kidneys have undulant margins but this is more severe on the right kidney.  Focal tiny mineral foci are seen in both kidneys.  The urinary bladder is minimally fluid distended. No radiopaque urinary calculi are detected. 
GI: The stomach contains a moderate volume of gas and amorphous soft tissue contents consistent with food. No gastric enlargement is seen. Variably the small intestines are empty or contain scant gas while maintaining normal diameter and distribution. No distinct radiopaque gastrointestinal foreign material is detected. Gas and formed feces are noted in the colon. 
Abdominal detail: A large volume of flaciform and retroperitoneal fat is present.  Serosal detail is adequate.  An elongated, irregularly marginated, soft tissue opacity is observed in all views between the stomach, left kidney, and spleen, consistent with the pancreas.   
MSK: Mild to moderate osteophytosis is observed at both coxofemoral joints.</t>
  </si>
  <si>
    <t>1) Mild diffuse bronchial pattern.  This is consistent with allergic / inflammatory bronchitis (e.g. feline asthma) as a cause of increased respiratory effort.  Infectious, parasitic and irritant bronchitis are also possible
2) Upper end of normal heart size.  Could indicate early hypertrophic cardiomyopathy or be artefactual secondary to epicardial fat. No evidence of pulmonary edema
3)  Gastric contents likely represent ingesta. Foreign material cannot be completely excluded. There is no evidence of a mechanical obstruction.
4)  Splenomegaly.  This is a non-specific finding with many differentials including: sedation, lymphoid hyperplasia, infection/inflammation, extra-medullary hematopoiesis, or (less likely) neoplasia.   
5) Chronic kidney disease.
6)  Bilateral hip osteoarthrosis.</t>
  </si>
  <si>
    <t>Respiratory workup including CBC, serum chemistry, urinalysis, Baermann fecal testing, +/- respiratory panel as indicated. Alternatively, empirical therapy for asthma, and removal of allergens and environmental irritants (i.e. smoke, dust, perfumes, etc.) can be considered._x000D_
_x000D_
CBC/chemistry,T4, and urinalysis recommended.  Consider abdominal ultrasound for further evaluation.</t>
  </si>
  <si>
    <t>3 views of the entire body are provided for review. There is a moderate bronchial pattern in all lung lobes.  The cardiovascular structures are normal.  The mediastinal and pleural structures are normal.  Abdominal serosal detail is adequate in all quadrants.  The stomach contains a small amount of gas and the rugal folds are prominent.  The small intestines are normal in size.  Gas and mineral opaque feces are present in the colon.  The urinary bladder is small.  The kidneys are below normal limits for size.  The remaining abdominal organs are normal.</t>
  </si>
  <si>
    <t>Constipation.  Small kidneys suggestive of chronic renal disease.  Prominent rugal folds suggestive of gastritis.  This does not rule out underlying pancreatitis or infiltrative neoplasia.  Abdominal ultrasound could be considered in further evaluation.  Moderate bronchial pulmonary pattern.  Considerations include asthma, heartworm, lungworm, atypical infection, bronchitis.  Consider empiric therapy versus further diagnostics such as heartworm testing, Baermann fecal, airway sampling.</t>
  </si>
  <si>
    <t>Three orthogonal survey radiographs of the thorax and abdomen dated 1st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 The thorax is mildly hyperlucent due to thin body habitus._x000D_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The patient is thin. _x000D_
_x000D_
Abdomen: The hepatic silhouette is normal. The stomach is mainly empty containing some gas. The small intestines are mildly dilated, mainly with gas, and some soft tissue opaque material. The colon is severely gas dilated with a tortuous appearance and some compacted faeces. The urinary bladder is small. There is mild loss of serosal detail. The kidneys are partially obscured by gastrointestinal contents, but the visible aspect are normal. The spleen is poorly visible.</t>
  </si>
  <si>
    <t>1. Likely megacolon secondary to peripheral neuropathy or idiopathic origin. The dilated small intestines may indicate a more diffuse intestinal disease such as IBD, food allergy, intestinal lymphoma. The loss of serosal detail is likely due to loss of body fat.</t>
  </si>
  <si>
    <t>A complete abdominal ultrasonographic examination is advised, with a view to FNA of abnormal organs, after complete blood work, and a normal coagulation panel. Await results of full blood work.</t>
  </si>
  <si>
    <t>Abdomen: There is moderate subcutaneous emphysema surrounding the abdomen.  The liver is diffusely enlarged.  There are no abnormalities involving the gastrointestinal tract or urinary tract.  There is a somewhat shallow like ovoid mineral opacity within the caudal left abdomen consistent with a benign Bate=ZZ91=s body.  Serosal detail is normal._x000D_
_x000D_
Thorax: There is a moderate diffuse peribronchial pattern.  The cardiac silhouette and pulmonary vasculature are unremarkable.  There is no evidence of lymphadenopathy or pleural effusion.</t>
  </si>
  <si>
    <t>Moderate subcutaneous emphysema of unknown etiology._x000D_
_x000D_
Diffuse hepatomegaly.  Differential considerations are numerous however may include a hepatopathy, hepatitis, or possible neoplasia._x000D_
_x000D_
Benign Bate=ZZ91=s body._x000D_
_x000D_
Diffuse peribronchial pattern which may reflect a lower airway inflammatory process such as feline asthma.</t>
  </si>
  <si>
    <t>Three radiographs of the thorax/abdomen are provided. The cardiac silhouette is normal size. Increased opacity cranioventral to the heart is likely incidental pleural fat deposition. No abnormalities in the pulmonary parenchyma. There is no pleural effusion. In the abdomen serosal detail is adequate. There is scant gas in the stomach. Small intestines are mild to moderately filled with a mixture of fluid and gas. No radiopaque gastrointestinal foreign material, intestinal bunching, or plication is present. Moderate volume formed feces in the distal colon. Normal-sized liver, kidneys, spleen. Medial iliac and inguinal lymph nodes are visible, normal for the young age of this patient. There is focal widening and curvature of a caudal proximal femur (laterality uncertain) consistent with previous fracture.</t>
  </si>
  <si>
    <t>Small intestinal functional ileus, a nonspecific finding that may be metabolic abnormality, stress/discomfort, enteritis. Partial obstruction is not ruled out. Small radiolucent gastric foreign material remains possible. The thorax is normal.</t>
  </si>
  <si>
    <t>A CBC, blood chemistry profile, and supportive care are recommended. Abdominal ultrasound should be considered. If vomiting is persistent/severe or if the patient becomes painful or lethargic, proceeding to exploratory surgery may be necessary.</t>
  </si>
  <si>
    <t>Five radiographs of the thorax/abdomen are provided. The cardiac silhouette is normal size and shape. Mild bronchial markings are present. Otherwise the lungs are clear. There is no pleural effusion. Small volume gas in the esophagus is transient and incidental. In the abdomen there is no peritoneal or retroperitoneal effusion. The stomach contains a small amount of formed soft tissue density. Small bowel are diffusely mildly filled with fluid and small volume gas. Small volume formed feces in the colon. Normal-sized liver, spleen, and kidneys. No radiopaque urolithiasis. Osseous structures are unremarkable.</t>
  </si>
  <si>
    <t>1. Gastric contents appears to be normal ingesta, however in light of the history, foreign material/trichobezoar is suspected. No other abdominal abnormalities._x000D_
2. Mild bronchial markings suggestive of chronic airway inflammation. In the absence of associated cough, significance is doubtful. Otherwise normal thorax.</t>
  </si>
  <si>
    <t>If the vomiting is persistent or if the patient is painful or markedly depressed, retrieval of gastric contents would be recommended. Gastroscopy should be considered. If the patient is not depressed or painful and vomiting is controlled, consider supportive care and repeat radiographs following a confirmed fast to confirm/rule out gastric foreign material.</t>
  </si>
  <si>
    <t>3 views of the abdomen are presented for review.  Serosal detail is adequate in all quadrants.  The stomach contains a large amount of ingesta.  The small intestines are normal in size, although several segments contain granular material.  Gas and feces are present in the colon.  The urinary bladder is small.  No mineral is seen associated with the urinary tract.  The remaining abdominal organs are normal.</t>
  </si>
  <si>
    <t>Granular small intestinal contents without evidence of obstruction.  This finding is likely incidental.</t>
  </si>
  <si>
    <t>Based on the history provided, urinalysis may be helpful.  Abdominal ultrasound could also be considered.</t>
  </si>
  <si>
    <t>Orthogonal radiographs of the thorax and of the abdomen are provided. The cardiac silhouette and pulmonary vessels are normal size and shape. There are no abnormalities in the pulmonary parenchyma. No pleural effusion. Transient gas dilated caudal esophagus, incidental. In the abdomen serosal detail is adequate. The stomach contains a moderate amount of formed soft tissue density, and a focal accumulation of small angular mineral opaque debris that measures up to 0.5 cm. Small intestines are diffusely moderately dilated with gas. There is gas in the proximal colon. The distal colon is minimally filled. The left kidney is reduced in size. The right kidney is obscured. No radiopaque urolithiasis.</t>
  </si>
  <si>
    <t>1. Soft tissue density within the stomach is concerning for foreign material/trichobezoar, although vomiting is typically present. Residual ingesta is next on the differential list. Small volume mineral opaque foreign material in the stomach, of a size that may or may not pass successfully. Small intestinal functional ileus, likely stress/discomfort or enteritis._x000D_
2. Reduced renal size consistent with chronic renal disease._x000D_
3. Normal thorax.</t>
  </si>
  <si>
    <t>Recommend CBC, blood chemistry profile, and repeat strictly fasted abdominal radiographs +/- positive contrast gastrogram to rule out persistent gastric foreign material.</t>
  </si>
  <si>
    <t xml:space="preserve">
1.This result does not detect pulmonary vasculature enlargement._x000D_
2.This result detects equivocal/borderline to mild cardiomegaly. _x000D_
3.This result detects a minimal to mild interstitial pulmonary pattern.  _x000D_
4.This result detects a minimal to mild bronchial pulmonary pattern._x000D_
5.This result does not detect an alveolar pulmonary pattern._x000D_
6.This result does not detect pulmonary soft tissue nodules._x000D_
7.This result does not detect pleural fissure lines/fluid.  </t>
  </si>
  <si>
    <t>Study:_x000D_
Thoracic/abdominal radiography: three images dated May 31, 2024_x000D_
_x000D_
Compared to prior study dated November 21, 2022_x000D_
_x000D_
Findings:_x000D_
The cardiac silhouette and pulmonary vasculature are normal in size. There is a static moderate generalized bronchial pulmonary pattern. The pleural space is normal. There is no intrathoracic lymphadenopathy. The trachea is normal in diameter and course. The stomach contains a small amount of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mineral opaque calculi are present in the bladder or region of the urethra. As previously noted, there are suture foci from prior ovariohysterectomy caudal to each kidney and situated between the descending colon/urethra. No skeletal abnormalities are present. The patient is of overweight body condition.</t>
  </si>
  <si>
    <t>1. Unremarkable abdomen. Test negative for urocystolithiasis. Urinalysis, plus/minus urine culture and abdominal sonography can be considered for further evaluation of the reported urinary issues._x000D_
2. Static moderate generalized bronchial pulmonary pattern, likely asthma.</t>
  </si>
  <si>
    <t xml:space="preserve">
1.This result detects a minimal to mild bronchial pulmonary pattern._x000D_
2.Rarely, this result detects minimal to mild pulmonary vasculature enlargement._x000D_
3.Rarely,  this result detects minimal pleural fissure lines/fluid.  _x000D_
4.This result detects equivocal/borderline to mild, or rarely moderate cardiomegaly._x000D_
5.This results detects a minimal to mild interstitial pulmonary pattern._x000D_
6.Rarely, this result detects a minimal to moderate alveolar pulmonary pattern. </t>
  </si>
  <si>
    <t>Orthogonal radiographs of the thorax, and three views of the abdomen are provided. The cardiac silhouette is reduced in size. Pulmonary vessels are normal size. There are no abnormalities in the pulmonary parenchyma. Hazy increased opacity cranioventral to the heart is fat deposition. Normal tracheal diameter. No esophageal dilation._x000D_
_x000D_
In the abdomen the stomach is severely dilated with fluid and gas. Small intestines are moderate to severely filled with a mixture of fluid and gas. There is a loop of dilated bowel in the mid lateral right abdomen that contains soft tissue density stippled with gas. The distal colon is filled with gas and small volume formed feces. Serosal detail is adequate. The left kidney is normal size. The right kidney is incompletely visible. Punctate nephroliths are likely incidental. No radiopaque cystic calculi.</t>
  </si>
  <si>
    <t>1. Stippled soft tissue density within a loop of bowel is concerning for small intestinal obstruction. This may be feces in the proximal colon. Moderate to severely dilated small bowel may be obstruction, metabolic abnormality, or enteritis._x000D_
2. Severely dilated stomach, consider stasis versus pyloric or intestinal obstruction._x000D_
3. Hypovolemia otherwise normal thorax.</t>
  </si>
  <si>
    <t>With the severity and chronicity of clinical signs, exploratory surgery is recommended.</t>
  </si>
  <si>
    <t>WHOLE-BODY (5 total radiographs for review). No previous for comparison._x000D_
_x000D_
- Peritoneal serosal detail is adequate_x000D_
- The stomach contains mild gas and gas-stippled soft-tissue opaque material_x000D_
- The small intestine contains moderate multifocal gas and minimal soft-tissue opaque material_x000D_
- The colon contains gas, soft-tissue/fluid and minimal formed fecal material. In the descending portion there is small accumulation of mineral._x000D_
- The liver, spleen, kidneys and urinary bladder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No musculoskeletal abnormalities are noted.</t>
  </si>
  <si>
    <t>1. A discrete radiographic cause for the reported clinical signs is not clearly identified. The tracheal, bronchopulmonary structures and ribs are normal. If this patient=ZZ91=s clinical signs worsen or do not improve despite medical management, it may be worthwhile to consider internal medicine consultation and/or thoracic CT for further assessment._x000D_
_x000D_
2. Relatively unremarkable abdomen with mild aerophagia. The empty appearance of the colon could be compatible with a nonspecific generalized functional ileus such as colitis.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</si>
  <si>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right kidney is small with irregular margins.  The remaining abdominal organs are normal.</t>
  </si>
  <si>
    <t>Chronic renal changes on the right.  Lack of specific gastrointestinal changes does not rule out pancreatitis or infiltrative neoplasia.  Abdominal ultrasound could be considered.  Radiographically normal thorax for patient of this age.</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</si>
  <si>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gas.  The small intestines are diffusely gas distended.  Gas and feces are present in the colon.  The urinary bladder is small.  The remaining abdominal organs are normal.</t>
  </si>
  <si>
    <t>Diffuse gastrointestinal dilation suggestive of functional ileus.  Underlying pancreatitis, infiltrative neoplasia, or gastroenteritis could be considered.  Abdominal ultrasound may be helpful.  Radiographically normal thorax for patient of this age.</t>
  </si>
  <si>
    <t>Five radiographs of the thorax are provided. Images dated 2/12/24 were reviewed for comparison. The heart lies flat along the sternum, an incidental aged feline variant. This results in aortic knob appearance on the VD projection. There is prominence of the left ventricle on the lateral views. Pulmonary vessels are normal size. There is no pleural effusion. There is no enlarged intrathoracic lymph nodes. The cranial abdomen is unremarkable.</t>
  </si>
  <si>
    <t>Prominent left ventricle, concerning for cardiomyopathy. There is no evidence of heart failure. The thorax is otherwise normal. A reason for intermittent cough is not identified.</t>
  </si>
  <si>
    <t>An echocardiogram is recommended. Cardiac proBNP evaluation is another option to confirm underlying cardiac disease.</t>
  </si>
  <si>
    <t xml:space="preserve">
1.This result detects a minimal to mild, or rarely moderate interstitial pulmonary pattern.  _x000D_
2.This result detects a minimal to mild, or rarely moderate bronchial pulmonary pattern._x000D_
3.Rarely, this result detects a minimal to mild alveolar pulmonary pattern._x000D_
4.This result does not detect pulmonary vasculature enlargement._x000D_
5.This result does not detect pleural fissure lines/fluid.  _x000D_
6.This result detects equivocal/borderline to mild cardiomegaly. </t>
  </si>
  <si>
    <t xml:space="preserve">Patient Name : Merlin Toth, Date of study: May 31, 2024
3 images are provided for review
Feline Thorax (3 Images) - 2 Lateral, 1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mildly tall in the lateral images, best identified in the left lateral image.  The cardiac silhouette is equivocally rounded in the ventrodorsal image, possibly exacerbated by obliquity.  
Mediastinum: The cranial mediastinum is normal.
Trachea: The trachea is normal.
Esophagus: The esophagus is not well-identified.
Pleural space: The pleural space is normal.
Musculoskeletal: The included musculoskeletal structures are normal.
</t>
  </si>
  <si>
    <t>1. Mild generalized cardiomegaly.
- Given the age of this patient, a congenital anomaly such as mitral valve dysplasia and atrial/ventricular septal defect is prioritized over acquired cardiomyopathy, or other.
2. Mild diffuse bronchial pulmonary pattern.
- Differential diagnoses include fibrosis from prior disease, age-related changes, infectious/immune-mediated lower airway disease, or unlikely evolving cardiogenic pulmonary edema or other.</t>
  </si>
  <si>
    <t xml:space="preserve">Echocardiography, ECG, and blood pressure, as well as routine blood work and urinalysis if not recently performed.  Rule out heartworm disease if endemic and depending on preventative/exposure status.  Diuretic therapy, oxygen therapy, and monitoring with serial thoracic radiographs if dyspnea manifests acutely.  Monitoring as directed, or sooner if signs acutely change or worsen.  </t>
  </si>
  <si>
    <t xml:space="preserve">Patient Name : Pepper Smith, Date of study: May 31, 2024
3 images are provided for review
There are no previous radiographs for comparison.
Liver: The liver is subjectively normal in size.
Spleen: The spleen is equivocally enlarged in the ventrodorsal image, and extends into the mid- to caudal left abdomen.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mild fluid or is empty and is subjectively within normal limits for size.  No obvious pyloric gas is identified.
The small intestine contains fluid or is empty with a subjectively uniform population for size. 
The colon contains mild gas and/or heterogeneous soft tissue material and gas.  The colon is normal in size.  
Musculoskeletal: The included musculoskeletal structures are normal.
</t>
  </si>
  <si>
    <t>1. Mild non-specific gastrointestinal tract changes such as from gastritis/gastroenteritis versus variation of normal.
- If present, enteritis/gastritis may be due to dietary indiscretion, toxin ingestion, diet/antibiotic responsive disease, inflammatory bowel disease, parasitism/primary infectious disease, or unlikely other.
2. Equivocal splenomegaly.  
- Differential diagnoses include artifact/variation of normal, passive congestion from sedation (if administered), extramedullary hematopoiesis, lymphoid hyperplasia metaplasia, or unlikely neoplasia.</t>
  </si>
  <si>
    <t xml:space="preserve">Etiology of the reported intermittent vomiting is not definitively identified.  Consider repeat abdominal radiographs after 8-12 hours of fasting for further evaluation.  Consider routine blood work, GI panel, fecal analysis/deworming for further evaluation.  Diet elimination trial may be contributory.   Consider abdominal ultrasonography for further evaluation of the gastrointestinal tract and spleen if clinically indicated.   Empirical therapy and supportive care in the interim as needed.  </t>
  </si>
  <si>
    <t>Three radiographs of the thorax, and a lateral view of the abdomen are provided. The cardiac silhouette is upper normal size. Pulmonary vessels are normal size. Soft tissue bulge along the cranial left aspect of the heart on the VD view is incidental aortic knob. There are no abnormalities in the pulmonary parenchyma. No pleural effusion. Normal tracheal diameter. In the abdomen the stomach contains a large amount of soft tissue density stippled with gas. Small bowel are mildly gas-filled. Formed feces fills the colon. Serosal detail is adequate. The liver is normal size. One of the kidneys is visible and is normal size. The other kidney is obscured. The spleen is prominent. No radiopaque urolithiasis. Spondylosis deformans in the caudal lumbar spine is likely incidental.</t>
  </si>
  <si>
    <t>1. No definitive cardiovascular abnormalities. Underlying cardiomyopathy remains possible. There is no evidence of heart failure. Otherwise normal thorax._x000D_
2. Prominent spleen, consider incidental positional variant, inflammation, or neoplasia.</t>
  </si>
  <si>
    <t>With the murmur, an echocardiogram should be considered. Cardiac proBNP evaluation is another option to investigate for evidence of underlying cardiac disease. Ultrasound evaluation of the spleen could be considered.</t>
  </si>
  <si>
    <t>Patient name: Kickstand Boller-Morrow 
ABDOMEN (2 views; 2 images, [1 Lateral, 1 VD]) 
Images are dated May 31, 2024.
There are no previous radiographs of the abdomen for comparison. 
Images of the thorax are included in the study but were not evaluated.  
Liver: The liver is normal in size and shape with smooth margins.
Spleen: The spleen is normal in size and shape with smooth margins. 
Kidneys and urinary bladder: Both kidneys are normal in size and shape with smooth margins. The urinary bladder is mildly fluid distended. No radiopaque urinary calculi are detected. 
GI: The stomach contains a small volume of gas without enlargement. Variably the small intestines contain fluid or gas.  There is no pathologically dilated loops. No distinct radiopaque gastrointestinal foreign material is detected. Gas and non- formed feces are noted in the colon. 
Abdominal detail: Serosal detail is adequate. 
MSK: Visible musculoskeletal structures are within normal limits. 
Caudal thorax: No abnormalities are detected in the visible cardiopulmonary structures of the thorax.</t>
  </si>
  <si>
    <t>The gastrointestinal tract is unremarkable. Non-specific enterocolitis (e.g. dietary indiscretion, infection, inflammatory bowel disease, neoplasia) should be considered.  Pancreatitis is also possible. No evidence of mechanical obstruction.</t>
  </si>
  <si>
    <t>CBC, serum chemistry, T4, urinalysis, and fecal testing recommended._x000D_
Consider abdominal ultrasound based on results, or if clinical signs persist or worsen despite medical management.</t>
  </si>
  <si>
    <t>WHOLE-BODY (5 total radiographs for review). No previous for comparison._x000D_
_x000D_
- Excessive body habitus._x000D_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There are multiple tiny mineral opaque foci superimposed over the kidneys bilaterally, and the renal margins are fairly small and irregular._x000D_
- The liver, spleen and urinary bladder are normal._x000D_
- There is a generalized widening of the cranial mediastinum evident._x000D_
- The cardiac silhouette and pulmonary vasculature are normal._x000D_
- Mild right sided unstructured interstitial pulmonary pattern._x000D_
- Mild narrowing of the trachea in the thoracic inlet region on the lateral projection._x000D_
- The esophagus and remainder of the mediastinum is/are normal._x000D_
- The pleural space and remaining intrathoracic structures are normal._x000D_
- No musculoskeletal abnormalities are noted.</t>
  </si>
  <si>
    <t>1. A discrete radiographic cause for the reported vomiting is not clearly identified. The gastrointestinal tract is overall fairly non-distended  and unremarkable.  No obvious foreign material, masses or obstruction is/are appreciated. Radiographic sensitivity can be limited, and you may consider complete abdominal ultrasonography for further assessment._x000D_
_x000D_
2. Bilateral nephrolithiasis and irregular renal margins, likely compatible with degenerative renal disease._x000D_
_x000D_
3. Narrowing of the tracheal lumen on the right lateral projection could be artifactual, however may indicate a component of tracheal collapse in the patient if there is a history of coughing. It may be related to the patient=ZZ91=s excessive body habitus._x000D_
_x000D_
4. Widening of the cranial mediastinum most likely due to excessive fat deposition. A mediastinal mass or effusion is less likely._x000D_
_x000D_
5. Excessive body habitus.</t>
  </si>
  <si>
    <t>WHOLE-BODY (3 total radiographs for review). A previous examination is available for comparison from 2022._x000D_
_x000D_
- Peritoneal serosal detail is adequate_x000D_
- The stomach contains mild gas and gas-stippled soft-tissue opaque material_x000D_
- The small intestine is mostly homogeneously soft-tissue opaque and mildly diffusely distended._x000D_
- The colon contains gas, soft-tissue/fluid and formed fecal material._x000D_
- The liver, spleen, kidneys and urinary bladder are normal._x000D_
- The patient has a very prominent and rounded aortic root noted._x000D_
- The pulmonary vasculature is normal._x000D_
- The pulmonary parenchyma is normal_x000D_
- The trachea, esophagus and remainder of the mediastinum is/are normal._x000D_
- The pleural space and remaining intrathoracic structures are normal._x000D_
- No musculoskeletal abnormalities are noted, besides mild multifocal spondylosis deformans.</t>
  </si>
  <si>
    <t>1. The appearance of the stomach, small intestine and colon can be compatible with a non-specific generalized functional ileus (e.g. gastroenterocolitis or infiltrative bowel disease, such as IBD or lymphoma). There is no evidence of small intestinal foreign material or mechanical obstruction. If clinically indicated (such as if the patient does not improve or worsens despite medical management), abdominal ultrasonography might be considered._x000D_
_x000D_
2. Prominent aortic root. This can be an incidental finding in older cats, but does have an associated with systemic hypertension. There is no obvious cardiomegaly to indicate secondary concentric cardiac hypertrophy, however radiographic sensitivity can be limited. You may consider systemic blood pressure measurement in this patient, especially if a cardiac murmur is present._x000D_
_x000D_
3. Impending urination=ZZ90= less likely lower urinary tract obstruction.</t>
  </si>
  <si>
    <t>Three radiographs of the thorax/abdomen are provided. The cardiac silhouette is normal size on the right lateral view. The heart appears larger on the VD and left lateral view due to adjacent fat deposition. Pulmonary vessels and caudal vena cava are normal size. There are no abnormalities in the pulmonary parenchyma. No pleural effusion. In the abdomen the liver is mildly enlarged with smoothly irregular margins. Normal sized spleen and right kidney. The left kidney is smaller than the right. No radiopaque urolithiasis. The stomach and small bowel are minimally filled. Formed feces fills the colon. No osseous abnormalities.</t>
  </si>
  <si>
    <t>1. Hepatomegaly with smoothly irregular margins, significantly concerning for neoplasia. Hepatopathy or acute inflammation are given lesser consideration._x000D_
2. Reduced left renal size, likely chronic renal disease.</t>
  </si>
  <si>
    <t>Three radiographs of the thorax and three views of the abdomen are provided. The cardiac silhouette is normal size and shape. Pulmonary vessels and caudal vena cava are normal size. There are no abnormalities in the pulmonary parenchyma. No pleural effusion. Fat deposition separates the heart from the sternum on the lateral views. Normal tracheal diameter. No esophageal dilation._x000D_
_x000D_
In the abdomen there is a large volume soft tissue opacity stippled with gas filling the stomach. Small intestines are mildly filled with fluid and gas. Moderate volume of formed feces in the colon. No radiopaque foreign material. Normal-sized liver, kidneys, spleen. Ovoid soft tissue density overlying caudodorsal abdomen on the lateral views is normal splenic head. No radiopaque cystic calculi.</t>
  </si>
  <si>
    <t>Normal thorax and abdomen. Gastric contents appears to be normal ingesta. Foreign material is given much lesser consideration in the absence of vomiting.</t>
  </si>
  <si>
    <t>Recommend fasted abdominal ultrasound.</t>
  </si>
  <si>
    <t>Opposite lateral and VD views of the whole body are provided. There are six images total._x000D_
_x000D_
The cardiovascular structures are within normal limits. One tiny nodular shadow is seen in the caudal thorax at the ninth intercostal space in the right lateral thorax view. This cannot be corroborated in other views and is suspected to be a vascular artifact. The rest of the lung appears normal. No thoracic lymphadenopathy or pleural effusion is seen._x000D_
No abnormalities are identified specifically involving the head/skull or the soft tissues of the cervical region._x000D_
_x000D_
There is a small quantity of fragmented mineral density mixed with the ingesta in the stomach. The stomach is mildly dilated with gas and ingesta. The small intestine appears empty. There is normal appearing fecal material in the colon. Abdominal detail is reduced corresponding to the thin overall body condition of the patient and reduced intra-abdominal fat. No mass lesions or organomegaly are seen. Liver size is borderline._x000D_
_x000D_
There is mild ventral subluxation of the lumbosacral joint. The endplates are sclerotic and there is moderate lumbosacral spondylosis. No destructive bone lesions are seen.</t>
  </si>
  <si>
    <t>The patient has thin overall body condition consistent with the history. No mass lesions or evidence of metastatic neoplasia are seen._x000D_
_x000D_
There is chronic degenerative change involving the lumbosacral joint.</t>
  </si>
  <si>
    <t>Cross sectional imaging of the head such as CT or MRI is recommended for more definitive evaluation of the swelling reported in history.</t>
  </si>
  <si>
    <t>THORAX (3 total radiographs for review). Compared to previous examination dated 05/14/24._x000D_
_x000D_
- There remains a wedge-shaped alveolar pattern in the left caudal hemithorax that most likely represents a collapsed and consolidated portion of the left caudal lung lobe, as a well-defined left caudal lobar air bronchogram is noted. On the lateral projections there are a few small superimposed gas opaque foci._x000D_
- The cardiac silhouette, pulmonary vasculature, pleural space, trachea, mediastinum and remaining included intrathoracic structures are normal._x000D_
- The stomach again contains numerous tiny mineral opaque foci and a small volume of gas. No additional abnormal cranial abdominal structures are noted.</t>
  </si>
  <si>
    <t>1. Persistent focal consolidation of the left caudal lung lobe=ZZ90= similar to the previous examination. There are multiple small foci of gas superimposed over the lesion on the lateral projections that may represent small consolidations from infection (e.g. pulmonary abscess) or represent severely dilatated lower airways (bronchiectasis). I would have concern for a primary infectious lung abscess (given the patient=ZZ91=s young age) or an abscess secondary to inhaled foreign body material. I would recommend considering continuing antibiotic therapy as well as potentially performing a thoracic CT to further characterize this lesion (e.g. further evaluate the cavitation and/or screen for an inhaled foreign body), as if it continues to fail to resolve with medical management, surgical intervention may become indicated.</t>
  </si>
  <si>
    <t>WHOLE-BODY (3 total radiographs for review). No previous for comparison._x000D_
_x000D_
- Peritoneal serosal detail is mildly reduced._x000D_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No musculoskeletal abnormalities are noted.</t>
  </si>
  <si>
    <t>1. Radiographically unremarkable liver does not rule out hepatic disease such as acute cholangiohepatitis and I would consider performing sonographic assessment of the liver in this patient, as well as the gastrointestinal tract (see below)._x000D_
_x000D_
2. Otherwise, the appearance of the stomach, small intestine and colon can be compatible with a non-specific generalized functional ileus (e.g. gastroenterocolitis or infiltrative bowel disease such as IBD or lymphoma). There is no evidence of small intestinal foreign material or mechanical obstruction.</t>
  </si>
  <si>
    <t>THORAX (2 total radiographs for review). No previous for comparison._x000D_
_x000D_
- Moderate diffuse bronchial pulmonary pattern. Multiple thickened end-on lower airways. Mild diffuse unstructured interstitial pattern._x000D_
- Cardiac silhouette, and pulmonary vasculature normal._x000D_
- Trachea, pleural space, mediastinum and remaining included intrathoracic structure is/are normal._x000D_
-  Stomach has a postprandial appearance and contains a small volume of gas._x000D_
-  No discrete musculoskeletal abnormalities are identified.</t>
  </si>
  <si>
    <t>1. Moderate diffuse, mixed bronchial and peribronchial unstructured interstitial pulmonary pattern. There is lack of a pulmonary hyperinflation as it commonly seen with feline asthma, and while this is possible, in combination with the patient=ZZ91=s history of being from the woods, I would in fact rather prioritize infectious bronchitis (e.g. parasitic lungworm, heartworm, fungal etiologies). You may consider empirical treatment for lower airway disease/bronchitis, ruling out lungworm/heartworm, and if there is lack of improvement or worsening a thoracic CT, lower airway sampling and/or internal medicine consultation may be of use in this case.</t>
  </si>
  <si>
    <t>Three orthogonal radiographs of the skull dated 28th May 2024 are available for review. There are no previous radiographs available for comparison. _x000D_
_x000D_
Skull: A comminuted mandibular fracture is present. A fracture at the rostral left ramus is visible in the ventrodorsal image, as well as fragmentation axial to the caudal ramus likely due to a caudal ramus fracture. The left temporomandibular joint is deviated laterally, however obliquity is present in the image. A symphyseal fracture is suspected, however not visible due to superimposition. No dental loss can be seen, however superimposition is present. There is significant ventral soft tissue swelling. The nasal passages are normal. The tympanic bulla are air-filled.</t>
  </si>
  <si>
    <t>Comminuted mandibular fracture, affecting mainly the left ramus. Suspect left temporomandibular joint fracture or luxation.</t>
  </si>
  <si>
    <t>A complete set of skull radiographs as advised including well-positioned left and right oblique,  oblique rostral to caudal radiographs. A skull CT is preferred to completely evaluate of fracture lines. An orthopaedic consultation is advised depending on outcome.</t>
  </si>
  <si>
    <t>Study:_x000D_
Thoracic radiography: three images dated May 28, 2024_x000D_
_x000D_
Findings:_x000D_
The cardiac silhouette and pulmonary vasculature are normal in size. There is a mild bronchial pattern in the caudodorsal lung fields. The pleural space is normal. There is no intrathoracic lymphadenopathy. The larynx is normal. The trachea is normal in diameter and course. The included abdomen is normal. No skeletal abnormalities are present._x000D_
_x000D_
There is a human digit in the primary beam on the VD view.</t>
  </si>
  <si>
    <t>The generalized bronchial pulmonary pattern may indicate allergic/inflammatory bronchitis (asthma). Infectious, parasitic and irritant bronchitis are also possible. Infectious respiratory disease PCR testing, airway sampling, heartworm testing and Baermann fecal flotation can be considered for further evaluation.</t>
  </si>
  <si>
    <t>Opposite lateral and ventrodorsal thoracic radiographs (3 images) dated May 28, 2024._x000D_
_x000D_
A large soft-tissue opaque mass in the right middle lung field is causing partial border effacement of the cardiac silhouette and dorsal deviation of the cardiac silhouette and trachea. There is alveolar soft-tissue opacity affecting cranial segment of left cranial lung lobe. Pleural effusion is present and is worse on the right side. No abnormalities are appreciated in the aerated lung fields. The the diaphragm is unremarkable. No aggressive osseous lesions are identified.</t>
  </si>
  <si>
    <t>1. Right middle lung field mass effect and pleural effusion. Rule out malignant neoplasia (pulmonary carcinoma) vs. lung lobe torsion._x000D_
2. The cardiomegaly is suspected to be artifactual due to the mass effect and border effacement. However, true cardiomegaly cannot be completely ruled out. There is no convincing evidence of heart failure.</t>
  </si>
  <si>
    <t>Thoracocentesis for fluid cytology and analysis. If the mass is identified with parasternal ultrasound, consider ultrasound-guided fine needle aspirates for attempted cytologic diagnosis._x000D_
Thoracic CT could also be considered._x000D_
TFAST look for evidence of pericardial effusion or cardiomegaly. Schedule an echocardiogram based on findings.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</si>
  <si>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a large amount of feces are present in the colon.  The kidneys are small.  The urinary bladder is small.  The remaining abdominal organs are normal.</t>
  </si>
  <si>
    <t>Small kidneys suggestive of chronic renal disease.  Constipation.  Radiographically normal thorax for patient of this age.</t>
  </si>
  <si>
    <t>Opposite lateral and ventrodorsal whole body radiographs (6 images) dated May 28, 2024._x000D_
_x000D_
_x000D_
_x000D_
_x000D_
The cardiac silhouette, pulmonary vasculature, and great vessels are within normal limits. The pulmonary parenchyma has a mild diffuse bronchial pattern. No pulmonary nodules or other infiltrates are identified. The pleural space and diaphragm are normal. No mediastinal abnormalities are appreciated. The trachea is normal in diameter and course with gas filling its lumen. No intrathoracic lymphadenopathy is evident._x000D_
_x000D_
The liver is mildly enlarged. The spleen is unremarkable. The left kidney measures at the lower limits of normal size and is normal in shape. The right kidney is normal in size and shape. The urinary bladder is small and homogeneously fluid opaque. The stomach is empty or contains a scant amount of fluid. The small intestine is uniformly normal in diameter and soft-tissue opaque. Initially the colon has a large amount of desiccated stool in the distal descending colon and comes empty at the level of the terminal: in the pelvic inlet. In subsequent images, the colon is more distended with a large amount of fluid opacity and the desiccated stool is no longer visible. Retroperitoneal and peritoneal detail are normal. No regional lymphadenopathy is evident._x000D_
_x000D_
There is lumbosacral disc space narrowing and caudal lumbar and LS spondylosis deformans. Both hips have moderate periarticular bony remodeling affecting them and poor acetabular coverage. No aggressive osseous lesions are identified.</t>
  </si>
  <si>
    <t>1. Desiccated stool in the distal is and colon is suspicious for constipation. _x000D_
2. Lumbosacral intervertebral disc disease and moderate bilateral hip osteoarthritis._x000D_
3. Small left kidney is concerning for chronic renal disease. Correlation with renal blood work, urinalysis, and blood pressure is needed to determine significance._x000D_
3. Mild hepatomegaly. Rule out a benign metabolic/vacuolar hepatopathy vs. less likely inflammatory and infiltrative neoplastic conditions._x000D_
2. Bronchitis. Rule out eosinophilic/feline asthma vs. infectious (bacterial or parasitic [including heartworm]) vs. chronic inhaled irritants.</t>
  </si>
  <si>
    <t>Abdominal ultrasound could be considered to further assess the liver and look further for potential mass palpated but not radiographically identified._x000D_
CBC, chemistry, UA, T4, fecal, blood pressure, FeLV/FIV._x000D_
Consider Rx Miralax._x000D_
_x000D_
Multimodal medical management for osteoarthritis includes initial strict rest and analgesic therapy, intermittent use of anti-inflammatory therapy, adjunct treatments such as gabapentin, novel monoclonal antibody therapy, joint supplements, maintaining a lean body condition, and physical therapy. Orthopedic consultation could also be considered.</t>
  </si>
  <si>
    <t>WHOLE-BODY (3 total radiographs for review). No previous for comparison._x000D_
_x000D_
- Peritoneal serosal detail is adequate_x000D_
- The kidneys bilaterally have irregular margins, are mildly small and are superimposed by ill defined mineral opacities._x000D_
- The stomach contains mild gas and gas-stippled soft-tissue opaque material_x000D_
- The small intestine contains mild multifocal gas and soft-tissue opaque material_x000D_
- The colon contains gas, soft-tissue/fluid and minimal formed fecal material._x000D_
- The liver, spleen and urinary bladder are normal._x000D_
- There is a very mild, questionable diffuse bronchial pulmonary pattern present._x000D_
- The cardiac silhouette and pulmonary vasculature are normal._x000D_
- The trachea, esophagus and remainder of the mediastinum is/are normal._x000D_
- The pleural space and remaining intrathoracic structures are normal._x000D_
- Consistent with the reported history, there is a prior/healed, irregular distal left humeral, proximal radial and ulnar gunshot wound-fracture resulting in irregular ankylosis of the left cubital joint. There area is overlain by numerous small metallic opacities, which extend along the caudal portion of the brachial region and reach into the paraspinal area.</t>
  </si>
  <si>
    <t>1. A discrete radiographic cause for the reported lethargy, vomiting and weight loss is not clearly identified. Radiographically the most abnormal organ in the abdomen are the kidneys, the appearance of which likely reflects chronic degenerative nephropathy with nephrolithiasis. This should be correlated to the clinical lab values of the patient,  and regardless abdominal ultrasonography might be considered for further assessment of the renal parenchyma._x000D_
_x000D_
2. Very subtle, mild diffuse bronchial pulmonary pattern could be compatible with chronic lower airway disease such as feline asthma or chronic bronchitis. Otherwise the thorax is unremarkable and no clear cause for the reported wheezing is distinctly identified._x000D_
_x000D_
3. Prior left locoregional cubital gunshot wound with healed fracture(s) and cubital ankylosis=ZZ90= multiple subcutaneous left brachial and paraspinal metallic shrapnel.</t>
  </si>
  <si>
    <t>Thorax: There is a mild peribronchial pattern.  The cardiac silhouette and pulmonary vasculature are unremarkable.  On the lateral view there is a mild amount of gas within the mid to distal esophagus.  There are no abnormalities involving the trachea._x000D_
_x000D_
Abdomen: Both kidneys are small.  The remainder of the abdominal viscera is unremarkable.  The left femoral head appears absent and there is moderate osseous remodeling associated with the left acetabulum.</t>
  </si>
  <si>
    <t>Diffuse peribronchial pattern.  Primary differential consideration is a lower airway inflammatory process such as feline asthma._x000D_
_x000D_
Bilateral small kidneys most likely degenerative._x000D_
_x000D_
The appearance of the left coxofemoral joint may be secondary to previous trauma and second osteoarthrosis.  Alternatively remodeling from previous FHO cannot be ruled out.</t>
  </si>
  <si>
    <t xml:space="preserve">
1.This result does not detect pulmonary vasculature enlargement._x000D_
2.This result detects a minimal to mild, or rarely moderate interstitial pulmonary pattern.  _x000D_
3.This result detects a minimal to mild, or rarely moderate bronchial pulmonary pattern._x000D_
4.Rarely, this result detects a minimal to mild alveolar pulmonary pattern._x000D_
5.This result detects equivocal/borderline to mild cardiomegaly. _x000D_
6.This result does not detect pleural fissure lines/fluid.  </t>
  </si>
  <si>
    <t>7 images of the thorax are provided for review.  The cardiac silhouette is widened with rounding of the left ventricular border.  Interstitial to alveolar opacity is present in all lung lobes, most pronounced in the right caudal lobe.  The mediastinal and pleural structures are normal.  Cranial abdominal detail is adequate.</t>
  </si>
  <si>
    <t>Cardiomegaly.  Pulmonary infiltrates suggest cardiogenic pulmonary edema.</t>
  </si>
  <si>
    <t>Consider repeat radiographs following diuretic therapy.  Echocardiography, proBNP, and thyroid testing may be helpful in further evaluation.</t>
  </si>
  <si>
    <t xml:space="preserve">
1.This result detects a mild to moderate, or rarely severe interstitial pulmonary pattern.  _x000D_
2.This result detects a mild to moderate bronchial pulmonary pattern._x000D_
3.Uncommonly, this result detects a minimal to severe alveolar pulmonary pattern._x000D_
4.This result detects moderate to severe, or less commonly mild cardiomegaly._x000D_
5.Rarely, this result detects minimal pulmonary vasculature enlargement._x000D_
6.This result commonly detects minimal to moderate, or rarely severe pleural fissure lines/fluid.</t>
  </si>
  <si>
    <t>If the patient is dyspneic, or has severe or progressive respiratory clinical signs, rule out left-sided congestive heart failure.  Some alveolar patterns may mimic pulmonary soft tissue nodules or masses, and vice versa.  If a lesion is producing a mass effect, with mediastinal displacement contralateral to the lesion, a mass is prioritized.  If the patient is young, and/or a mediastinal shift is present ipsilateral to the lesion, an alveolar pattern is prioritized. This may be exacerbated if technical errors/artifacts (obliquity, motion, etc.) are present in the image. If left-sided heart failure is ruled out, then differential diagnoses for the interstitial to alveolar pulmonary patterns include: atypical/evolving neoplasia (metastatic or unlikely primary, especially in an older patient), evolving bronchopneumonia/aspiration pneumonia (especially with cranioventral distribution of alveolar pattern or a younger patient), non-cardiogenic edema, or unlikely hemorrhage from systemic coagulopathy, contusion from trauma, or other. Differential diagnoses for an alveolar pattern include: left-sided congestive heart failure, atelectasis or bronchial plugging such as from concurrent infectious/inflammatory lower airway disease (i.e. feline asthma) or from compression due to pleural space disease, or less likely evolving neoplasia, unlikely bronchopneumonia, or other. Differential diagnoses for a bronchial pulmonary pattern include: infectious/immune-mediated lower airway disease (such as mycoplasma spp., parasitism, or feline asthma), changes from prior disease, age-related changes, or unlikely atypical metastatic/multicentric neoplasia, or other. Differential diagnoses for pleural fluid include: left-sided congestive heart failure, or less likely chylous, idiopathic, malignant effusion, hemorrhage, or unlikely other.  If the volume is minimal, then also consider: tangential beam artifact, pleural thickening/fold. Differential diagnoses for cardiomegaly include: hypertrophic or thyrotoxic cardiomyopathy in a mature or older patient, or congenital anomaly in a very young patient, or unlikely heartworm disease (unless in edemic areas).</t>
  </si>
  <si>
    <t xml:space="preserve">
If the patient is dyspneic, or has severe or progressive respiratory clinical signs, consider diuretic trial and oxygen therapy.  Repeat thoracic radiographs after 4-6 hours to evaluate for improvement of changes, and monitor for clinical improvement._x000D_
If the patient is dyspneic, and pleural fluid is moderate or severe, consider therapeutic thoracocentesis, and reserve sample for fluid analysis/cytology.  Repeat thoracic radiographs for further evaluation after thoracocentesis, as this may reveal previously obscured lesions._x000D_
If the patient has clinical signs consistent with bronchopneumonia or active infectious/inflammatory lower airway disease, then consider empirical therapy and supportive care in the interim as needed._x000D_
Consider echocardiography, ECG and blood pressure._x000D_
Consider routine blood work and urinalysis._x000D_
If your clinical impression of this patient does not match the content of this result, consider submitting the radiographs for a formal radiologist report.</t>
  </si>
  <si>
    <t>4 images of the thorax are provided for review.  The lung lobes are retracted from the thoracic wall and fluid is present in the pleural space.  The cardiac silhouette cannot be fully visualized due to silhouetting but appears widened.  The visible pulmonary vasculature is normal in size.  Soft tissue opacity seen throughout the left cranial lung lobe.  Cranial abdominal detail is adequate.</t>
  </si>
  <si>
    <t>Pleural effusion.  Suspect cardiomegaly.  Left cranial lung lobe alveolar pattern may indicate pneumonia or other infiltrate such as hemorrhage or neoplasia.</t>
  </si>
  <si>
    <t>Echocardiography and/or thoracic ultrasound may be helpful in further evaluation.</t>
  </si>
  <si>
    <t xml:space="preserve">
1.This result detects a minimal to moderate bronchial pulmonary pattern._x000D_
2.This result detects a mild to moderate interstitial pulmonary pattern._x000D_
3.Rarely, this result detects a minimal to mild alveolar pulmonary pattern._x000D_
4.Rarely, this result detects minimal to mild pulmonary vasculature enlargement._x000D_
5.This result detect minimal to mild, or rarely moderate pleural fissure lines/fluid. _x000D_
6.This result detects equivocal/borderline to severe cardiomegaly.</t>
  </si>
  <si>
    <t>Three orthogonal thoracic radiographs dated 27th May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</si>
  <si>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Normal thorax. The clinical signs are most likely related to an upper airway abnormality, as reported.</t>
  </si>
  <si>
    <t>Further workup or empirical management of rhinitis is advised.</t>
  </si>
  <si>
    <t>Three orthogonal radiographs of the abdomen dated 26th May 2024 are available for review. There are no previous radiographs available for comparison. _x000D_
_x000D_
Intra-abdominal findings: The stomach is mainly empty, with a normal axis. The small intestines are filled/mildly dilated with gas and fluid/soft tissue opaque material. The small intestines have a mildly stacked appearance, and centred on the right cranial abdomen. The transverse and descending colon contain formed faeces. The urinary bladder is normal.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</si>
  <si>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gastroenteritis.  This may be due to dietary indiscretion, or infectious-inflammatory causes. There is no evidence of a mineral opaque foreign body. Considering the stacked appearance, a linear foreign body is possible.</t>
  </si>
  <si>
    <t>Supportive management including rehydration, gastroprotectants,  full blood work, faecal analysis if clinically indicated is advised, if not already performed. Repeat 3-view post fasting radiographs depending on clinical progression or consider an abdominal ultrasound to exclude a linear foreign body.</t>
  </si>
  <si>
    <t>Three orthogonal radiographs of the abdomen dated 26th May 2024 are available for review. There are no previous radiographs available for comparison. _x000D_
_x000D_
Intra-abdominal findings: The stomach is empty with a normal axis. Some gas is present in the pylorus on the left lateral image. The small intestines are homogenously filled with a mixture of gas, and fluid/soft tissue opaque material. The transverse and descending colon contain formed faeces, however without significant dilation. A mass lesion causing colonic displacement is not seen. A foreign bodies not visible.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</si>
  <si>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Minor constipation. This may be due to dietary factors and inactivity. Considering age, chronic kidney disease causing dehydration is considered unlikely.</t>
  </si>
  <si>
    <t>Empiric management is advised.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</si>
  <si>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gas distended._x000D_
Some of the small intestines are overtly gas distended measuring up to 14mm in thickness whereas others are normally fluid filled._x000D_
Serosal detail is preserved._x000D_
Liver and spleen are within normal limits of size and smoothly marginated._x000D_
Kidneys and urinary bladder WNL.</t>
  </si>
  <si>
    <t>1) Unremarkable thorax._x000D_
2) Changes in the small intestines: Rule out early mechanical ileus secondary to potential non visualized foreign body or material vs an intussusception is less likely.</t>
  </si>
  <si>
    <t>Consider abdominal US to further evaluate this vague history and correlate with the radiographic findings.</t>
  </si>
  <si>
    <t>WHOLE-BODY (4 radiographs for review). No previous for comparison._x000D_
_x000D_
- Mild, diffuse bronchial pulmonary pattern._x000D_
- The cardiac silhouette is prominent on the VD projections, but appears within normal limits on the lateral projections._x000D_
- The pulmonary vasculature, pleural space, trachea and remaining intrathoracic structures are normal._x000D_
- The stomach contains gas, heterogeneous soft-tissue opaque material and a few ventrally located mineral opacities._x000D_
- The small intestine contains mild multifocal gas and soft-tissue opaque material._x000D_
- The colon contains gas and formed fecal material.</t>
  </si>
  <si>
    <t>1. Mild, diffuse bronchial pulmonary pattern. Most compatible with chronic lower airway disease. DDx feline asthma, less likely bronchitis (e.g. parasitic, bacterial, inhaled irritant). You may consider empirical therapy for chronic lower airway disease, and if the patient does not improve or worsens despite medical management, a thoracic CT +/- lower airway sampling (e.g. BAL) might be reasonable._x000D_
_x000D_
2. I believe the cardiac silhouette is most likely within normal limits given that there is lack of persistent appearance of enlargement on the lateral projections. If there is a persistent, audible murmur present it may still be considered to perform echocardiography/ECG as radiographic sensitivity may be limited._x000D_
_x000D_
3. Few non-specific mineralized foreign bodies in the pyloric region of the stomach. Otherwise fairly unremarkable abdomen with mild aerophagia.</t>
  </si>
  <si>
    <t>WHOLE-BODY (2 radiographs for review). No previous for review._x000D_
_x000D_
- There is mild generalized cardiomegaly present, which is characterized by a rounding of the cardiac margins and mild increased cardiothoracic width._x000D_
- The pulmonary vasculature normal._x000D_
- The pulmonary parenchyma, pleural space, trachea, mediastinum and remaining included intrathoracic structures are normal._x000D_
- Peritoneal serosal detail is normal._x000D_
- The spleen is moderately enlarged, with rounded margins._x000D_
- The stomach and small intestine are normal._x000D_
- The colon contains desiccated formed fecal material and gas._x000D_
- The liver, kidneys and urinary bladder are normal._x000D_
- There is moderate multifocal spondylosis deformans present.</t>
  </si>
  <si>
    <t>1. Mild generalized cardiomegaly, without pulmonary vasculature congestion or congestive heart failure. DDx cardiomyopathy (e.g. hypertrophic, restrictive, unclassified or secondary to chronic systemic hypertension). Consider echocardiogram/ECG for further assessment._x000D_
_x000D_
2. Otherwise normal thorax._x000D_
_x000D_
3. Moderate splenomegaly. DDx congestion from sedation, lymphoid hyperplasia, EMH or neoplasia (e.g. lymphoma, mast cell tumor, multiple myeloma). _x000D_
_x000D_
4. Moderate constipation with dessicated fecal material.</t>
  </si>
  <si>
    <t>WHOLE-BODY (3 total radiographs for review). No previous for comparison._x000D_
_x000D_
- Mildly thin body condition._x000D_
- Peritoneal serosal detail is adequate_x000D_
- The stomach contains mild gas and gas-stippled soft-tissue opaque material_x000D_
- The small intestine contains moderate multifocal gas and soft-tissue opaque material_x000D_
- The colon contains a relatively large volume of gas, mild soft-tissue/fluid and minimal formed fecal material._x000D_
- The liver, spleen, kidneys (limited assessment) and urinary bladder are normal._x000D_
- Mild pulmonary hyperinflation._x000D_
- The cardiac silhouette and pulmonary vasculature are normal._x000D_
- The trachea, esophagus and remainder of the mediastinum is/are normal._x000D_
- The pleural space and remaining intrathoracic structures are normal._x000D_
- Hypoplastic rib originating from the left side of L1</t>
  </si>
  <si>
    <t>1. The appearance of the stomach, small intestine and colon can be compatible with a combination of aerophagia and non-specific generalized functional ileus (e.g. gastroenterocolitis or infiltrative bowel disease such as IBD or lymphoma). There is no evidence of small intestinal foreign material or mechanical obstruction. Abdominal ultrasonography might be considered._x000D_
_x000D_
2. Thin body condition._x000D_
_x000D_
3. Transitional thoracolumbar vertebral segment._x000D_
_x000D_
4. Mild pulmonary hyperinflation.</t>
  </si>
  <si>
    <t>WHOLE-BODY (6 total radiographs for review). A prior of the abdomen is available from 2022. _x000D_
_x000D_
- Mild diffuse bronchial pattern._x000D_
- Mild pulmonary hyperinflation._x000D_
- Cardiac silhouette, pulmonary vasculature, pleural space normal._x000D_
- Stomach contains mild gas-stippled soft-tissue opaque material._x000D_
- Small intestine non-distended and contains mild multifocal gas._x000D_
- Colon contains mild desiccated, formed fecal material._x000D_
- Liver, kidneys, spleen and urinary bladder normal.</t>
  </si>
  <si>
    <t>1. Mild diffuse bronchial pulmonary pattern with mild pulmonary hyperinflation can be compatible with chronic lower airway disease (e.g. feline asthma) with secondary air-trapping. Empirical treatment for feline asthma might be considered in this case. Bronchitis of infectious (e.g. parasitic, bacterial) or inhaled irritant are also possible, but less likely._x000D_
_x000D_
2. Unremarkable post-prandial abdomen with mild constipation.</t>
  </si>
  <si>
    <t>5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gas.  The small bowel appears normal and uniform in diameter.  A mild amount of gas and stool is noted in the colon.  The liver and spleen are normal in size and shape.  The renal silhouettes and urinary bladder are unremarkable.  There is ill-defined soft tissue opacity in the sublumbar region dorsal to the urinary bladder on the lateral views.  Serosal detail is adequate._x000D_
No aggressive bony changes are seen.</t>
  </si>
  <si>
    <t>The ill-defined soft tissue opacity in the sublumbar region may be artifact or possibly associated with regional lymphadenopathy or other mass effect.  The abdomen appears otherwise unremarkable.  This does not rule out the possibility of diffuse infiltrative or inflammatory disease in the GI tract.  Acute or chronic pancreatitis is also possible._x000D_
Radiographically normal thorax.</t>
  </si>
  <si>
    <t>Supportive medical management appears appropriate in the short-term.  An abdominal ultrasound is recommended for further evaluation of the abdomen.</t>
  </si>
  <si>
    <t>THORAX (3 radiographs for review). Compared to 05/20/24._x000D_
_x000D_
- The patient again has a thin body condition._x000D_
- Similar to the previous examination, there is a large soft-tissue opaque mass in the cranial thorax causing a widening of the cranial mediastinum._x000D_
- Cardiac silhouette, pulmonary vasculature and pleural space normal._x000D_
- Stomach contains gas and  soft-tissue opaque material._x000D_
- A single mineral opacity is present in the mid-portion of the abdomen, most likely within a small intestinal segment._x000D_
- Mild multifocal spondylosis deformans.</t>
  </si>
  <si>
    <t>1. Similar, large, cranioventral intrathoracic mass=ZZ90= most likely within the cranial mediastinum. DDx neoplasia (e.g. thymoma, lymphoma, ectopic thyroid tumor) or less likely non-neoplastic etiologies such as very large cranial mediastinal cyst. Consider ultrasound-guided fine needle aspiration of the lesion. The patient may benefit from a whole body CT for global staging/screening._x000D_
_x000D_
2. Small mineral opacity in the mid-abdomen may be an incidental small intestinal foreign body or a bates body (incidental peritoneal fat necrosis)._x000D_
_x000D_
3. Thin body condition.</t>
  </si>
  <si>
    <t>Orthogonal views of the thorax are provided:_x000D_
_x000D_
Thorax:_x000D_
_x000D_
There is mild caudal pectus excavatum._x000D_
No abnormalities seen in the trachea._x000D_
Cardiac silhouette has a normal shape and size._x000D_
Pulmonary vessels are within normal limits of size and shape._x000D_
Pulmonary parenchyma is within normal limits. No evidence of pneumonia._x000D_
Pleural space, mediastinum, diaphragm and thoracic wall within normal limits.</t>
  </si>
  <si>
    <t>1) Unremarkable lungs do not exclude a chronic lower airway disease such as asthma, chronic bronchitis or parasitic bronchitis._x000D_
2) Incidental pectus excavatum.</t>
  </si>
  <si>
    <t>Three radiographs of the thorax are provided. The cardiac silhouette is upper normal size to mildly enlarged. Pulmonary vessels and caudal vena cava are normal size. There is a small area of increased opacity with suspected air bronchograms overlying the caudal segment of the left cranial lung lobe on the right lateral view. There is adjacent superimposed skin fold. No pleural effusion. Normal tracheal diameter. Mild degenerative change in one of the shoulders. Large volume gas in the stomach consistent with aerophagia.</t>
  </si>
  <si>
    <t>1. Suspect severe interstitial pattern in the caudal segment of left cranial lung lobe, most likely aspiration pneumonia. Artifact caused by superimposed skin fold is not definitively ruled out. No other abnormalities are identified to explain the respiratory signs. A metabolic abnormality for thromboembolic insult remains possible._x000D_
2. Equivocal mild cardiomegaly, consider normal variant versus cardiomyopathy. In the absence of a murmur, arrhythmia, or abnormalities identified on the echocardiogram, significance is doubtful.</t>
  </si>
  <si>
    <t>Antibiotics for suspected aspiration pneumonia should be considered, along with routine blood work.</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</si>
  <si>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A mnenla rounded structure is superimposed with the right kidney. Left kidney and urinary bladder WNL.</t>
  </si>
  <si>
    <t>1) Unremarkable thorax without signs of pulmonary metastases nor signs of thoracic lymphadenopathy._x000D_
2) Rule out suspected right renolith.</t>
  </si>
  <si>
    <t>Consider abdominal US to further evaluate causes of vomition and leukocytosis, also evaluating the urinary tract with renal function, UPC and urinalysis.</t>
  </si>
  <si>
    <t>Opposite lateral and VD thoracoabdominal views are provided for interpretation._x000D_
_x000D_
There is a moderate diffuse bronchial pulmonary pattern. No alveolar infiltrates are seen. Pulmonary vessels are within normal limits. The base of the heart appears widened in the VD view. This is also suspected in some of the lateral views, but is not consistently seen. Overall heart size appears normal in the lateral views. No tracheal or laryngeal abnormalities are identified._x000D_
_x000D_
There are discrete shapes of soft tissue opacity in the stomach consistent with a formed food product. Small foreign bodies could appear similar, but this is less likely given the chronic intermittent signs. No dilation of the stomach is seen. There are a few small intestinal loops that appear as if it may be mildly fluid dilated or possibly thickened. This is a subtle change, and artifactual causes cannot be excluded. The other organs are within normal size and shape limits. Serosal detail is normal.</t>
  </si>
  <si>
    <t>1) There is a bronchial pulmonary pattern consistent with lower airway disease. Primary rule outs would include asthma/allergic lung disease, parasitic infection such as lungworms or heartworm disease, and infectious bronchitis. Etiology cannot be differentiated definitively on the basis of this appearance._x000D_
_x000D_
2) The intestinal changes are minimal, and clinical significance is unknown. Enteritis or intestinal thickening secondary to IBD should still be ruled out, depending on the severity of clinical signs.</t>
  </si>
  <si>
    <t>CBC, heartworm testing, and Baermann fecal exam for lungworms is recommended._x000D_
Sampling from the lower airways via BAL/TTW should be considered to assist definitive diagnosis._x000D_
_x000D_
Ultrasound to evaluate the intestinal tract could be considered depending on the severity of clinical signs and clinical concern.</t>
  </si>
  <si>
    <t>Given the lack of cardiomegaly but audible murmur, consider a cardiology consultation with ECG and echocardiogram. Consdier also a CT of the nasal cavity with rhinoscopy and biopsies.</t>
  </si>
  <si>
    <t>Patient Name: Kikko Luke, Date of study: May 23, 2024
7 images of the skull (3) and body (4) are provided for review. As requested the thorax is interpreted. 
There are no previous radiographs for comparison.
Findings:
Cardiac silhouette: The cardiac silhouette is normal in size and shape.
Pulmonary vessels: The pulmonary arteries and veins are normal in size and are symmetrical.
Pulmonary parenchyma: The pulmonary parenchyma is hyperinflated. The pulmonary parenchyma is otherwise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Musculoskeletal: There are nondisplaced healed fractures of the left 10th, 11th, and 12th ribs.</t>
  </si>
  <si>
    <t>1. There is no evidence of metastatic pulmonary disease.
2. Hyperinflated pulmonary parenchyma is most consistent with underlying feline asthma.</t>
  </si>
  <si>
    <t>Fine-needle aspirates of the reported swelling are recommended for cytologic diagnosis and to guide treatment recommendations. Repeated three view thoracic radiographs are recommended as needed.</t>
  </si>
  <si>
    <t xml:space="preserve">
1.This result detects a minimal to mild bronchial pulmonary pattern._x000D_
2.This result detects equivocal/borderline to mild, or rarely moderate cardiomegaly._x000D_
3.This results detects a minimal to mild interstitial pulmonary pattern._x000D_
4.Rarely, this result detects a minimal to moderate alveolar pulmonary pattern. _x000D_
5.Rarely, this result detects minimal to mild pulmonary vasculature enlargement._x000D_
6.Rarely,  this result detects minimal pleural fissure lines/fluid.  </t>
  </si>
  <si>
    <t>A two view thoracoabdominal study is provided for interpretation._x000D_
_x000D_
There is a discrete ovoid shadow with a tiny central mineral opacity in the right caudal abdomen dorsal to the bladder. No kidney is visible in the normal location on the right side. The ovoid shadow is suspected to represent the right kidney and an abnormally caudal location. The appearance of the left kidney is normal. The stomach is gas filled and nondistended. The intestinal tract appears mostly empty with normal gas volume. No intestinal dilation or plication is seen. The proximal descending colon is in the right side of the abdomen. Serosal detail in the abdomen is normal._x000D_
Multiple congenital vertebral anomalies are identified involving the lumbar spine, including scoliosis and congenital fusion of the fifth and sixth vertebrae. The lumbosacral junction is also malformed. There is moderate laxity involving the right hip joint._x000D_
_x000D_
The cardiopulmonary structures are within normal limits. No thoracic lymphadenopathy or pleural effusion is seen.
(amended on 05/23/2024 14:23)
Other causes for the ovoid shadow in the right caudal abdomen that are considered less likely could include cyst, tumor, or abscess.</t>
  </si>
  <si>
    <t>Congenital deformities are present involving placement of the abdominal organs and the lumbar spine. The right kidney appears be located dorsal to the bladder, and the rightward displacement of the descending colon is likely secondary to related congenital deformity. A tiny calculus is suspected in the right kidney. The rest of the abdomen is within normal limits. No findings that would specifically explain the fever or pain are identified._x000D_
_x000D_
There are multiple congenital deformities involving the lumbar spine. His is most likely incidental to the current presenting complaint.
(amended on 05/23/2024 14:23)
Other causes for the right caudal abdomen ovoid shadow cannot be entirely excluded, ultrasound or CT could be considered for more definitive evaluation.</t>
  </si>
  <si>
    <t>The abdominal abnormalities are suspected to be incidental. No thoracic abnormalities are identified._x000D_
_x000D_
Supportive care and symptomatic therapy for fever of unknown origin is recommended.</t>
  </si>
  <si>
    <t>Study:_x000D_
Thoracic/abdominal radiography: four images dated May 23, 2024_x000D_
_x000D_
Findings:_x000D_
There is mild generalized cardiomegaly (VHS approximately 8). The pulmonary vasculature is normal in size. The pulmonary parenchyma is unremarkable. The pleural space is normal. There is no intrathoracic lymphadenopathy. The trachea is normal in diameter. The serosal detail is adequate. The stomach contains a small volume of gas. The small intestines are normal in size, course and content. The colon contains gas and a small amount of formed fecal material. The liver and spleen are normal in size and margin. The kidneys are normal in size and contour. On the lateral projections, a fecal ball within the colon is superimposed with the left kidney given the false impression of irregularity of the left kidney. The urinary bladder is normal in size and opacity. The osseous structures are unremarkable. On the right lateral projection, there is impression of enlargement of an inguinal lymph node.</t>
  </si>
  <si>
    <t>1. Mild generalized cardiomegaly, likely hypertrophic cardiomyopathy, without evidence of decompensation. Echocardiography can be considered for further evaluation._x000D_
2. Unremarkable abdomen. Abdominal sonography and a G.I. panel can be considered to further evaluate for an enteropathy which may explain weight loss unrelated to the reported hyperthyroidism._x000D_
3. The suspected inguinal lymphadenopathy may be reactive or neoplastic.</t>
  </si>
  <si>
    <t>Three orthogonal survey radiographs of the thorax and abdomen dated 23rd May 2024 are available for review. There are no previous radiographs available for comparison. _x000D_
_x000D_
Thorax: _x000D_
Airway findings: The trachea, carina and mainstem bronchi are within normal limits for width and position. The pulmonary parenchyma is within normal limits for age.  _x000D_
_x000D_
Cardiovascular findings: The cardiac silhouette has a normal position, shape and size. The pulmonary vasculature and caudal vena cava are unremarkable. _x000D_
_x000D_
Mediastinum and pleural space:  There is no evidence of thoracic lymphadenomegaly or pleural effusion. _x000D_
_x000D_
Abdomen: The stomach contains some granular food material and has a normal axis. The small intestines are within upper normal limits for shape, size and contents. The ascending, transverse and descending colon is mild to moderately distended with formed faeces. The urinary bladder is normal. The hepatic silhouette is normal in size with smooth borders. The spleen is normal in shape, size and position. The kidneys are partially obscured by gastrointestinal contents, but the visible aspect are normal._x000D_
_x000D_
Musculoskeletal findings: No significant abnormalities are detected.</t>
  </si>
  <si>
    <t>1. Mild constipation: This may be due to inactivity/diet or a relative dehydration secondary to early chronic kidney disease. No imaging findings can definitively identify the cause for the weight loss.</t>
  </si>
  <si>
    <t>Further medical workup for weight loss, including an abdominal ultrasound is advised.</t>
  </si>
  <si>
    <t>Opposite lateral and ventrodorsal thoracic radiographs (3 images) dated May 23, 2024._x000D_
_x000D_
The cardiac silhouette is normal in size and shape. The caudal vena cava is prominent in size. The aorta is unremarkable. The pulmonary vasculature is normal. The lungs have a bronchointerstitial pulmonary pattern with the caudal lung field most severely affected. No pulmonary nodules or masses are identified. No intrathoracic lymphadenopathy is evident the trachea is normal in diameter and course with gas filling its lumen. The pleural space, mediastinum, and diaphragm are normal._x000D_
The liver, spleen, included gastrointestinal tract, and cranial peritoneal detail are normal._x000D_
No osseous abnormalities are identified.</t>
  </si>
  <si>
    <t>Mild bronchitis. Rule out eosinophilic/feline asthma vs. infectious (bacterial or parasitic [including heartworm]) vs. chronic inhaled irritants.</t>
  </si>
  <si>
    <t>The clinical significance of the bronchial changes is unknown. For further workup:_x000D_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</si>
  <si>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 xml:space="preserve">
1.This result detects a minimal to mild, or rarely moderate bronchial pulmonary pattern._x000D_
2.Rarely, this result detects a minimal alveolar pulmonary pattern._x000D_
3.This result detects none, or equivocal/borderline to moderate cardiomegaly. _x000D_
4.This result does not detect pulmonary vasculature enlargement._x000D_
5.Rarely, this result detects minimal pleural fissure lines/fluid.  _x000D_
6.This result detects a minimal to mild interstitial pulmonary pattern.  </t>
  </si>
  <si>
    <t>Opposite lateral and ventrodorsal whole body radiographs (3 images) dated the 23rd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enlarged with a rounded lobe margin. The spleen is unremarkable. Both kidneys are small in size and moderately irregular in shape. The urinary bladder is mildly distended with homogeneous fluid opacity. The stomach is also mildly distended with homogeneous fluid opacity. The small intestine has a mild variation in diameter with most segments containing a mixture of fluid and gas. The course of the small bowel is unremarkable. The colon contains normal appearing stool and has a normal course. Retroperitoneal and peritoneal detail are normal. No regional lymphadenopathy is evident._x000D_
_x000D_
The right hip has mild periarticular bony remodeling affecting it. A small amount of emphysema is present in the dorsal thoracic subcutis.</t>
  </si>
  <si>
    <t>1. Small and irregularly shaped kidneys are consistent with chronic renal disease. Correlation with renal blood work, blood pressure, and urinalysis is needed to determine significance._x000D_
2. Mildly fluid-filled stomach and appearance of the small bowel is suspicious for gastroenteritis. There is no convincing evidence of a gastrointestinal mechanical obstruction._x000D_
3. Mild hepatomegaly. Rule out a benign metabolic/vacuolar hepatopathy vs. less likely inflammatory or infiltrative neoplastic conditions._x000D_
4. Normal thorax._x000D_
5. Right hip osteoarthritis.</t>
  </si>
  <si>
    <t>Supportive care with fluid rehydration, antiemetics, gastroprotectants/omeprazole, and bland diet.  General health profile (CBC, chemistry, FeLV/FIV, T4, UA, fecal) +/- fPLI to screen for underlying causes. Abdominal ultrasound if the patient fails medical management or if indicated based on lab work results.</t>
  </si>
  <si>
    <t>Study:_x000D_
Thoracic/abdominal radiography: four images dated May 22, 2024_x000D_
_x000D_
Findings:_x000D_
The cardiac silhouette and pulmonary vasculature are normal in size. The pulmonary parenchyma is unremarkable. No pulmonary nodules or masses are present The pleural space is normal. There is no intrathoracic lymphadenopathy. The larynx is unremarkable. The trachea is normal in diameter and course. The abdominal serosal detail is normal. The stomach is empty. The small intestines are normal in size, course and content. The colon contains formed fecal material with a normal diameter. The liver and spleen are normal in size and margin. The renal silhouettes are normal in size and contour. The left lobe of the pancreas is incidentally visualized between the spleen/left kidney on the VD view and is normal in thickness. The urinary bladder is normal in size and opacity. There is variable mild to severe multifocal cervical, thoracolumbar and lumbosacral spondylosis deformans. Mild periarticular bone formation is present at the caudodistal aspect the humeral head bilaterally. On the VD view, there is a mineral body adjacent to the medial epicondyle of the right humerus. Mild periarticular bone formation is present at the craniolateral margin of the acetabulum bilaterally. The patient is of overweight body condition.</t>
  </si>
  <si>
    <t>1. Unremarkable abdomen. Abdominal sonography can be considered to further evaluate for an enteropathy/infiltrative intestinal disease pending G.I. panel results._x000D_
2. Normal thorax. There is no radiographic evidence of cardiopulmonary or metastatic disease._x000D_
3. Mild bilateral shoulder and coxofemoral osteoarthrosis._x000D_
4. Right humeral medial epicondylitis.</t>
  </si>
  <si>
    <t>Study:_x000D_
Thoracic/abdominal radiography: three images dated May 22, 2024_x000D_
_x000D_
Findings:_x000D_
The cardiac silhouette is accentuated by pericardial fat but is normal in size and shape. The pulmonic vasculature is normal in size. There is a mild generalized bronchial pulmonary pattern. The pleural space is normal. There is no intrathoracic lymphadenopathy. The trachea is normal in diameter and course. The stomach contains minimal gas. The small intestines are normal in size, course and content. The colon contains formed fecal material. The liver and spleen are normal in size and margin. The kidneys are normal in size and contour. The urinary bladder is normal in size and opacity. On the VD view, there is a small mineral body is adjacent to the medial epicondyles of the humerus bilaterally. There is ventral subluxation of the xiphoid. The patient is of overweight body condition._x000D_
_x000D_
There is a human digit in the primary beam on the left lateral projection.</t>
  </si>
  <si>
    <t>1. 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Unremarkable abdomen._x000D_
3. Bilateral medial epicondylitis.</t>
  </si>
  <si>
    <t>Study:_x000D_
Thoracic radiography: five images (from two different submissions) dated May 22, 2024_x000D_
_x000D_
Findings:_x000D_
There is moderate to severe generalized cardiomegaly (VHS approximately 9). The pulmonic vasculature is normal in size. There is a mild generalized bronchial pulmonary pattern. There is a 1.7 cm soft tissue opaque nodule in the left caudal lung lobe. A second smaller (0.6 cm) nodule seen dorsal to the carina on both lateral views. Two additional nodules are seen on the right lateral projections=ZZ90= one just caudal to the cardiac silhouette superimposed with one of the sixth ribs on the projection timestamped 4:10 PM and one superimposed the diaphragm on both right lateral views. The pleural space is normal. There is no apparent intrathoracic lymphadenopathy. The stomach contains unstructured heterogeneous soft tissue material presumed to be ingesta. There is mild T 11-T 12, moderate T 12-T 13 and mild L2-L3 spondylosis deformans.</t>
  </si>
  <si>
    <t>1. Pulmonary nodules. Metastatic disease is prioritized. The possibility that the largest of the nodules represents a primary lung tumor cannot be excluded. Fungal disease is less likely. Recommend abdominal sonography to evaluate for any evidence of intra-abdominal neoplasia. Fungal serology testing can also be considered if the patient has a history of travel to endemic areas or the possibility for pythiosis exposure._x000D_
2. Moderate to severe generalized cardiomegaly, likely hypertrophic cardiomyopathy, without evidence of decompensation. Recommend echocardiography for further evaluation._x000D_
3. The generalized bronchial pulmonary pattern may indicate allergic/inflammatory bronchitis (asthma). Infectious, parasitic and irritant bronchitis are also possible. Airway sampling plus/minus heartworm testing and Baermann fecal flotation can be considered for further evaluation.</t>
  </si>
  <si>
    <t xml:space="preserve">
1.This result detects minimal to mild, mixed interstitial and bronchial pulmonary patterns._x000D_
2.Rarely, this result detects a minimal to mild alveolar pulmonary pattern._x000D_
3.This result does NOT detect pleural fissure lines.  _x000D_
4.This result detects mild to severe cardiomegaly.</t>
  </si>
  <si>
    <t>Three radiographs of the thorax, and three views of the abdomen are provided. The cardiac silhouette and pulmonary vessels are normal size and shape. There are no abnormalities in the pulmonary parenchyma or pleural space. Hazy increased opacity dorsal to the cranial sternum on the left lateral view is superimposed skinfold. Adequate tracheal diameter. No laryngeal abnormalities._x000D_
_x000D_
In the abdomen serosal detail is adequate. The stomach is moderately distended with fluid, gas, and small accumulation of mineral opaque debris. Small bowel are mildly filled with fluid and gas. Formed feces fills the colon. Normal-sized liver, spleen, left kidney. The right kidney is obscured. No radiopaque urolithiasis. Osseous structures are unremarkable.</t>
  </si>
  <si>
    <t>Gastric contents may represent normal ingesta and/or foreign material causing gastritis and pyloric outflow obstruction. Otherwise normal abdomen and thorax.</t>
  </si>
  <si>
    <t>Consider supportive care, routine blood work, and repeat abdominal radiographs following a confirmed fast to rule out gastric foreign material. If the nasal congestion persists, additional nasal imaging with computed tomography should be considered.</t>
  </si>
  <si>
    <t>Thorax: There is an ill-defined pulmonary nodule within the caudal dorsal thorax (lateral to the uncertain however suspect near midline of the left caudal lung lobe.  The remainder of the pulmonary parenchyma is unremarkable.  The cardiac silhouette and pulm vasculature are unremarkable.  There is no evidence of pleural effusion or lymphadenopathy.  On the visible portions of the abdomen the liver is diffusely enlarged with irregular margins.</t>
  </si>
  <si>
    <t>Pulmonary nodule.  Neoplasia should be considered._x000D_
_x000D_
Hepatomegaly with irregular margins.  Neoplasia should be considered.</t>
  </si>
  <si>
    <t>Three radiographs of the thorax/abdomen are provided. The cardiac silhouette and pulmonary vessels are normal size and shape. There is hazy increased opacity to the right of the heart on the VD projection, with no definitive pulmonary parenchymal abnormalities on the lateral views. No pleural fluid or gas. Normal tracheal diameter. The diaphragm is intact. No rib fractures. In the abdomen serosal detail is adequate. The gastrointestinal tract is minimally filled. A few punctate mineral densities in the intestines are likely incidental. There is severe intestinal distention. Normal-sized liver, kidneys, and spleen. No radiopaque cystic calculi. Normal lumbar spine pelvis.</t>
  </si>
  <si>
    <t>The appearance of the right thorax is concerning for mild aspiration pneumonia. Mediastinal/pleural fat deposition could also cause this appearance. Otherwise normal thorax and abdomen.</t>
  </si>
  <si>
    <t>If the patient has a cough or abnormal lung auscultation, antibiotics would be recommended. Otherwise, abdominal ultrasound would be recommended.</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</si>
  <si>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right kidney is decreased in size as compared to the left.  At least 2 small calculi are noted in the right renal pelvis.  A punctate mineral opacity structure is noted in the mid dorsal abdomen, dorsal to the descending colon, on the left lateral view.  This may be within the plane of the ureter.  A similar, small mineral opacity structure is also noted dorsal to the trigone region of the urinary bladder in the same view.  The liver and spleen are normal in size and shape.  The stomach and small bowel contain a mild amount of gas.  No dilated or plicated loops of bowel are seen.  Formed stool is noted in the colon.  The urinary bladder is moderately distended.   A faintly visible mineral opacity structure roughly ovoid in shape is noted in the gravity-dependent portion of the urinary bladder on the lateral views.  Serosal detail is adequate._x000D_
No aggressive bony changes are noted.</t>
  </si>
  <si>
    <t>The appearance of the right kidney is consistent with chronic renal cortical infarction remodeling associated with chronic renal disease and nephrolithiasis.  I cannot definitively exclude the possibility of small ureteroliths.  The faintly visible mineral opacity shadow in the urinary bladder may be associated with sand-like debris.  The GI tract is within radiographic normal limits.  No evidence of mechanical obstruction is noted.  Diffuse enteritis or infiltrative disease cannot be ruled out._x000D_
Radiographically normal thorax.</t>
  </si>
  <si>
    <t>Four orthogonal thoracic radiographs dated 21st May 2024 are available for review. There are no previous radiographs available for comparison. _x000D_
_x000D_
Airway findings: The cervical and thoracic trachea have a normal size, outline and position. The carina, tracheal bifurcation and mainstem bronchi are normal. There is a mild diffuse bronchointerstitial opacification. In the cranioventral lung lobes this is slightly more dominant with a more interstitial component.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Normal_x000D_
_x000D_
Musculoskeletal findings: Normal_x000D_
_x000D_
Included abdomen: Normal</t>
  </si>
  <si>
    <t>Diffuse mild bronchointerstitial pattern: Primary consideration should be given to allergic bronchitis (feline asthma). Chronic bacterial /viral bronchitis +/- parasitic bronchitis should also be considered. Less likely are hyperardenocorticism, neoplasia (such a lymphoma) or idiopathic pulmonary fibrosis. The cranioventral distribution is atypical, however aspiration is considered unlikely.</t>
  </si>
  <si>
    <t xml:space="preserve">
1.This result detects a minimal to mild interstitial pulmonary pattern.  _x000D_
2.This result detects a minimal to mild bronchial pulmonary pattern._x000D_
3.Rarely, this result detects a minimal alveolar pulmonary pattern._x000D_
4.This result does not detect pulmonary vasculature enlargement._x000D_
5.Rarely, this result detects minimal pleural fissure lines/fluid._x000D_
6.This result detects equivocal/borderline to mild cardiomegaly.</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</si>
  <si>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entire GI tract is moderately gas distended, especially the stomach with some ingesta. Some feces are seen in the descending colon._x000D_
Small intestines is gas distended. _x000D_
Serosal detail is decreased._x000D_
Liver and spleen are within normal limits of size and smoothly marginated._x000D_
Kidneys and urinary bladder WNL._x000D_
_x000D_
Bilateral hip dysplasia with moderate DJD.</t>
  </si>
  <si>
    <t>1) Unremarkable thorax without signs of pulmonary metastases nor signs of thoracic lymphadenopathy._x000D_
2) Unremarkable abdomen other than signs of aerophagia.</t>
  </si>
  <si>
    <t>Consider a lateral view of the larynx and CT of the nasal cavity with rhinoscopy and biopsies. Laryngeal exam under sedation. Once patient is stable consider an abdominal US.</t>
  </si>
  <si>
    <t>Opposite lateral and VD views of the thorax and abdomen are provided. Previous radiographs dated 11-8-22 are compared._x000D_
_x000D_
There is a 2 cm round mass just cranial to the heart on midline. This mass was present in the previous study but has approximately tripled in volume. There is a new finding of a prominent lobar margin secondary to localized alveolar consolidation involving the right caudal dorsal lung at the cranial margin of the caudal lobe. This appears to be due to a combination of lung consolidation and partial lobe collapse. Scant pleural fluid is suspected in the vicinity. There is an associated mediastinal shift, but the apex of the heart was shifted into the right hemithorax in the previous study as well. Bronchial markings are mildly increased and other lung fields, but not as prominent as what was seen previously. The previously identified cardiomegaly is also less prominent, the heart is considered mildly enlarged in the current study._x000D_
_x000D_
There is bilateral nephrolithiasis which is similar to the previous radiographs. Nephrolithiasis is more severe in the left kidney. The right kidney is smaller than normal. Liver size is borderline at the upper end of normal range. The rest of the abdomen is within normal limits.</t>
  </si>
  <si>
    <t>The lesion seen in the cranial thorax in the previous study has increased in size, making a benign lesion such as a mediastinal cyst less likely. This lesion more likely represents a slow growing tumor or infiltrative lymph node._x000D_
The new pulmonary lesion involving the right caudal dorsal lung is concerning for pulmonary neoplasia, but focal pneumonia also cannot be excluded. An aspirated foreign body could be a possible explanation.</t>
  </si>
  <si>
    <t>The clinical signs are most likely secondary to the right caudal lobe pulmonary lesion._x000D_
Bronchoscopy would be ideal for definitive diagnosis. This area would probably be accessible for fine needle aspiration and cytology and culture as well._x000D_
Cross sectional imaging such as CT or MRI would be necessary for more definitive evaluation of the cranial mediastinal mass._x000D_
_x000D_
CBC is recommended to help blood infectious causes of the pulmonary lesion. Empiric antibiotic therapy with follow up radiographs in 2 to 3 weeks should be considered.</t>
  </si>
  <si>
    <t xml:space="preserve">
1.This result detects a minimal to mild, or rarely moderate bronchial pulmonary pattern._x000D_
2.This result does not detect pulmonary vasculature enlargement._x000D_
3.Rarely, this result detects minimal pleural fissure lines/fluid.  _x000D_
4.This result detects equivocal/borderline to mild cardiomegaly. _x000D_
5.Rarely, this result detects an alveolar pulmonary pattern._x000D_
6.This result detects a minimal, or rarely mild interstitial pulmonary pattern.  </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</si>
  <si>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Differential diagnoses for pleural fluid include: tangential beam artifact/pleural thickening, or unliklely scant pleural fluid (such as from chylous or idiopathic,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</si>
  <si>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Opposite lateral and ventrodorsal thoracic radiographs (4 images) dated May 18, 2024 and compared to July 9, 2022._x000D_
_x000D_
_x000D_
_x000D_
The cardiac silhouette is normal in size and shape and has a VHS of approximately 7.7. The pulmonary vasculature and great vessels are within normal limits. The rounded soft-tissue opacity in the cranial mediastinum and directly in contact with the cranial cardiac margin is now larger in the recheck interim and today measures 3.5 x 3.2 x 2.8 cm (prior 2.6 x 2.1 x 2.4 cm). This is resulting in a greater degree of cranial mediastinal widening on the VD projection. The trachea is normal in diameter and course with gas filling its lumen. The pleural space and diaphragm are normal. No pulmonary pathology is detected._x000D_
The liver, spleen, and kidneys are unremarkable. The stomach is distended with a large amount of gas. Peritoneal detail is normal._x000D_
The right elbow has periarticular bony remodeling affecting it. No aggressive osseous lesions are identified.</t>
  </si>
  <si>
    <t>1. Normal cardiovascular structures._x000D_
2. Progressive enlargement of the cranial mediastinal mass. Differentials include thymoma, branchial cyst, and unlikely other causes._x000D_
3. Right elbow osteoarthritis and medial epicondylitis._x000D_
4. Gastric distention with gas. Rule out gas buildup secondary to sedation vs. aerophagia vs. less likely gastric stasis from gastroenteritis.</t>
  </si>
  <si>
    <t>Sedated parasternal ultrasound of the cranial mediastinal mass and consider FNA for attempted cytologic diagnosis._x000D_
Echocardiogram if not performed in the last 6-8 months.</t>
  </si>
  <si>
    <t>Patient name: Cleo Tran-Bilello_x000D_
THORAX (3 views, 3 images=ZZ90= [2 lateral, 1 VD])_x000D_
Images are dated May 20, 2024._x000D_
There are no previous radiographs for comparison. _x000D_
_x000D_
Airway/Pulmonary: The lungs are adequately inflated.  Diffusely throughout the lungs, a mild increase in bronchial opacity is observed.  No distinct soft tissue pulmonary nodules are detected.  Tracheal and mainstem bronchial diameter is normal. _x000D_
_x000D_
Cardiovascular: The cardiac silhouette is normal in size and shape.  Mild epicardial fat is observed. Pulmonary vessels are normal in width. The mainstem vessels are normal._x000D_
_x000D_
Mediastinum: No lymph node enlargement is detected.  The caudal vena cava is normal in height.  _x000D_
_x000D_
Pleural space: No pleural effusion is seen. _x000D_
_x000D_
Cranial abdomen: Visible portions of the liver, spleen, kidneys, stomach, small intestine, colon, and urinary bladder are within normal limits. _x000D_
_x000D_
Musculoskeletal: No abnormalities detected in the visible musculoskeletal structures.</t>
  </si>
  <si>
    <t>Mild to moderate generalized bronchial pulmonary pattern likely indicates allergic/inflammatory bronchitis (e.g. feline asthma). Infectious, parasitic and irritant bronchitis cannot be excluded.</t>
  </si>
  <si>
    <t>Airway sampling +/- heartworm testing and Baermann fecal flotation can be considered for further evaluation. Alternatively, continued empiric medical management for asthma can be considered.</t>
  </si>
  <si>
    <t xml:space="preserve">
1.Negative for pleural fissure lines/pleural fluid._x000D_
2.Cardiac silhouette: Normal in most cases; rarely, minimal to mild generalized cardiomegaly is present._x000D_
3.Negative for pulmonary vasculature enlargement._x000D_
4.Uncommonly, this result detects a minimal to mild bronchial pulmonary pattern._x000D_
5.Rarely, this result detects a minimal to mild interstitial pulmonary pattern._x000D_
6.Rarely, this result detects a minimal alveolar pulmonary pattern.</t>
  </si>
  <si>
    <t>Thorax: There is a mild diffuse peribronchial pattern.  The cardiac silhouette and pulmonary vasculature are unremarkable.  There is no evidence of pleural effusion or lymphadenopathy._x000D_
_x000D_
Abdomen: There is no evidence of a gastrointestinal foreign body or obstruction.  Both kidneys on the lower limits of normal for size and one of the kidneys has flattening of the caudal pole.  The liver and spleen are unremarkable.  Serosal detail is normal.  There is a moderate amount of fecal material throughout the colon and rectum.</t>
  </si>
  <si>
    <t>Mild diffuse peribronchial pattern which may represent a lower airway inflammatory process._x000D_
_x000D_
The size and appearance of the kidneys may represent degenerative changes._x000D_
_x000D_
Moderate amount of fecal material throughout the colon and rectum which may represent variation of normal however constipation cannot be ruled out.</t>
  </si>
  <si>
    <t>WHOLE-BODY (3 radiographs available for review). A previous examination is available for comparison dated 02/14/23._x000D_
_x000D_
- Peritoneal serosal detail is normal._x000D_
- Stomach contains mild gas and gas-stippled soft-tissue opaque material._x000D_
- Small intestine mild multifocal gas and soft-tissue opaque material._x000D_
- Colon contains gas and formed fecal material._x000D_
- Liver, spleen, kidneys and urinary bladder are normal._x000D_
- Mild diffuse bronchial pulmonary pattern._x000D_
- Pulmonary parenchyma, pleural space, trachea normal._x000D_
- Cardiac silhouette and pulmonary vasculature normal._x000D_
- No discrete musculoskeletal abnormalities are noted.</t>
  </si>
  <si>
    <t>1. A clear radiographic cause for the reported clinical signs is not identified. I cannot appreciate abnormalities in the region of the ileocolic junction (right cranial abdomen), however radiographic sensitivity may be limited. The kidneys appear within normal limits for size, shape and margins however this does not exclude degenerative renal disease, as is reported in the history. _x000D_
_x000D_
2. Mild diffuse bronchial pattern may be chronic lower airway disease (e.g. asthma, bronchitis) but is subtle and could be a normal patient variant.</t>
  </si>
  <si>
    <t>CT of the nasal cavity with rhinos copy and biopsies if not done.</t>
  </si>
  <si>
    <t xml:space="preserve">
1.This result detects a minimal to mild bronchial pulmonary pattern._x000D_
2.This result detects equivocal/borderline to mild, or rarely moderate cardiomegaly. _x000D_
3.Rarely, this result detects a minimal alveolar pulmonary pattern._x000D_
4.This result does not detect pulmonary vasculature enlargement._x000D_
5.This result does not detect pleural fissure lines/fluid.  _x000D_
6.This result detects a minimal to mild interstitial pulmonary pattern.  </t>
  </si>
  <si>
    <t>Orthogonal views of the thorax are provided:_x000D_
_x000D_
Thorax:_x000D_
_x000D_
No abnormalities are seen in the trachea. 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t>
  </si>
  <si>
    <t>3 views of the abdomen are provided for review.  Serosal detail is adequate in all quadrants.  The stomach contains a large amount of mottled soft tissue material.  The small intestines are normal in size.  Gas and feces are present in the colon.  The urinary bladder is small.  The remaining abdominal organs are normal.</t>
  </si>
  <si>
    <t>Material within the stomach may represent normal ingesta or foreign material.</t>
  </si>
  <si>
    <t>Three radiographs of the thorax and three views of the abdomen are provided. The cardiac silhouette and pulmonary vessels are normal size and shape. There are no abnormalities in the pulmonary parenchyma. No pleural effusion or intrathoracic lymphadenomegaly._x000D_
_x000D_
In the abdomen serosal detail is normal. Large volume soft tissue opaque ingesta fills the stomach. Small intestines are mildly filled with gas and stippled soft tissue density. Formed feces fills the colon. The fecal column is normal size for this patient. Normal-sized liver, kidneys, and spleen. The urinary bladder is distended and soft tissue opaque. Osseous structures are normal.</t>
  </si>
  <si>
    <t>Normal thorax and postprandial abdomen. A reason for weight loss is not identified.</t>
  </si>
  <si>
    <t>Fasted abdominal ultrasound could be considered to further workup the weight loss.</t>
  </si>
  <si>
    <t>Three radiographs of the thorax/abdomen are provided and are compared to images dated 10/23/23. The cardiac silhouette is normal size and shape on the lateral views. The heart appears larger on the VD projection due to partial expiration and adjacent fat deposition. There are no abnormalities in the pulmonary parenchyma. No pleural effusion. Tracheal diameter. No esophageal dilation._x000D_
_x000D_
In the abdomen there is large volume formed and somewhat angular soft tissue opaque feces filling the colon. The fecal column measures up to 2.8 cm diameter. The stomach contains a moderate volume gas soft tissue opaque ingesta. The left kidney is smoothly irregular and has several smoothly ovoid mineral opaque calculi measuring up to 0.6 cm. Small right kidney with punctate nephroliths. These renal changes were present previously. No radiopaque cystic calculi today. No osseous abnormalities.</t>
  </si>
  <si>
    <t>1. Normal thorax. No intrathoracic abnormalities are identified._x000D_
2. Constipation._x000D_
3. Chronic renal disease.</t>
  </si>
  <si>
    <t>If further nasal imaging is desired, computed tomography would be recommended.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</si>
  <si>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moderately distended.  The remaining abdominal organs are normal.</t>
  </si>
  <si>
    <t>Opposite lateral and ventrodorsal whole body radiographs (3 images) dated May 17,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abdomen is distended with a large amount of amorphous soft-tissue/fluid that is consistent with peritoneal effusion. This causing border effacement of multiple viscera, including the liver, spleen, urinary bladder, kidneys. The stomach contains a moderate amount of gas and heterogeneous ingesta. The small intestine is variably dilated with gas. The colon contains normal stool._x000D_
_x000D_
There is evidence of epaxial muscle wasting, characterized by protruding dorsal spinous processes. There is lumbar spondylosis deformans and minimal right hip osteoarthritis.</t>
  </si>
  <si>
    <t>1. Peritoneal effusion and cachexia. This is concerning for malignant neoplasia (carcinomatosis or lymphomatosis) vs. FIP vs. liver failure and lateral portal hypertension vs. less likely chylous effusion, septic peritonitis, and hemorrhage._x000D_
2. Unremarkable thorax.</t>
  </si>
  <si>
    <t>Abdominal ultrasound. Abdominocentesis for fluid analysis and cytology.</t>
  </si>
  <si>
    <t xml:space="preserve">
1.Rarely, this result detects minimal to mild pleural fissure lines/fluid._x000D_
2.This result detects minimal to mild, mixed interstitial and bronchial pulmonary patterns._x000D_
3.This result does NOT detect an alveolar pulmonary pattern.  _x000D_
4.This result does NOT detect soft tissue pulmonary nodules._x000D_
5.This result detects minimal/equivocal to moderate cardiomegaly.</t>
  </si>
  <si>
    <t>Patient Name : Tootie Mark, Date of study: May 17, 2024
6 images are provided for review
There are no previous radiographs for comparison.
Findings:
Cardiac silhouette: The cardiac silhouette is small in size and normal in shape.
Pulmonary vessels: The pulmonary veins are small in size.
Pulmonary parenchyma: The pulmonary parenchyma is normal with no abnormal pulmonary patterns.
Pleural space: The pleural space is normal, without gas or fluid.
Mediastinum: The mediastinum is normal in width and opacity.
Trachea: The trachea is normal in diameter and course.
Esophagus: The region of the esophagus is within normal limits.
Gastrointestinal tract: The stomach is empty. The small intestines are diffusely normal in diameter and distribution and are primarily soft tissue opaque.
Liver: The liver is normal in size and shape.
Spleen: The spleen is unremarkable.
Urinary: The kidneys are normal in size, shape, and margination. The urinary bladder is mildly distended and is normal in opacity.
Peritoneal space: There is adequate serosal detail. There is a metal hemoclip superimposed with the soft tissues in the cranial aspect of the pelvic canal.
Musculoskeletal: There are no fractures, luxations, or subluxations identified. There are several regions of subcutaneous emphysema dorsal to the lumbar spine, along the right inguinal space, and adjacent to the proximal hindlimbs.</t>
  </si>
  <si>
    <t>1. Hypovolemia. This may be secondary to dehydration +/- shock.
2. Subcutaneous emphysema consistent with recent trauma. Infected bite wounds should be considered given hyperthermia. 
3. There is no evidence of intra-thoracic, intra-abdominal, or skeletal trauma.</t>
  </si>
  <si>
    <t>Medical/surgical management for the reported wounds are recommended. A full neurologic exam could be considered to screen for evidence of neurogenic trauma.</t>
  </si>
  <si>
    <t>Three radiographs of the thorax/abdomen are provided. The cardiac silhouette and pulmonary vessels are normal size and shape. There are no abnormalities in the pulmonary parenchyma or pleural space. There is hazy ovoid 2.5 x 1.5 cm soft tissue density dorsal to the 2nd sternal segment._x000D_
_x000D_
In the abdomen there is a well delineated round 9.2 cm soft tissue opaque mass in the mid ventral abdomen, causing dorsal and caudal displacement of bowel loops. The gastric axis is in normal position. The gastrointestinal tract is mildly filled. The kidneys are normal size. There is reduced mid abdominal detail. No radiopaque cystic calculi. Osseous structures are unremarkable.</t>
  </si>
  <si>
    <t>1. Large ventral abdominal mass with scant adjacent effusion. Neoplasia such as hemangiosarcoma originating from the spleen is most likely. A pedunculated hepatic mass or mesenteric mass are given lesser consideration._x000D_
2. Probable mild sternal lymphadenopathy versus artifact caused by superimposed thoracic limb tissue. If this is a lymph node, is likely metastatic disease associated with the abdominal mass. Reactive lymphadenopathy is given secondary consideration.</t>
  </si>
  <si>
    <t>Recommend abdominal ultrasound to confirm origin of the mass, obtain fine needle aspirates, and rule out additional lesions which may preclude surgical intervention. The region of the sternal lymph node could be evaluated at the same time.</t>
  </si>
  <si>
    <t>A three view thoracoabdominal study is provided for interpretation._x000D_
_x000D_
Heart size is borderline, at the upper end of acceptable range. The base of the heart appears mildly widened in the VD view, with a slight bulge on the right side. Pulmonary vessels are within normal limits. There is a slight increase in bronchial markings in all lung fields. The appearance is within the limits of what could be seen as age related change. No tracheal abnormalities are identified. No pleural effusion is seen._x000D_
_x000D_
The liver is also borderline for size, at the upper end of normal range to slightly enlarged. The other abdominal organs are within normal size and segments. No mass lesions or loss of detail are seen. The GI tract is within normal limits._x000D_
_x000D_
There is severe narrowing of the L2-L3 intervertebral disc space, and moderate narrowing and spondylosis at L7-S1. No destructive bone lesions are identified.</t>
  </si>
  <si>
    <t>Heart size is borderline. Hypertrophic cardiomyopathy would still be a likely explanation for the reported heart murmur. There is no evidence of congestive heart failure in this study, so relevance of cardiac pathology to the clinical signs is probably limited._x000D_
_x000D_
Bronchial markings are slightly increased, so chronic lower airway disease such as asthma is possible. The changes are mild enough has two also potentially be age related and incidental._x000D_
_x000D_
Other causes for the tachypnea and increased respiratory effort including upper airway pathology and adverse chemical reaction should still be ruled out._x000D_
_x000D_
There is evidence of disc degeneration in the cranial lumbar spine and lumbosacral joint.</t>
  </si>
  <si>
    <t>Cardiac disease is not suspected to be associated with the current presenting complaint. Echocardiography should still be considered at some point to evaluate significance of the heart murmur._x000D_
_x000D_
Upper airway pathology should be ruled out as a cause of the clinical signs.</t>
  </si>
  <si>
    <t xml:space="preserve">
1.Rarely, this result detects a minimal alveolar pulmonary pattern._x000D_
2.This result does not detect pulmonary soft tissue nodules._x000D_
3.This result does not detect pulmonary vasculature enlargement._x000D_
4.This result detects no cardiomegaly to equivocal/borderline cardiomegaly. _x000D_
5.This result detects a minimal, or rarely mild interstitial pulmonary pattern._x000D_
6.Rarely, this result detects minimal pleural fissure lines/fluid._x000D_
7.This result detects a minimal  mild, or rarely moderate bronchial pulmonary pattern.</t>
  </si>
  <si>
    <t>A three view thoracoabdominal study is provided for interpretation._x000D_
_x000D_
The patient has thin body condition. There is narrowing of the lumbosacral disc space and mild narrowing at L6-L7. No destructive or productive bone lesions are seen._x000D_
_x000D_
The cardiovascular structures are within normal limits. Bronchial markings in the lungs are mildly increased. No alveolar infiltrates or pleural effusion are seen._x000D_
_x000D_
Abdominal detail is reduced secondary to the thin body condition of the patient. No mass lesions or organomegaly are identified. The GI tract is unremarkable.</t>
  </si>
  <si>
    <t>The mild bronchial pattern is equivocal as to significance. This could be due to mild chronic lower airway disease or prominent age related changes, depending on relevant clinical signs._x000D_
_x000D_
No evidence of cardiovascular disease, neoplasia, or major organ abnormalities is identified._x000D_
There is evidence of disc degeneration at the lumbosacral junction.</t>
  </si>
  <si>
    <t>No specific treatment is indicated based on the radiographic findings._x000D_
Metabolic or systemic infectious disease should be ruled out with appropriate labwork.</t>
  </si>
  <si>
    <t xml:space="preserve">
1.This result detects equivocal/borderline to mild cardiomegaly._x000D_
2.This result detects a minimal to moderate, or rarely severe bronchial pulmonary pattern._x000D_
3.This result detects a minimal to mild interstitial pulmonary pattern._x000D_
4.Rarely, this result detects a minimal alveolar pulmonary pattern._x000D_
5.Rarely, this result detects minimal pleural fissure lines/fluid. </t>
  </si>
  <si>
    <t>Study:_x000D_
Thoracic/abdominal radiography: three images dated May 16, 2024_x000D_
_x000D_
Findings:_x000D_
The cardiac silhouette is normal in size and shape. The pulmonic vasculature is normal in size. There is a severe generalized bronchial pulmonary pattern. There is an approximately 3.5 cm soft tissue opaque mass with a gas lucent central region in the dorsal aspect of the left caudal lung lobe. The pleural space is normal. There is no intrathoracic lymphadenopathy. The trachea is normal in diameter. The abdominal serosal detail is normal. The stomach contains a small volume of gas. The small intestines are normal in size, course and content. The colon contains formed fecal material. The liver and spleen are normal in size and margin. The right kidney is markedly small and irregular. There are two punctate mineral foci in the right kidney. The left kidney is normal in size and contour. The urinary bladder is normal in size and opacity. There is variable mild to severe multifocal spondylosis deformans present.</t>
  </si>
  <si>
    <t>1. Cavitated left caudal lung lobe mass. Rule out primary pulmonary carcinoma versus pulmonary abscess. Computed tomography of the thorax and lung lobectomy can be considered._x000D_
2. The severe generalized bronchial pulmonary pattern likely indicates the reported allergic/inflammatory bronchitis (asthma). Infectious, parasitic and irritant bronchitis cannot be completely excluded._x000D_
3. The markedly small and irregular appearance of the right kidney is indicative of chronic kidney disease. The punctate mineral foci in the right kidney may represent nephrolithiasis or nephrocalcinosis. Correlate with renal values, SDMA testing and urinalysis.</t>
  </si>
  <si>
    <t xml:space="preserve">
1.This result detects equivocal/borderline to mild cardiomegaly. _x000D_
2.This result detects a minimal to mild, or uncommonly moderate interstitial pulmonary pattern.  _x000D_
3.This result detects a moderate to severe bronchial pulmonary pattern._x000D_
4.Uncommonly, this result detects a minimal to mild alveolar pulmonary pattern._x000D_
5.Uncommonly, this result detects pulmonary soft tissue or cavitary nodules._x000D_
6.This result does not detect pulmonary vasculature enlargement._x000D_
7.Rarely, this result detects minimal pleural fissure lines/fluid.  </t>
  </si>
  <si>
    <t>Study:_x000D_
Thoracic/abdominal radiography: three images dated May 16,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right kidney is small irregular. The left kidney is mildly enlarged with smooth margins. The urinary bladder is normal in size and opacity. There is no uterine dilation. The osseous structures are unremarkable.</t>
  </si>
  <si>
    <t>1. Normal thorax. There is no radiographic evidence of pulmonary metastatic disease._x000D_
2. Small and irregular appearance of the right kidney is indicative of chronic kidney disease. The mild left renomegaly likely indicates compensatory hypertrophy. Nephritis or hydronephrosis cannot be completely excluded. Correlate with renal values, SDMA testing and urinalysis.</t>
  </si>
  <si>
    <t>Abdominal sonography can be considered for further staging.</t>
  </si>
  <si>
    <t>WHOLE-BODY (3 radiographs for review). No previous examinations for comparison._x000D_
_x000D_
- Peritoneal serosal detail is normal._x000D_
- The stomach contains mild gas and gas stippled soft-tissue opaque material._x000D_
- The small intestine contains mild gas and has a multifocal string of pearls appearance (normal)._x000D_
- The colon contains gas and formed fecal material._x000D_
- The liver, spleen, kidneys, urinary bladder and remaining abdominal structures appear normal._x000D_
- Mild diffuse bronchial pattern._x000D_
- Cardiac silhouette, pulmonary vasculature normal._x000D_
- Trachea, pleural space, mediastinum and remaining included intrathoracic structures normal._x000D_
- The patient has an excessive body habitus._x000D_
- Single right-sided ribs originating from L1.</t>
  </si>
  <si>
    <t>1. A discrete cause for the reported vomiting and anorexia is not clearly identified. There is no evidence of mechanical obstruction. The appearance of the stomach and small intestine is nonspecific and can be due to aerophagia or functional ileus such as gastroenteritis or infiltrative bowel disease (e.g. IBD). If clinically indicated, abdominal ultrasound might be pursued for further investigation._x000D_
_x000D_
2. Mild diffuse bronchial pulmonary pattern may indicate a component of chronic lower airway disease such as feline asthma._x000D_
_x000D_
3. Excessive body habitus._x000D_
_x000D_
4. Transitional L1 vertebral segment.</t>
  </si>
  <si>
    <t>A three view study of the thorax is provided for interpretation._x000D_
_x000D_
The patient has obese body condition. There is increased mediastinal and pericardial fat that affects the appearance of the cardiac silhouette. Aside from this, the heart appears mildly enlarged in the left lateral view and slightly widened at the base in the VD view. The appearance in the right lateral view is relatively normal. There is a mild bronchointerstitial pulmonary pattern. No tracheal abnormalities are seen. No edema or pleural effusion is identified.</t>
  </si>
  <si>
    <t>Heart size is borderline overall, appearing relatively normal in the right lateral view and mildly enlarged in the left lateral view. Hypertrophic cardiomyopathy would be a primary differential for the increased proBNP. There is no evidence of heart failure._x000D_
_x000D_
The mild bronchointerstitial pattern is equivocal. The appearance would be compatible with low-grade bronchitis of relevant signs are present, but would also be compatible with combined hypoinflation and obesity artifact.</t>
  </si>
  <si>
    <t>Consultation with a cardiologist should be considered.</t>
  </si>
  <si>
    <t>Abdomen: There is a moderate amount of heterogeneous soft tissue opacity within the gastric lumen as well as several segments of small intestine.  Several segments of small intestine are considered on the upper limits of normal for diameter.  A definitive obstructive process is not identified.  The liver and spleen are unremarkable.  The visible portions of the urinary tract are unremarkable.  Serosal detail is normal._x000D_
_x000D_
Thorax: The pulmonary parenchyma, cardiac silhouette, and pulmonary vasculature are unremarkable.  There is no evidence of pleural effusion or lymphadenopathy.</t>
  </si>
  <si>
    <t>The heterogeneous soft tissue opacities within the gastrointestinal tract most likely represents normal ingesta.</t>
  </si>
  <si>
    <t xml:space="preserve">
1.This result does not detect pulmonary vasculature enlargement._x000D_
2.Rarely, this result detects minimal pleural fissure lines/fluid._x000D_
3.This result detects equivocal/borderline to mild, or rarely moderate cardiomegaly._x000D_
4.This result detects a minimal, or rarely mild interstitial pulmonary pattern.  _x000D_
5.This result detects a minimal to mild, or rarely moderate to severe bronchial pulmonary pattern._x000D_
6.Rarely, this result detects a minimal alveolar pulmonary pattern._x000D_
7.This result does not detect pulmonary soft tissue nodules.</t>
  </si>
  <si>
    <t xml:space="preserve">If the patient has respiratory clinical signs, then differential diagnoses for a predominantly bronchial pulmonary pattern include: immune-mediated lower airway disease (i.e. feline asthma) or infectious lower airway disease (such as mycoplasma spp., parasitism, viral, or other), less likely inhaled allergen/irritant, or unlikely evolving left-sided congestive heart failure or other. If the patient has no respiratory clinical signs, then differential diagnoses for bronchial and interstitial pulmonary patterns include: changes from prior disease,  age-related factors, errors in patient positioning/technique, pulmonary hypoinflation, or a combination of these. The primary differential diagnosis for a minimal alveolar pattern is atelectasis or bronchial plugging such as from concurrent infectious/inflammatory lower airway disease (i.e. feline asthma).  Bronchopneumonia, or other differential diagnoses are considered less likely. Differential diagnoses for cardiomegaly include: hypertrophic or thyrotoxic cardiomyopathy in a mature or older patient, or congenital anomaly in a very young patient, or unlikely heartworm disease (unless in edemic areas) or unlikely phase of the cardiopulmonary cycle, patient positioning/technique, or individual variation of normal (especially in younger patients).  The primary differential diagnosis for minimal pleural fissure lines is tangential beam artifact or pleural thickening/folding.  Scant pleural fluid (such as from idiopathic, chylous, or other effusion) is considered unlikely.  </t>
  </si>
  <si>
    <t xml:space="preserve">
If respiratory clinical signs (e.g. coughing) are present, consider empirical therapy and supportive care for infectious and/or immune-mediated lower airway disease in the interim.  Consider also airway sampling, fecal analysis/empirical deworming, and respiratory PCR panel._x000D_
Consider cardiologist consultation, echocardiography, ECG and blood pressure._x000D_
Consider routine blood work, urinalysis, and thyroid function testing if not recently performed, especially for mature or older patients._x000D_
If your clinical impression of this patient does not match the content of this result, consider submitting the radiographs for a formal radiologist report.</t>
  </si>
  <si>
    <t>Study:_x000D_
Thoracic radiography: four images dated May 16,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included abdomen is unremarkable. There is mild T 11-T 12 spondylosis deformans. A smoothly marginated mineral body is present adjacent to the radial head bilaterally, likely representing the sesamoid of the supinator muscle (normal variant).</t>
  </si>
  <si>
    <t>The generalized bronchial pulmonary pattern may indicate allergic/inflammatory bronchitis (asthma). Infectious, parasitic and irritant bronchitis are also possible. Airway sampling, heartworm testing and Baermann fecal flotation can be considered for further evaluation._x000D_
_x000D_
The suspected lower airway disease may be unrelated to the upper respiratory signs. Consider infectious respiratory disease PCR testing, computed tomography of the head and rhinoscopy for further evaluation of the reported bilateral mucopurulent nasal discharge.</t>
  </si>
  <si>
    <t>Three orthogonal survey radiographs of the thorax and abdomen dated 16th May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contains some granular food material, with a normal axis. The small intestines are distributed evenly and are within normal limits for shape, size and contents. The ascending, transverse and descending colon have a normal position and contain gradually more formed faeces. There is a mild increased amount of gas in the descending colon. The urinary bladder is filled. The serosal detail is normal._x000D_
_x000D_
Musculoskeletal findings: No significant abnormalities are detected.</t>
  </si>
  <si>
    <t>1. Normal thorax._x000D_
2. Normal post-prandial abdomen. The increased gas in the colon may be due to a mild colitis (infectious-inflammatory, eosinophilic, lymphocytic/plasmacytic, other), however the faeces are formed.</t>
  </si>
  <si>
    <t>A complete abdominal ultrasonographic examination may be considered, with a view to FNA of abnormal organs, after complete blood work, and a normal coagulation panel.</t>
  </si>
  <si>
    <t>Study:_x000D_
Thoracic/abdominal radiography: three images dated May 16,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</si>
  <si>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Unremarkable abdomen. A cause of the reported acute vomiting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t>
  </si>
  <si>
    <t>3 views of the torso are submitted for review._x000D_
In the thorax, the cardiovascular structures are within normal limits.  A mild to moderate generalized bronchial pattern is noted throughout the lung fields.  No pleural effusion or intrathoracic lymphadenopathy is noted.  The trachea is normal in diameter._x000D_
In the abdomen, the stomach contains a moderate amount of food-like material.  The small bowel contains mild amount of ingesta without overt dilation or plication.  A mild amount of gas and stool is noted in the colon.  The liver and spleen are normal in size, shape, and margination.  The bilateral renal silhouettes are within normal limits.  The urinary bladder is unremarkable.  Serosal detail is normal.  No significant osseous abnormalities are seen.</t>
  </si>
  <si>
    <t>The appearance of the lung field is consistent with chronic inflammatory airway disease as with feline asthma or chronic bronchitis._x000D_
Radiographically normal postprandial abdomen.</t>
  </si>
  <si>
    <t>Empirical medical management as clinically indicated appears appropriate.</t>
  </si>
  <si>
    <t xml:space="preserve">
1.This result detects a mild to severe bronchial pulmonary pattern._x000D_
2.This result detects a minimal to mild interstitial pulmonary pattern._x000D_
3.Rarely, this result detects a minimal to moderate alveolar pattern. _x000D_
4.This result does NOT detect soft tissue pulmonary nodules.  _x000D_
5.This result detects equivocal/borderline to moderate cardiomegaly._x000D_
6.This result does NOT detect pleural fissure lines.</t>
  </si>
  <si>
    <t>Study:_x000D_
Thoracic/abdominal radiography: four images dated May 16,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abdominal serosal detail is normal. The stomach contains unstructured heterogeneous soft tissue material presumed to be ingesta.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There is in situ mineralization of the L4-L5, L5-L6 and L6-L7 intervertebral discs. The patient is of overweight body condition.</t>
  </si>
  <si>
    <t>1. Postprandial stomach=ZZ90= otherwise, unremarkable abdomen. A cause for the vomiting is not evident and the volume of fecal material is not supportive of constipation. There is no radiographic evidence of gastrointestinal foreign material or small intestinal mechanical obstruction. Abdominal sonography and a G.I. panel can be considered for further evaluation if clinical signs persist or worsen in spite of medical management._x000D_
2. The generalized bronchial pulmonary pattern may indicate allergic/inflammatory bronchitis (asthma). Infectious, parasitic and irritant bronchitis are also possible. Airway sampling, heartworm testing and Baermann fecal flotation can be considered for further evaluation._x000D_
3. L4-L5, L5-L6 and L6-L7 in situ degenerative disc disease.</t>
  </si>
  <si>
    <t>Three radiographs of the thorax and three views of the abdomen are provided. The cardiac silhouette and pulmonary vessels are normal size and shape. There are no abnormalities in the pulmonary parenchyma or pleural space. Increased opacity overlying the caudal lateral left lungs on the VD views is superimposed mammary lesion. Normal cranial mediastinal width. Tracheal diameter is adequate._x000D_
_x000D_
In the abdomen formed feces fills the colon. The stomach and small bowel are minimally filled. Normal-sized kidneys, liver, and spleen. No radiopaque urolithiasis. Poorly delineated approximately 3.8 cm mid ventral left extra-abdominal mass and 4.5 x 1.2 cm cranioventral left extra-abdominal mass consistent with the reported mammary lesions. Two ovoid soft tissue densities measuring 2.4 x 1.4 cm in the inguinal region consistent with lymphadenopathy.</t>
  </si>
  <si>
    <t>Mammary masses, most likely malignant neoplasia. Inguinal lymphadenopathy may be reactive or metastatic. There are no intra-abdominal or intrathoracic abnormalities.</t>
  </si>
  <si>
    <t>There is no contraindication for general anesthesia based on this study.</t>
  </si>
  <si>
    <t>Study:_x000D_
Thoracic/abdominal radiography: four images dated May 15,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On the lateral projections, there is a small intestinal segment in the ventral abdomen the contains fragmented gas and has a mildly undulating margin. There is no small intestinal dilation. The colon contains formed fecal material. The liver and spleen are normal in size and margin. The renal silhouettes are normal in size and contour. The urinary bladder is normal in size and opacity. No skeletal abnormalities are present.</t>
  </si>
  <si>
    <t>1. The undulating margin of the small intestinal segment in the midabdomen in conjunction with the fragmented gas pattern seen in this segment, is concerning for a linear foreign body/intestinal plication. Pronounced corrugation secondary to enteritis cannot be completely excluded._x000D_
2. Normal thorax.</t>
  </si>
  <si>
    <t>Given the length of time from exam, repeat radiography can be considered to monitor for persistence or resolution this finding. Alternatively, abdominal sonography can be considered for further evaluation.</t>
  </si>
  <si>
    <t xml:space="preserve">
1.Uncommonly, this result detects a minimal to mild bronchial pulmonary pattern._x000D_
2.Negative for pulmonary vasculature enlargement._x000D_
3.Rarely, this result detects a minimal to mild interstitial pulmonary pattern._x000D_
4.Rarely, this result detects a minimal alveolar pulmonary pattern._x000D_
5.Cardiac silhouette: Normal in most cases; rarely, minimal to mild generalized cardiomegaly is present._x000D_
6.Negative for pleural fissure lines/pleural fluid.</t>
  </si>
  <si>
    <t>5 images of the thorax and abdomen are presented for review.  There is rounding of the left ventricular margin.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moderately distended.  The kidneys are small.  The remaining abdominal organs are normal.  There is spondylosis deformans of the lumbosacral spine.</t>
  </si>
  <si>
    <t>Material within the stomach may represent residual ingesta or foreign material.  Consider repeat radiographs following strict fasting to determine if gastric contents persist.  Small kidneys suggestive of chronic renal disease.  Mild cardiomegaly without current evidence of cardiogenic pulmonary edema.  Echocardiography, proBNP, and thyroid testing may be helpful in further evaluation.</t>
  </si>
  <si>
    <t xml:space="preserve">
1.This result detects none, or a minimal to mild interstitial pulmonary pattern.  _x000D_
2.This result detects none, or a minimal to mild bronchial pulmonary pattern._x000D_
3.Rarely, this result detects a minimal alveolar pulmonary pattern._x000D_
4.This result does not detect pulmonary soft tissue nodules._x000D_
5.This result detects equivocal/borderline to mild, or rarely moderate cardiomegaly. _x000D_
6.This result does not detect pulmonary vasculature enlargement._x000D_
7.This result does not detect pleural fissure lines/fluid.  </t>
  </si>
  <si>
    <t>Study:_x000D_
Thoracic radiography: three images dated May 15,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No skeletal abnormalities are present.</t>
  </si>
  <si>
    <t>Normal thorax. There is no radiographic evidence of cardiopulmonary disease. The lack of a bronchial palmar a pattern does not exclude the possibility of allergic/inflammatory, inhaled irritant or, less likely (given the strictly and dorsalis the patient), infectious or parasitic bronchitis. Airway sampling plus/minus heartworm testing can be considered to further evaluate for lower disease.</t>
  </si>
  <si>
    <t>Four radiographs of the thorax and abdomen are provided. The cardiac silhouette is normal size and shape. Fat deposition is seen along the left side of the heart on the VD projection. A mild bronchial pattern is present. There is no pleural effusion. Small volume gas in the esophagus is transient. There is no persistent/diffuse esophageal dilation. Tracheal diameter is adequate. In the abdomen there is large volume gas in the stomach and throughout the small bowel. There is no effusion. Gas and small volume of formed feces in the colon. No radiopaque foreign material. Normal-sized liver, spleen, kidneys.</t>
  </si>
  <si>
    <t>1. Mild bronchial pattern consistent with chronic airway inflammation such as asthma. A respiratory abnormality is the most likely cause for the clinical findings. Upper airway disease (nasal, pharyngeal, laryngeal) remains possible._x000D_
2. Gas-filled gastrointestinal tract consistent with aerophagia. No other abdominal abnormalities.</t>
  </si>
  <si>
    <t>Recommend aural, oral and laryngeal evaluation.</t>
  </si>
  <si>
    <t>Two views of the thorax are provided for review. There is a severe bronchial pattern in all lung lobes.  Patchy alveolar opacity is present in the right cranial, right caudal, left cranial, and left caudal lung lobes.  The cardiovascular structures are normal.  The mediastinal and pleural structures are normal.  Cranial abdominal detail is mildly reduced.</t>
  </si>
  <si>
    <t>Severe bronchial pulmonary pattern.  Considerations include asthma, heartworm, lungworm, atypical infection, bronchitis.  Patchy alveolar pulmonary pattern concerning for concurrent pneumonia, pulmonary edema, hemorrhage, or neoplasia.  Consider empiric therapy versus further diagnostics such as heartworm testing, Baermann fecal, airway sampling.  Reduced cranial abdominal detail may indicate free fluid.  Additional abdominal imaging such as ultrasound may also be helpful.</t>
  </si>
  <si>
    <t>WHOLE-BODY (5 radiographs for review). No previous examinations for comparison._x000D_
_x000D_
- Moderate diffuse bronchial pulmonary pattern._x000D_
- Mild pulmonary hyperinflation._x000D_
- Cardiac silhouette, pulmonary vasculature normal._x000D_
- Trachea, mediastinum, esophagus and remaining included intrathoracic structures normal._x000D_
- Peritoneal serosal detail is normal._x000D_
- Stomach contains mild gas and gas stippled soft-tissue opaque material._x000D_
- Small intestine contains mild multifocal gas and soft-tissue opaque material._x000D_
- Colon contains gas and formed fecal material._x000D_
- Liver, spleen, kidneys, urinary bladder and remaining abdominal structures normal._x000D_
- No obvious musculoskeletal abnormalities are noted.</t>
  </si>
  <si>
    <t>1. Moderate diffuse bronchial pulmonary pattern. May be compatible with feline asthma or bronchitis of infectious (e.g. parasitic, bacterial, viral) or inhaled irritant etiologies. I am uncertain it could be related to the sudden onset of ptyalism, however workup towards and empirical treatment of lower airway disease may provide some clinical benefit in this case._x000D_
_x000D_
2. Fairly unremarkable abdomen with aerophagia and moderate nonspecific undigested gastric =ZZ96= small intestinal food and/or foreign material. Radiographic sensitivity for generalized functional ileus such as gastroenteritis or infiltrative bowel disease can be limited and if there are further manifestations of abdominal signs, ultrasonography might be reasonable to consider.</t>
  </si>
  <si>
    <t xml:space="preserve">
1.This result does not detect pulmonary vasculature enlargement._x000D_
2.This result detects a minimal to mild, or rarely moderate interstitial pulmonary pattern.  _x000D_
3.This result detects a minimal to mild, or rarely moderate bronchial pulmonary pattern._x000D_
4.This result detects equivocal/borderline to mild cardiomegaly. _x000D_
5.Rarely, this result detects a minimal to mild alveolar pulmonary pattern._x000D_
6.This result does not detect pleural fissure lines/fluid.  </t>
  </si>
  <si>
    <t>WHOLE-BODY (6 radiographs for review). No previous examinations for comparison._x000D_
_x000D_
- Excessive body habitus. _x000D_
- Peritoneal serosal detail is normal._x000D_
- The stomach contains a small volume of gas and soft-tissue opaque material._x000D_
- The small intestine contains mild multifocal gas and soft-tissue opaque material._x000D_
- The colon contains gas and formed fecal material._x000D_
- The kidneys appear to be within normal limits for size and margins however there is limited assessment of the right kidney on the VD projection due to superimposition of gastrointestinal structures._x000D_
- The left limb of the pancreas is visible medial to the spleen and lateral to the left kidney._x000D_
- The liver, spleen and urinary bladder are normal._x000D_
- Subtle mild diffuse bronchial pulmonary pattern.</t>
  </si>
  <si>
    <t>1. Relatively unremarkable abdomen without discrete cause for the reported chronic vomiting. Slightly limited assessment of the right kidney however no obvious renal abnormalities are noted. The visualization of the left pancreatic limb medial to the spleen can be normal in cats, and pancreatitis is less likely, but possible. Ultimately, you may consider abdominal ultrasonography in this patient for further screening of the abdomen._x000D_
_x000D_
2. Subtle/mild diffuse bronchial pattern. May be within normal variation, however could indicate chronic lower airway disease such as feline asthma or bronchitis of allergic, infectious or inhaled irritant etiologies._x000D_
_x000D_
3. Radiographically unremarkable cardiac silhouette and pulmonary vasculature. If there is an audible cardiac murmur persistently present echocardiography might still be considered._x000D_
_x000D_
4. Excessive body habitus.</t>
  </si>
  <si>
    <t xml:space="preserve">
1.Uncommonly, this result detects a minimal to mild bronchial pulmonary pattern._x000D_
2.Rarely, this result detects a minimal to mild interstitial pulmonary pattern._x000D_
3.Rarely, this result detects a minimal alveolar pulmonary pattern._x000D_
4.Negative for pulmonary vasculature enlargement._x000D_
5.Negative for pleural fissure lines/pleural fluid._x000D_
6.Cardiac silhouette: Normal in most cases; rarely, minimal to mild generalized cardiomegaly is present.</t>
  </si>
  <si>
    <t>A three view study of the thorax is provided for interpretation._x000D_
_x000D_
In the right lateral view, there is a discrete nearly round nodular shadow in the range of 1 cm superimposed over the base of the heart just ventral to the distal trachea at the fifth intercostal space. No corresponding shadow is seen in the left lateral or VD views. The heart is within normal size and shape limits. Some of the pulmonary arteries are slightly prominent. Bronchial markings in all lung fields are slightly increased. No tracheal or esophageal abnormalities are identified.</t>
  </si>
  <si>
    <t>There is a slight increase in bronchial markings. Primary rule outs for this patient would include asthma and heartworm disease. The pulmonary changes are not suggestive of infectious lung disease, although viral tracheobronchitis should still be considered._x000D_
_x000D_
The nodular shadow seen at the heart base in the right lateral view is suspected to be a vascular artifact, since this is not apparent in the other views.</t>
  </si>
  <si>
    <t>CBC and heartworm test is recommended. Baermann fecal exam for lungworms should also be considered._x000D_
Symptomatic therapy for possible asthma is recommended._x000D_
Recheck thoracic radiographs are recommended in 2 to 3 months.</t>
  </si>
  <si>
    <t>Abdomen: There is moderate diffuse splenomegaly.  The liver, gastrointestinal tract, and urinary tract are unremarkable.  Serosal detail is normal.  There is possible narrowing of intervertebral disc spaces L2-3 and L3-4 however this is not definitive.</t>
  </si>
  <si>
    <t>Diffuse splenomegaly.  Differential considerations include a reactive process, extramedullary hematopoiesis, infectious process, or neoplasia.</t>
  </si>
  <si>
    <t>Lateral and ventrodorsal whole body radiographs (2 images) dated May 14, 2024._x000D_
_x000D_
_x000D_
The cardiac silhouette, pulmonary vasculature, and great vessels are within normal. The pulmonary parenchyma has a mild diffuse bronchial pattern. No pulmonary nodules or infiltrates identified. The pleural space and diaphragm are normal. No mediastinal abnormalities are appreciated. The trachea is normal in diameter and course with gas filling its lumen. No intrathoracic lymphadenopathy is evident._x000D_
_x000D_
The liver is minimally enlarged. The spleen is unremarkable. The stomach contains a fair amount of gas. The descending duodenum is moderately distended with gas on the VD projection. The remainder of the small intestine has a mild variation in diameter with the more distended segments containing gas. The course of the small bowel is unremarkable. The colon contains a scant amount of gas and formed stool. Both kidneys measure at the lower limits of normal size and are normal in shape. The urinary bladder is small and fluid opaque. Retroperitoneal and peritoneal detail are normal. No regional lymphadenopathy is evident._x000D_
_x000D_
There is multifocal spondylosis deformans in addition to L6-L7 disc space narrowing. There is also suspected LS disc space narrowing.</t>
  </si>
  <si>
    <t>1. The gas distention of the stomach and duodenum, and to a lesser extent the remainder of the small intestine, is a somewhat atypical finding in the cat and is suspicious for gastroenteritis._x000D_
2. No radiographic evidence of constipation._x000D_
3. Borderline small kidneys. This can be an indication of chronic renal disease, as described._x000D_
4. Normal cardiovascular structures. The cause for the murmur is not radiographically apparent. Rule out subclinical cardiac disease vs. a benign or physiologic flow murmur._x000D_
5. Bronchial pattern is suspicious for bronchitis vs. incidental age-associated changes of no clinical relevance. Rule out eosinophilic/feline asthma vs. infectious (bacterial or parasitic [including heartworm]) vs. chronic inhaled irritants._x000D_
6. L6 through S1 intervertebral disc disease._x000D_
7. Borderline hepatomegaly. Rule out a benign metabolic/vacuolar hepatopathy vs. hepatitis/cholangiohepatitis vs. less likely infiltrative round cell neoplasia or FIP.</t>
  </si>
  <si>
    <t>Supportive care with fluid rehydration, antiemetics, antidiarrheal with probiotic, gastroprotectants/omeprazole, and bland diet. Consider abdominal ultrasound to further examine the gastrointestinal tract._x000D_
T4, cardiac proBNP, and blood pressure=ZZ90= if any are abnormal, echocardiogram is strongly recommended.</t>
  </si>
  <si>
    <t xml:space="preserve">
1.This result detects mild to severe cardiomegaly._x000D_
2.This result does NOT detect pleural fissure lines.  _x000D_
3.This result detects minimal to mild, mixed interstitial and bronchial pulmonary patterns._x000D_
4.Rarely, this result detects a minimal to mild alveolar pulmonary pattern.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</si>
  <si>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</si>
  <si>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Right lateral views of the thorax and abdomen and a VD thoracoabdominal view are provided for interpretation._x000D_
_x000D_
The patient has obese body condition._x000D_
In the VD view, there are multiple moderately defined triangular shadows superimposed over the left and right lung fields, mostly around the heart and central lung. Thin pleural fissure lines are faintly visible in the right hemithorax._x000D_
In the lateral thorax view there is increased opacity and scalloping of pleural margins in the ventral thorax around the apex of the heart. The pulmonary vessels and parenchyma are within normal limits for patient age. The heart is within normal size and shape limits._x000D_
_x000D_
The left kidney is smaller than normal, with several tiny calculi. The right kidney is at the small end of normal range. The other abdominal organs are within normal limits of size and shape. There is a small quantity of amorphous soft tissue dense ingesta in the stomach. Small intestinal gas is slightly increased. No dilation or plication the intestine is seen. There is a small quantity of soft appearing fecal material in the descending colon. The transverse colon appears slightly hyperperistaltic._x000D_
_x000D_
There is moderate narrowing of all intervertebral disc spaces in the lumbar spine including the lumbosacral junction.</t>
  </si>
  <si>
    <t>The triangular shadows and pleural scalloping in the ventral thorax are suspected to be the result of retrosternal fat deposition secondary to the obese body condition of the patient. The presence of a small quantity of pleural fluid contributing to this appearance cannot be entirely excluded, but no underlying cause is identified and the appearance is relatively mild overall. Relevance to the clinical presentation is limited. These changes are suspected to be similar to what is described in the previous report._x000D_
_x000D_
The left kidney is small with multiple tiny calculi, likely the result of chronic generalized nephrosis._x000D_
_x000D_
The gastrointestinal changes are minimal, and would be compatible with enteritis. No foreign body or obstructive pattern is seen. No findings concerning for neoplasia are identified.</t>
  </si>
  <si>
    <t>Symptomatic therapy and supportive care for enteritis/pancreatitis is recommended._x000D_
_x000D_
The thoracic changes are suspected to be incidental. CT could be used for more definitive evaluation of whether significant pleural fluid is actually present.</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</si>
  <si>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spleen is generally enlarged with rounded margins.  The stomach contains a moderate amount of gas.  The small intestines are normal in size.  Gas and feces are present in the colon.  The urinary bladder is small.  The remaining abdominal organs are normal.</t>
  </si>
  <si>
    <t>Hepatomegaly and splenomegaly.  Consider inflammation versus neoplasia.  Radiographically normal thorax for patient of this age.</t>
  </si>
  <si>
    <t>Abdominal ultrasound may be helpful.</t>
  </si>
  <si>
    <t>Orthogonal thoracoabdominal views and a lateral view of the abdomen are provided for interpretation._x000D_
_x000D_
The cardiovascular structures are unremarkable. No pulmonary infiltrates or pleural effusion are seen. No tracheal or esophageal abnormalities are identified. Most of the larynx is visible and appears normal. The caudal aspect of the pharynx is visible appears gas dilated._x000D_
There is a small quantity of amorphous soft tissue dense ingesta in the stomach. No dilation of the stomach or intestine is seen. The other organs are within normal size and shape limits. Serosal detail in the abdomen is normal.</t>
  </si>
  <si>
    <t>No significant thoracic or abdominal abnormalities are identified._x000D_
The visible part of the caudal thorax appears gas dilated, can be incidental but would also be compatible with nasal pharyngeal pathology as a cause of the clinical signs.</t>
  </si>
  <si>
    <t>Sedated pharyngeal/pharyngeal exam should be considered.</t>
  </si>
  <si>
    <t>3 views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small amount of gas.  The small intestines are normal in size.  Gas and feces are present in the colon.  The urinary bladder is small.  No mineral is seen associated with the urinary tract.  The kidneys are small.  The remaining abdominal organs are normal.</t>
  </si>
  <si>
    <t>Small kidneys suggestive of chronic renal disease.  Cardiomegaly without current evidence of cardiogenic pulmonary edema.  Echocardiography, proBNP, and thyroid testing may be helpful in further evaluation.</t>
  </si>
  <si>
    <t xml:space="preserve">
1.This result detects no cardiomegaly to equivocal/borderline cardiomegaly. _x000D_
2.Rarely, this result detects a minimal alveolar pulmonary pattern._x000D_
3.This result does not detect pulmonary soft tissue nodules._x000D_
4.This result does not detect pulmonary vasculature enlargement._x000D_
5.Rarely, this result detects minimal pleural fissure lines/fluid._x000D_
6.This result detects a minimal  mild, or rarely moderate bronchial pulmonary pattern._x000D_
7.This result detects a minimal, or rarely mild interstitial pulmonary pattern.</t>
  </si>
  <si>
    <t>Opposite lateral and VD thoracoabdominal views are provided for interpretation._x000D_
_x000D_
There is a moderate diffuse bronchial pattern and mildly increased interstitial lung opacity. No alveolar infiltrates are seen. No tracheal or esophageal abnormalities are identified. The heart is at the upper end of normal size range. Pulmonary vessels are normal._x000D_
_x000D_
There is mild diffuse dilation of the entire GI tract. No foreign bodies are seen. Serosal detail is normal. The other abdominal organs are within normal limits.</t>
  </si>
  <si>
    <t>There is a bronchointerstitial pulmonary pattern consistent with lower airway inflammation. Primary rule outs include low-grade infectious bronchitis vs. allergic bronchitis/asthma. Parasitic infection cannot be excluded as a less likely possibility._x000D_
No changes concerning for pneumonia are identified. Relevance of the lower airway pattern to the epistaxis is unknown._x000D_
_x000D_
The gassy appearance of the GI tract is most likely the result of aerophagia secondary to the upper respiratory abnormalities.</t>
  </si>
  <si>
    <t>Relevance of the bronchointerstitial pattern to the nasal disease is unknown. Allergic vs. infectious causes of bronchitis should be ruled out._x000D_
Sampling from the lower airways via BAL/TTW vs. empiric therapy with a different antibiotic could be considered.</t>
  </si>
  <si>
    <t>3 views of the thorax are provided for review.  The cardiac silhouette is widened with rounding of the left ventricular border.  Increased bronchial markings are present in all lung lobes.  No perihilar pulmonary infiltrates are seen.  The pulmonary vasculature is normal in size.  The mediastinal and pleural structures are normal.  Cranial abdominal detail is adequate.</t>
  </si>
  <si>
    <t>Moderate bronchial pulmonary pattern.  Considerations include asthma, heartworm, lungworm, atypical infection, bronchitis.  Consider empiric therapy versus further diagnostics such as heartworm testing, Baermann fecal, airway sampling.  Cardiomegaly without current evidence of cardiogenic pulmonary edema.  Echocardiography, proBNP, and thyroid testing may be helpful in further evaluation.</t>
  </si>
  <si>
    <t xml:space="preserve">
1.This result does not detect pulmonary vasculature enlargement._x000D_
2.This result detects equivocal/borderline to mild cardiomegaly. _x000D_
3.This result detects no, or a minimal interstitial pulmonary pattern._x000D_
4.This result detects a minimal to moderate bronchial pulmonary pattern._x000D_
5.Rarely, this result detects a minimal to mild alveolar pulmonary pattern._x000D_
6.This result does not detect pulmonary soft tissue nodules._x000D_
7.Rarely, this result detects minimal pleural fissure lines/fluid.</t>
  </si>
  <si>
    <t>Three orthogonal thoracic radiographs dated 13th May 2024 are available for review. There are no previous radiographs available for comparison. _x000D_
_x000D_
Airway findings: The trachea, carina and mainstem bronchi are within normal limits for width and position. The pulmonary parenchyma is within normal limits for age.  _x000D_
_x000D_
Cardiovascular findings: The cardiac silhouette has a normal position, shape and size. The pulmonary vasculature and caudal vena cava are unremarkable. _x000D_
_x000D_
Mediastinum and pleural space:  There is no evidence of thoracic lymphadenomegaly or pleural effusion. _x000D_
_x000D_
Musculoskeletal findings: At the left ventral aspect of the caudal thorax/cranial abdomen there is a very large lobulated subcutaneous mass. No lytic changes to the underlying sternum or ribs is seen._x000D_
_x000D_
Included abdomen: No significant abnormalities are detected.</t>
  </si>
  <si>
    <t>1. Large lobulated ventral subcutaneous mass as reported: Mammary gland adenocarcinoma, or other soft tissue neoplasm is most likely._x000D_
2. Negative metastasis check.</t>
  </si>
  <si>
    <t>A surgical consultation for resection with wide margins is advised. Assessment of the body wall layering can be achieved with CT, potentially musculoskeletal ultrasound.</t>
  </si>
  <si>
    <t>Four orthogonal thoracic radiographs (submitted 3 times) dated 13th May 2024 are available for review. There are no previous radiographs available for comparison. _x000D_
_x000D_
Airway findings: The trachea is elevated within the thorax. The pulmonary lobes are reduced in volume, with rounded borders. The aerated lung lobes are increased in soft tissue opacity. The left cranial lung lobe is diffusely soft tissue opacified with air bronchograms. The right cranial lung lobe is also soft tissue opacified._x000D_
_x000D_
Cardiovascular findings: The cardiac silhouette is border effaced. The mainstem vessels are normal. The pulmonary vascular is not visible._x000D_
_x000D_
Mediastinum and pleural space: There is diffuse peripheral soft tissue opacification consistent with pleural effusion._x000D_
_x000D_
Musculoskeletal findings: No significant abnormalities are detected._x000D_
_x000D_
Included abdomen: No significant abnormalities are detected.</t>
  </si>
  <si>
    <t>1. Complete soft tissue consolidation of the left and right cranial lung lobe, and compression of the other lung lobes: Differentials include lobar bronchopneumonia with infectious transudate/exudate, FIP with left cranial lung lobe collapse. Lung lobe torsion is considered highly unlikely.</t>
  </si>
  <si>
    <t>Therapeutic and diagnostic thoracocentesis and ultrasound is advised. consider repeat radiographs post thoracocentesis. Further workup for FIP is advised. treat for bronchopneumonia, and repeat radiographs prior to end of therapy. Consider CT or airway sampling depending on clinical progression.</t>
  </si>
  <si>
    <t xml:space="preserve">
1.Rarely, this result detects minimal pulmonary vasculature enlargement._x000D_
2.This result detects moderate to severe, or less commonly mild cardiomegaly._x000D_
3.This result detects a mild to moderate, or rarely severe interstitial pulmonary pattern.  _x000D_
4.This result detects a mild to moderate bronchial pulmonary pattern._x000D_
5.Uncommonly, this result detects a minimal to severe alveolar pulmonary pattern._x000D_
6.This result commonly detects minimal to moderate, or rarely severe pleural fissure lines/fluid.</t>
  </si>
  <si>
    <t>WHOLE-BODY (5 radiographs for review). No previous examinations for comparison._x000D_
_x000D_
- Peritoneal serosal detail is normal._x000D_
- Stomach is nondistended and contains a small volume of soft-tissue opaque material._x000D_
- Small intestine mild multifocal gas and soft-tissue opaque material._x000D_
- Colon contains gas and mildly desiccated formed fecal material._x000D_
- Kidneys are of limited assessment._x000D_
- Liver, spleen, urinary bladder and remaining abdominal structures normal._x000D_
- Mild pulmonary hyperinflation._x000D_
- Mild diffuse bronchial pattern._x000D_
- Cardiac silhouette, pulmonary vasculature normal._x000D_
- Remaining included intrathoracic structures unremarkable._x000D_
- Small emphysematous gas opacities in the dorsal extrathoracic region.</t>
  </si>
  <si>
    <t>1. Relatively unremarkable abdomen. Assessment of the kidneys is limited, which may support that they could be small, such as from chronic degenerative renal disease. Also note that radiographic sensitivity for gastrointestinal functional ileus might be limited and if clinically indicated, abdominal ultrasound might be of some further diagnostic utility in this patient._x000D_
_x000D_
2. Mild constipation._x000D_
_x000D_
3. Mild diffuse bronchial pattern and mild pulmonary hyperinflation can be compatible with chronic lower airway disease with air-trapping such as feline asthma or chronic bronchitis._x000D_
_x000D_
4. Recent dorsal extrathoracic subcutaneous injection.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</si>
  <si>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t>
  </si>
  <si>
    <t xml:space="preserve">
1.This result does NOT detect soft tissue pulmonary nodules.  _x000D_
2.This result does NOT detect pleural fissure lines. _x000D_
3.This result detects mild to moderate cardiomegaly._x000D_
4.This result detects a minimal to mild bronchial pulmonary pattern._x000D_
5.This result detects a minimal to mild interstitial pulmonary pattern._x000D_
6.This result does NOT detect  an alveolar pulmonary pattern.</t>
  </si>
  <si>
    <t>Six radiographs of the thorax and abdomen are provided. The heart and pulmonary vessels are normal size and shape. There are no abnormalities in the pulmonary parenchyma or pleural space._x000D_
_x000D_
In the abdomen the colon is severely distended with large compacted angular feces and gas. The fecal column measures up to 3.4 cm diameter. The stomach and small bowel are minimally filled. Normal-sized liver, kidneys, spleen. Previous left pelvic fractures, with moderate narrowed pelvic canal. There is a wire in the left sacroiliac joint. A screw tip is engaged (0.2 cm) with the left ilial wing. There are three pins in the soft tissues ventral lateral to the left pelvis.</t>
  </si>
  <si>
    <t>Megacolon, likely exacerbated by stenotic pelvic canal. No other intra-abdominal abnormalities. The thorax is normal.</t>
  </si>
  <si>
    <t>Enema administration is recommended.</t>
  </si>
  <si>
    <t>Opposite lateral and ventrodorsal whole body radiographs (3 images) dated May 13,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Both kidneys are normal in size and shape. The urinary bladder is distended with a large amount of fluid opacity. There are multiple small intestinal segments that are dilated with a large amount of fluid and gas, and addition to some mineral sediment. This contrast from the less distended segments containing gas. The small intestine has a mild amount of gas. The colon contains a minimal amount of stool. Retroperitoneal and peritoneal detail are adequate. No regional lymphadenopathy is evident._x000D_
_x000D_
No aggressive or clinically significant osseous pathology is identified.</t>
  </si>
  <si>
    <t>Segmental small intestinal bowel dilation is highly concerning for mechanical obstruction (foreign body, intussusception). A segmental functional ileus is unlikely._x000D_
Normal thorax.</t>
  </si>
  <si>
    <t>There are enough imaging findings to warrant exploratory laparotomy. Abdominal ultrasound could be performed prior to surgery if expediently available.</t>
  </si>
  <si>
    <t>Three radiographs of the thorax, and three views of the abdomen are provided. The cardiac silhouette and pulmonary vessels are normal size and shape. The lungs are clear. There is no pleural effusion. Normal cranial mediastinal width._x000D_
_x000D_
In the abdomen serosal detail is adequate in the peritoneal and retroperitoneal spaces. There is a small volume of formed soft tissue opacity in the stomach. Small bowel are minimally filled. Moderate volume of formed feces in the colon. Normal size liver, spleen, kidneys. No radiopaque cystic calculi. Osseous structures are unremarkable.</t>
  </si>
  <si>
    <t>Soft tissue density in the stomach appears to be normal ingesta, however is unexpected with a history of anorexia. This could be foreign material, although vomiting is typically present. Otherwise normal abdomen and thorax.</t>
  </si>
  <si>
    <t>A CBC, blood chemistry profile, supportive care, and repeat abdominal radiographs following a confirmed fast should be considered to rule out gastric foreign material. Strictly fasted abdominal ultrasound is another option.</t>
  </si>
  <si>
    <t>5 images of the entire body and skull/cervical region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gas.  The small intestines are normal in size.  Gas and feces are present in the colon.  The urinary bladder is moderately distended.  The kidneys are small.  The remaining abdominal organs are normal.  No fractures or aggressive osseous lesions are seen.  The tympanic bullae are air filled and thin-walled.  The laryngeal and pharyngeal structures are normal.</t>
  </si>
  <si>
    <t>Small kidneys consistent with chronic renal disease.  Radiographically normal thorax for patient of this age.  Unremarkable skull/cervical region on the views provided.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</si>
  <si>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kidneys are small.  The remaining abdominal organs are normal.</t>
  </si>
  <si>
    <t>Small kidneys suggestive of chronic renal disease.  Radiographically normal thorax for patient of this age.</t>
  </si>
  <si>
    <t>Orthogonal views of the abdomen are provided:_x000D_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Unremarkable visible thorax.</t>
  </si>
  <si>
    <t>1) Hepatomegaly: Metabolic vs Vacuolar infiltration vs Hepatic nodular hyperplasia vs Inflammatory vs Toxic vs Neoplastic or a combination of these differentials.</t>
  </si>
  <si>
    <t>Consider abdominal US to further evaluate causes of vomition, the liver and the urinary tract with renal function test, urinalysis, UPC with +/- urine culture (consider a linear probe for a better evaluation of the GI wall and pancreas).</t>
  </si>
  <si>
    <t>WHOLE-BODY (3 radiographs for review). No priors._x000D_
_x000D_
- Peritoneal serosal detail is normal._x000D_
- The stomach is non-distended and contains a small volume of soft-tissue._x000D_
- The small intestine contains mild multifocal gas and soft-tissue opaque material._x000D_
- The colon contains gas and formed fecal material._x000D_
- The liver, spleen, kidneys and urinary bladder are normal._x000D_
- No discrete intrathoracic or musculoskeletal abnormalities are noted.</t>
  </si>
  <si>
    <t>1. A discrete cause for the reported vomiting is not clearly identified. The appearance of the stomach, small intestine and colon is non-specific and could be compatible with a generalized functional ileus, such as gastroenteritis (or infiltrative bowel disease such as IBD or lymphoma). There is no clear gastrointestinal foreign material or mechanical obstruction. If clinically indicated, consider abdominal ultrasound for further assessment.</t>
  </si>
  <si>
    <t>Patient Name: Kit Kat Wingate, Date of study: May 11, 2024
3 images are provided for review
There are no previous radiographs for comparison.
Findings:
Gastrointestinal tract: Metal foreign bodies (fishhooks)  are not identified. The stomach is mildly gas-filled and contains a small volume of heterogeneous ingesta. The small intestines are diffusely normal in diameter and are uniformly gas-filled. The ascending and transverse colon are filled with desiccated feces. Transverse colon is caudally displaced. The descending colon is primarily gas-filled and has not undulating/corrugated appearance.
Liver: The liver is normal in size and margination.
Spleen: The spleen is unremarkable.
Urinary: The kidneys are normal in size, shape, and margination. There is a large mineral calculus within the urinary bladder. A smaller heterogeneous focus of mineral is at this level of the urinary bladder at the ventral aspect of the urinary bladder apex. Protrudes ventrally and has a convex margination.
Peritoneal space: There is adequate serosal detail. The left limb of the pancreas is conspicuous on the VD view. There is increased space between the stomach and colon. 
Musculoskeletal: The included skeletal and superficial soft tissue structures of the study are normal.</t>
  </si>
  <si>
    <t>1. A toxic insult is prioritized as cause of the clinical signs. 
2. Small intestinal and colonic changes are most likely due to dietary indiscretion with non-specific enterocolitis, with/without occult pancreatitis or inflammatory bowel disease. Functional ileus is prioritized as the cause of gas-filled small intestine. A mechanical obstruction is not identified.
3. Large urinary bladder calculus with possible mineralized mass at the apex.</t>
  </si>
  <si>
    <t xml:space="preserve">Medical management for functional ileus, gastroenteritis/colitis, and pancreatitis are recommended. CBC/serum biochemistry and fPL if not already performed. 
An abdominal ultrasound could be considered to further evaluate the apex of the urinary bladder to confirm or refute the presence of a mineralized mass. If a urinary mass is not identified via sonography, cystotomy for removal of the urinary bladder calculi and empirical therapy for underlying cystitis if present (urinalysis/culture/sensitivity testing). </t>
  </si>
  <si>
    <t>Three radiographs of the thorax, and three views of the abdomen are provided. The cardiac silhouette and pulmonary vessels are normal size and shape. The lungs are clear. There is no pleural effusion or intrathoracic lymphadenomegaly. Soft tissue thickening and gas lucencies dorsal to the thoracic spine consistent with subcutaneous fluid administration. Normal cranial mediastinal width._x000D_
_x000D_
In the abdomen there is large volume soft tissue opaque ingesta in the stomach. Small bowel are mildly filled with gas and scant fluid. Semi-formed feces and gas filled the colon. Serosal detail is adequate. The left kidney is smoothly irregular. The right kidney is incompletely visible. No radiopaque cystic calculi. Normal-sized liver and spleen. Osseous structures are unremarkable.</t>
  </si>
  <si>
    <t>Smoothly irregular left kidney may be due to renal cysts, infarcts, abscesses, _x000D_
neoplasia. Otherwise normal abdomen and thorax.</t>
  </si>
  <si>
    <t>WHOLE-BODY (4 radiographs for review). No previous for comparison._x000D_
_x000D_
- Peritoneal serosal detail is normal._x000D_
- The stomach contains mild gas and soft-tissue opaque material._x000D_
- The small intestine contains mostly mild, homogeneous soft-tissue opaque material and mild gas. _x000D_
- The colon contains gas and a small volume of mildly desiccated, formed fecal material._x000D_
- The liver, spleen and urinary bladder are normal._x000D_
- The kidneys are mildly small and subjectively irregular in margins._x000D_
- The remaining abdominal structures are normal_x000D_
- Best appreciated on the VD image, in the region of the right caudal lung lobe, there is a poorly-defined, rounded/nodular increase in soft-tissue opacity (1.3 x 1.1 cm)._x000D_
- Cardiac silhouette, pulmonary vasculature and remaining included intrathoracic structures within normal limits._x000D_
- No discrete musculoskeletal abnormalities are identified.</t>
  </si>
  <si>
    <t>1. The appearance of the stomach and small intestine are non-specific and can be compatible with a generalized functional ileus (e.g. gastroenteritis or infiltrative bowel disease such as IBD or lymphoma). There is no evidence of foreign material or mechanical obstruction. If clinically indicated, you may consider abdominal ultrasonography for further assessment._x000D_
_x000D_
2. The kidneys appear to be mildly small and irregular in margins which can be compatible with chronic degenerative renal disease. This may be correlated to bloodwork and/or ultrasonography._x000D_
_x000D_
3. I am concerned for the presence of a pulmonary nodule in the right caudal lung lobe, which may be an early primary neoplasia (e.g. carcinoma), a metastatic nodule from an unseen primary tumor, or could also be benign (e.g. pulmonary granuloma). Consider recheck/repeat thoracic radiographs over time (+/- complete workup for neoplasia including abdominal ultrasound and/or CT) for further assessment._x000D_
_x000D_
4. The heart and pulmonary vasculature are normal, but this does not necessarily rule out cardiac disease. If repeatable or worsening, it may be reasonable to consider echocardiography regardless in this patient.</t>
  </si>
  <si>
    <t>1) Unremarkable lungs do not exclude a lower airway disease such as allergic bronchitis or asthma vs parasitic bronchitis._x000D_
2) No signs of cardiomegaly (this does not exclude a cardiomyopathy or a hyperthyroidism).</t>
  </si>
  <si>
    <t xml:space="preserve">
1.This result does NOT detect pleural fissure lines._x000D_
2.This result detects a minimal to mild bronchial pulmonary pattern._x000D_
3.This result detects a minimal to mild interstitial pulmonary pattern._x000D_
4.This result does NOT detect an alveolar pulmonary pattern._x000D_
5.This result does NOT detect pulmonary soft tissue nodules._x000D_
6.This result detects equivocal/borderline to moderate cardiomegaly.</t>
  </si>
  <si>
    <t>Study:_x000D_
Thoracic radiography: three images dated May 10, 2024_x000D_
_x000D_
Findings:_x000D_
The cardiac silhouette and pulmonary vasculature are normal in size. There is a mild generalized increase the conspicuity the walls of the small caliber bronchi.. The pleural space is normal. There is no intrathoracic lymphadenopathy. The trachea is normal in diameter and course. The stomach contains unstructured heterogeneous soft tissue material presumed to be ingesta. No skeletal abnormalities are present.</t>
  </si>
  <si>
    <t>The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can be considered for asthma can be considered.</t>
  </si>
  <si>
    <t>Study:_x000D_
Thoracic/abdominal radiography: dated May 10,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adequate. There is a small mineral opacity in the mesentery of the left cranial abdomen likely representing an incidental Bates bodies (nodular fat necrosis). The stomach is empty. The small intestines are gas and fluid-filled and normal in size and course. The colon contains gas and a small amount of formed fecal material. The liver and spleen are normal in size and margin. The renal silhouettes are normal in size and contour. The urinary bladder is mildly distended. No mineral opaque calculi are present in the bladder or region of the urethra. There is a mildly enlarged colic lymph node (0.5 cm) dorsal to the midaspect of the descending colon in the left lateral projection. There is mild multifocal thoracic spondylosis deformans. The patient is of overweight body condition.</t>
  </si>
  <si>
    <t>1. Mild urinary bladder distention without evidence of urocystolithiasis. Consider recurrent feline idiopathic cystitis. Catheterization and urinalysis can be considered for further evaluation._x000D_
2. The abdomen is otherwise unremarkable. Abdominal sonography and cPLI testing can be considered to further evaluate for other causes of intra-abdominal pain._x000D_
3. Normal thorax.</t>
  </si>
  <si>
    <t xml:space="preserve">Patient Name: Kickstand Boller-Morrow, Date of study: May 10, 2024
5 images are provided for review (VD and lateral of thorax, lateral cervical spine, and 2 views of the forelimbs). As requested, the thorax is interpreted. 
There are no previous radiographs for comparison.
Findings:
Cardiac silhouette: The cardiac silhouette is normal in size and shape.
Pulmonary vessels: The pulmonary arteries and veins are normal in caliber.
Pulmonary parenchyma: There is a soft tissue focus superimposed with the left cranial thorax and proximal aspect of the scapula on both views. The pulmonary parenchyma is otherwise normal with no abnormal patterns, nodules, or masses.
Pleural space: The pleural space is within normal limits.
Mediastinum: There is normal in width and opacity.
Trachea: The trachea is normal in diameter and course.
Esophagus: The region of the esophagus is unremarkable.
Cranial abdomen: The stomach is filled with heterogeneous ingesta admixed with gas. There is adequate serosal detail.
Musculoskeletal: There is intervertebral disc space narrowing of the mid thoracic spine. The right forelimb is amputated. There is severe osteoarthritis of the left elbow.
</t>
  </si>
  <si>
    <t>1. A cause for difficulty swallowing small kibble is not identified. An oral/pharyngeal or esophageal functional abnormality are prioritized. 
2. Normal cardiovascular structures. 
3. The soft tissue opacity superimposed with the left cranial thorax and scapula is thought to be due to a cutaneous lesion as this structure does not align with intrathoracic anatomy. Therefore, a pulmonary or mediastinal etiology is considered less likely.  
4. Severe left elbow osteoarthritis.</t>
  </si>
  <si>
    <t xml:space="preserve">Three view thoracic radiographs with the left forelimb pulled caudally on the VD view may be helpful to remove the superimposed scapula and superficial soft tissues. A sedated oral and pharyngeal exam could be considered. An esophageal swallow study would be recommended if esophageal dysmotility is suspected clinically. CBC/serum biochemistry are recommended if not already performed to screen for systemic disease which may be contributing to clinical signs. </t>
  </si>
  <si>
    <t xml:space="preserve">
1.This result detects a minimal or less commonly mild interstitial pulmonary pattern.  _x000D_
2.This result detects a mild to moderate bronchial pulmonary pattern._x000D_
3.Rarely, this result detects a minimal alveolar pulmonary pattern._x000D_
4.This result does not detect pulmonary soft tissue nodules._x000D_
5.This result detects equivocal/borderline to mild cardiomegaly. _x000D_
6.This result does not detect pulmonary vasculature enlargement._x000D_
7.This result does not detect pleural fissure lines/fluid.  </t>
  </si>
  <si>
    <t>Three view orthogonal radiographs (4 images) of the thorax and cranial abdomen dated May 10, 2024, are available for interpretation. No prior images are available for comparison._x000D_
_x000D_
The cat was sedated with 1.75 mg/kg (6 mg) and 0.2 mg/kg (0.7 mg) butorphanol IM for the radiographs. _x000D_
_x000D_
Thorax:_x000D_
Airway/pulmonary: A mild interstitial pattern is present in the caudodorsal thorax. No nodules or masses are noted._x000D_
_x000D_
Cardiovascular: The cardiac silhouette, in the region of the left atrium, is mildly enlarged on the VD images, but appears normal on the lateral images.  The pulmonary vasculature is minimally distended centrally but tapers normally in the periphery. CVC size is normal._x000D_
_x000D_
Mediastinum: No lymph node enlargement is noted. An increase in soft tissue opacity is noted in the region of the caudal thoracic esophagus on the lateral projection. _x000D_
_x000D_
Pleural space: Scant pleural fluid is present on the lateral projections. On the VD projections, rounding to the caudal lung tips is present. No pneumothorax noted._x000D_
_x000D_
Cranial abdomen: A round mass is associated with the ventral aspect of the liver consistent with the ultrasonographically identified echogenic cystic structure within the liver. This structure measures 3.26 cm x 3.12 cm on ultrasound and resides in the left medial liver lobe. Also on ultrasound, the lumen contains both suspended and gravity dependent echogenic debris. On the VD projection, mild microhepatia is present. Cranial abdominal detail is normal. _x000D_
_x000D_
Msk: Minimal pectus excavatum is present.</t>
  </si>
  <si>
    <t>1) Mild cardiomegaly with minimal pulmonary venous distention. The caudodorsal interstitial pattern and scant pleural effusion are concerning for emerging, resolving or low-grade cardiogenic edema. _x000D_
2) No pulmonary nodules or masses noted. _x000D_
3) Cystic hepatic structure containing echogenic material on ultrasound. DDX: hematoma vs. necrotic mass or abscess. A full abdominal ultrasound is recommended to better define this structure.</t>
  </si>
  <si>
    <t>Await cardiology report. Monitor resting respiratory rate at home. Repeat thoracic radiographs if resting respiratory rate is elevated or coughing develops._x000D_
_x000D_
Abdominal ultrasound for full assessment of the entire liver and the cystic structure.</t>
  </si>
  <si>
    <t>Orthogonal views of the head and thorax are provided:_x000D_
_x000D_
Head:_x000D_
_x000D_
In the visible rads from the head there is periodontal disease with some of the pieces missing. However, there are no signs of expansile bone masses or increased soft tissue opacity (nasal passages are superimposed in the lateral views and superimposed with the mandible sin the VD views)._x000D_
Nasopharynx and tympanic bull are unremarkable._x000D_
Unremarkable pharynx, hyoid apparatus and larynx._x000D_
There is however mild submandibular swelling._x000D_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Unremarkable visible abdomen.</t>
  </si>
  <si>
    <t>1) Unremarkable lungs do not exclude a chronic lower airway disease such as asthma, chronic bronchitis or parasitic bronchitis._x000D_
2) No nasal abnormalities noted. This does not exclude nasal pathology._x000D_
3) Submandibular swelling compatible with mandibular lymphadenopathy.</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</si>
  <si>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on initial images which is resolved on the later image.  The small intestines are normal in size.  Gas and feces are present in the colon.  The urinary bladder is moderately distended.  The kidneys are small.  The remaining abdominal organs are normal.</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</si>
  <si>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distended.  No uterine enlargement is seen.  The remaining abdominal organs are normal.  Multiple soft tissue masses are seen in the ventral subcutaneous tissues.</t>
  </si>
  <si>
    <t>Radiographically normal abdomen.  Radiographically normal thorax for patient of this age.  Subcutaneous masses consistent with the reported mammary masses.</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</si>
  <si>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No evidence of pneumonia o pulmonary masses._x000D_
Pleural space, mediastinum, diaphragm and thoracic wall within normal limits.</t>
  </si>
  <si>
    <t>Given the history, consider oxygen administration. Once stable, consider a CT of the nasal cavity/thorax with bronchoscopy, BAL, culture, cytology followed (in this order) by rhinoscopy and biopsies with culture, with deworming vs empirical treatment for upper and lower inflammatory/infectious/parasitic airway disease.</t>
  </si>
  <si>
    <t>5 images of the thorax are provided for review. There is a mild bronchial pattern in all lung lobes.  The cardiovascular structures are normal.  The mediastinal and pleural structures are normal.  Cranial abdominal detail is adequate.  A portion of stomach extends into the caudal dorsal thorax on the lateral views.</t>
  </si>
  <si>
    <t>Mild bronchial pulmonary pattern.  Considerations include asthma, heartworm, lungworm, atypical infection, bronchitis.  Consider empiric therapy versus further diagnostics such as heartworm testing, Baermann fecal, airway sampling.  Sliding hiatal hernia.</t>
  </si>
  <si>
    <t xml:space="preserve">
1.Rarely, this result detects minimal pleural fissure lines/fluid._x000D_
2.This result detects a minimal to mild interstitial pulmonary pattern._x000D_
3.This result detects a minimal to mild bronchial pulmonary pattern._x000D_
4.This result does NOT detect an alveolar pulmonary pattern._x000D_
5.This result does NOT detect pulmonary soft tissue nodules.  _x000D_
6.This result detects equivocal/borderline to moderate cardiomegaly.</t>
  </si>
  <si>
    <t>Study:_x000D_
Thoracic/abdominal radiography radiography: two images dated May 10, 2024_x000D_
_x000D_
Findings:_x000D_
The cardiac silhouette and pulmonary vasculature are normal in size. There is a moderate caudodorsal bronchial pulmonary pattern. The pleural space is normal. There is no intrathoracic lymphadenopathy. The trachea is normal in diameter and course. The stomach contains a small volume of gas. The small intestines are diffusely mildly fluid distended. The colon is empty. The liver and spleen are normal in size and margin. The renal silhouettes are normal in size and contour. The urinary bladder is normal in size and opacity. No skeletal abnormalities are present.</t>
  </si>
  <si>
    <t>1. The diffuse mild fluid dilation of the small intestines is suggestive of nonspecific functional ileus. There is no evidence of gastrointestinal foreign material. Abdominal sonography can be seen for further evaluation if the vomiting persists or worsens in spite of medical management._x000D_
2. The moderate caudodorsal bronchial pulmonary pattern may indicate allergic/inflammatory bronchitis (asthma). Infectious, parasitic and irritant bronchitis are also possible. Airway sampling, heartworm testing and Baermann fecal flotation can be considered for further evaluation.</t>
  </si>
  <si>
    <t>Consider abdominal US to further evaluate causes of decreased appetite, fever and mild leukocytosis.</t>
  </si>
  <si>
    <t>Study:_x000D_
Thoracic and abdominal radiography: six images dated May 9,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adequate. The stomach contains a small volume of gas. The small intestines are normal in size, course and content. The colon contains formed fecal material. The liver is normal in size and margin. The spleen is mildly enlarged with smooth margins. The kidneys are normal in size and contour. The urinary bladder is normal in size and opacity. There is a fracture of the pectin of the right pubis. A fracture of the pectin of the left pubis is also suspected. There is a pubic symphyseal fracture resulting in a free-floating ventrally displaced pubic segment. The coxofemoral and sacroiliac joints are unremarkable.</t>
  </si>
  <si>
    <t>1. Pubic bone (suspect bilateral) polytrauma/fractures._x000D_
2. The mild splenomegaly may be a juvenile normal variant or may indicate extramedullary hematopoiesis, lymphoid or congestion (if sedated for radiographs). Splenitis and infiltrative neoplasia are unlikely._x000D_
3. Normal thorax. There is no thoracic trauma.</t>
  </si>
  <si>
    <t>Consider computed tomography of the pelvis and orthopedic consultation.</t>
  </si>
  <si>
    <t>Study:_x000D_
Thoracic/abdominal radiography: two images dated May 29,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left lobe of the pancreas is incidentally visualized between the spleen/left kidney on the VD view and is normal in thickness. The urinary bladder is normal in size and opacity. Mild periarticular bone formation is present at the craniolateral margin of the acetabulum bilaterally. There is mild T2-T3 through T4-T5 and L7-S1 spondylosis deformans.d</t>
  </si>
  <si>
    <t>1. Unremarkable thorax. There is no radiographic evidence of heart disease. Consider echocardiography for further evaluation of the reported heart murmur._x000D_
2. Postprandial stomach=ZZ90= otherwise, unremarkable abdomen._x000D_
3. Mild bilateral coxofemoral osteoarthrosis.</t>
  </si>
  <si>
    <t>A cause of the reported ataxia is not evident. Neurology consultation plus/minus MRI can be considered for further evaluation.</t>
  </si>
  <si>
    <t>Two orthogonal thoracic radiographs dated 9th May 2024 are available for review. There are no previous radiographs available for comparison. _x000D_
_x000D_
Airway findings: The trachea, carina and mainstem bronchi are within normal limits for width and position. The thorax has a mild overlying interstitial opacification._x000D_
_x000D_
Cardiovascular findings: The cardiac silhouette has a normal position, shape and size. There is increased pericardial fat. The pulmonary vasculature and caudal vena cava are unremarkable. _x000D_
_x000D_
Mediastinum and pleural space:  There is no evidence of thoracic lymphadenomegaly or pleural effusion. There is increased ventral pleural fat._x000D_
_x000D_
Musculoskeletal findings: The patient is overweight._x000D_
_x000D_
Included abdomen: No significant abnormalities are detected.</t>
  </si>
  <si>
    <t>The interstitial opacification is most likely due to body habitus and hypoinflation. Underlying allergic lower airway disease (feline asthma) cannot be excluded.Chronic bacterial /viral bronchitis +/- parasitic bronchitis is considered unlikely.</t>
  </si>
  <si>
    <t>Three orthogonal thoracic radiographs dated 9th May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moderate bronchial pattern._x000D_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No significant abnormalities are detected.</t>
  </si>
  <si>
    <t>1.Diffuse mild-moderate bronchial pattern: Consideration should be given to normal ageing, allergic bronchitis (feline asthma), chronic bacterial /viral bronchitis +/- parasitic bronchitis. Less likely are heart worm, hyperardenocorticism, neoplasia (such a lymphoma) or idiopathic pulmonary fibrosis.</t>
  </si>
  <si>
    <t>Respiratory workup including CBC, serum chemistry, urinalysis, Baermann faecal testing, 4DX, +/- respiratory panel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 Evaluate for upper airway disease as clinically indicated.</t>
  </si>
  <si>
    <t>Three radiographs of the thorax/abdomen are provided. The cardiac silhouette is upper normal size to mildly enlarged. Caudal pulmonary vessels are prominent on the lateral views. On the VD projection, caudal pulmonary vessels are normal size, however the right caudal pulmonary artery appears abruptly attenuated within the right10th intercostal space. This is not appreciated on the lateral view. No abnormalities in the pulmonary parenchyma. No pleural effusion. Normal tracheal diameter. In the abdomen serosal detail is adequate. The gastrointestinal tract is moderately filled. No radiopaque foreign material or urolithiasis. Normal-sized liver, kidneys, spleen. Osteoarthritis in the left coxofemoral joint.</t>
  </si>
  <si>
    <t>1. Equivocal prominent heart and pulmonary arteries is concerning for cardiomyopathy or heartworm disease. Abrupt attenuation of the right caudal pulmonary artery may be indicative of thromboembolic insult versus artifact._x000D_
2. The abdomen is normal.</t>
  </si>
  <si>
    <t>CBC, blood chemistry profile, heartworm test, and cardiac proBNP evaluation should be considered.</t>
  </si>
  <si>
    <t xml:space="preserve">
1.This result does not detect pleural fissure lines/fluid.  _x000D_
2.This result does not detect pulmonary vasculature enlargement._x000D_
3.This result detects equivocal/borderline to mild cardiomegaly. _x000D_
4.This result detects a minimal, or rarely mild interstitial pulmonary pattern.  _x000D_
5.This result detects a minimal to mild, or rarely moderate bronchial pulmonary pattern._x000D_
6.This result does not detect an alveolar pulmonary pattern.</t>
  </si>
  <si>
    <t>Five orthogonal views including the thorax, abdomen, and neck are provided._x000D_
_x000D_
No tracheal or laryngeal abnormalities are identified. There is minimal gas distention of the cranial thoracic esophagus, within the limits of what can be seen as an incidental finding. The rest of the esophagus is not visible, which is considered normal. Bronchial markings in the lungs are slightly increased. The heart appears mildly rounded on the right side. Overall heart size is at the upper end of normal range._x000D_
_x000D_
The liver is mildly to moderately enlarged, with normal shape and smooth margins. The other abdominal organs are within normal size and shape limits. No abnormalities are identified involving the upper GI tract. The colon is mildly diffusely dilated, with firm fecal balls distally and soft appearing fecal material in the ascending and transverse colon.</t>
  </si>
  <si>
    <t>The mild increase in pulmonary bronchial markings is a subtle change that is within the limits of age related change. Low-grade chronic bronchitis/asthma or parasitic infection such as heartworm disease should still be ruled out._x000D_
_x000D_
The right side of the heart appears mildly enlarged, although overall heart size is borderline. This could easily be a benign variant, but also warrants ruling out heartworm disease or chronic lower airway disease._x000D_
_x000D_
No laryngeal/pharyngeal abnormalities are seen that would explain the voice change._x000D_
_x000D_
The liver is enlarged. This is a nonspecific finding compatible with many types of diffuse liver pathology. Relevance to the clinical signs is likely to be limited.</t>
  </si>
  <si>
    <t>The radiographic abnormalities described are potentially unrelated to the presenting complaint._x000D_
Upper airway pathology should be ruled out with sedated laryngeal/pharyngeal exam.</t>
  </si>
  <si>
    <t>Study:
Thoracic radiography: three images dated May 8, 2024
Findings:
The cardiac silhouette and pulmonary vasculature are normal in size. There is a mild generalized bronchial pulmonary pattern. The pleural space is normal. There is no intrathoracic lymphadenopathy. The trachea is normal in diameter and course. The included abdomen is unremarkable. The right 13th rib is hypoplastic.</t>
  </si>
  <si>
    <t>The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infectious bronchitis and/or asthma can be considered.</t>
  </si>
  <si>
    <t>Study:_x000D_
Thoracic radiography: three images dated May 8,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included abdomen is unremarkable. The right 13th rib is hypoplastic.</t>
  </si>
  <si>
    <t>Study:_x000D_
Thoracic radiography: three images dated May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included abdomen is normal. No skeletal abnormalities are present. The patient is of overweight body condition.</t>
  </si>
  <si>
    <t>Orthogonal views of the thorax are provided and compared to the previous thoracic exam on the 09/15/23:_x000D_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The reported =ZZ92=irregularity near the L scapula=ZZ92= is not distinguished (other than dorsal folded skin). Left scapula is unremarkable.</t>
  </si>
  <si>
    <t>1) Unremarkable thorax without signs of pulmonary metastases nor signs of thoracic lymphadenopathy._x000D_
2) Folded dorsal skin. Can not exclude a SC or cutaneous lesion.</t>
  </si>
  <si>
    <t>Close phyisical exam with +/- FNAs or biopsy of the inter scapular skin.</t>
  </si>
  <si>
    <t>3 views of the entire body are provided for review. There is a moderate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</si>
  <si>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Five radiographs of the thorax and abdomen are provided. The cardiac silhouette and pulmonary vessels are normal size and shape. Fat deposition encircles the heart. No pleural fluid or gas. The diaphragm is intact. No rib fractures. There are defects in the right scapula, seen along the caudal aspect of the scapular body and in the scapular spine in close proximity to the acromion. Several gas lucencies in the tissues adjacent to the right scapula. No cervicothoracic spinal abnormalities. Normal tracheal diameter. In the abdomen there is no effusion or organomegaly. The gastrointestinal tract is mildly filled. The urinary bladder is well delineated and minimally distended. No lumbar spinal abnormalities. The sacroiliac and coxofemoral joints are congruent. No pelvic fractures. Caudoventral extra-abdominal tissues have a slight wispy appearance but no subcutaneous gas is appreciated.</t>
  </si>
  <si>
    <t>Right scapular fractures and regional emphysema consistent with puncture wounds. Wispy inguinal appearance suggestive of contusions. Otherwise normal thorax and abdomen. Hypovolemic shock is suspected.</t>
  </si>
  <si>
    <t>Recommend wound management and medical support.</t>
  </si>
  <si>
    <t>Study:_x000D_
Thoracic radiography: three images dated May 8, 2024_x000D_
_x000D_
Findings:_x000D_
The cardiac silhouette and pulmonary vasculature are normal in size. The pulmonary parenchyma is unremarkable. The pleural space is normal. There is no intrathoracic lymphadenopathy. The larynx is normal. The trachea is normal in diameter and course. There is no esophageal dilation. The included abdomen is normal. The osseous structures are unremarkable/age appropriate.</t>
  </si>
  <si>
    <t>Normal thorax. A cause of the reported coughing/gagging is not evident. Consider possible tracheitis or esophagitis secondary to irritant exposure. The lack of a bronchial pulmonary pattern does not exclude the possibility of allergic/inflammatory, infectious or irritant bronchitis.</t>
  </si>
  <si>
    <t>Consider airway sampling for further evaluation of chemical signs persist or worsen in spite of medical management.</t>
  </si>
  <si>
    <t>Three radiographs of the thorax are provided. The cardiac silhouette and pulmonary vessels are normal size and shape on the lateral views. Fat deposition encircles the heart on the VD projection, and extends into the cranial mediastinum. Increased opacity cranial to the heart is likely mediastinal fat. Normal thymus could be contributing to this appearance. No abnormalities are appreciated in the pulmonary parenchyma. There is no pleural effusion. The trachea is normal diameter and position. No esophageal dilation. The laryngeal region is unremarkable. Normal cranial abdomen.</t>
  </si>
  <si>
    <t>Normal thorax. A reason for coughing episodes is not identified. Inhaled irritants/allergens is suspected. Pharyngeal/laryngeal abnormality is not definitive out.</t>
  </si>
  <si>
    <t>Consider visual inspection of the pharyngeal/pharyngeal region, and symptomatic treatment for the cough.</t>
  </si>
  <si>
    <t xml:space="preserve">
1.This result detects a minimal to mild interstitial pulmonary pattern.  _x000D_
2.This result detects a minimal to mild, or rarely moderate bronchial pulmonary pattern._x000D_
3.Rarely, this result detects a minimal alveolar pulmonary pattern._x000D_
4.Rarely, this result detects minimal pleural fissure lines/fluid.  _x000D_
5.This result does not detect pulmonary vasculature enlargement._x000D_
6.This result detects none, or equivocal/borderline to moderate cardiomegaly. </t>
  </si>
  <si>
    <t>Three radiographs of the thorax are provided. The cardiac silhouette is upper normal size on the lateral views, appearing larger on the VD projection due to expiration. Pulmonary vessels are normal size. There are no abnormalities in the pulmonary parenchyma. No pleural effusion. Normal tracheal diameter and position. Moderate volume gas in the stomach consistent with aerophagia.</t>
  </si>
  <si>
    <t>Normal thorax. A reason for respiratory signs is not identified. Upper airway inflammation/infection is suspected.</t>
  </si>
  <si>
    <t>Recommend treatment for upper airway disease.</t>
  </si>
  <si>
    <t>Abdomen: There are small nephroliths involving the left kidney.  The liver and visible portions and spleen are unremarkable.  There are no abnormalities involving the visible portions of the urinary bladder or gastrointestinal tract.  There is suboptimal serosal detail._x000D_
_x000D_
Thorax: The pulmonary parenchyma, cardiac silhouette, and pulmonary vasculature are unremarkable.  There is no evidence of pleural effusion or lymphadenopathy.</t>
  </si>
  <si>
    <t>Small left nephroliths._x000D_
_x000D_
Suboptimal serosal detail most likely secondary to low amounts of intra-abdominal fat.</t>
  </si>
  <si>
    <t>9 images of the thorax, cervical region, and abdomen are provided for review. There is a severe bronchial pattern in all lung lobes.  The cardiovascular structures are normal.  The mediastinal and pleural structures are normal.  The trachea is normal in diameter.  The laryngeal and pharyngeal structures appear normal.  The tympanic bullae are air filled and thin-walled.  Abdominal serosal detail is adequate in all quadrants.  The stomach contains a moderate amount of ingesta.  The small intestines are normal in size.  Gas and mineral opaque feces are present in the colon.  The urinary bladder is moderately distended.  The remaining abdominal organs are normal.</t>
  </si>
  <si>
    <t>Constipation.  Severe bronchial pulmonary pattern.  Considerations include asthma, heartworm, lungworm, atypical infection, bronchitis.</t>
  </si>
  <si>
    <t>3 views of the thorax are provided for review. The cardiovascular structures are normal. Fat is present in the pericardium. There is a diffuse bronchial pulmonary pattern. The pleural and mediastinal structures are normal. Cranial abdominal detail is adequate.</t>
  </si>
  <si>
    <t>Severe bronchial pulmonary pattern. Consider asthma, heartworm, lungworm, bronchitis, atypical infection.</t>
  </si>
  <si>
    <t>Opposite lateral and VD views of the thorax and abdomen are provided._x000D_
_x000D_
There is a mild bronchial pattern. Alveolar infiltrates are identified involving the right middle lung field. The caudal subsegment of the right cranial lobe in the right middle lobe are suspected to be involved. The cardiovascular structures are within normal limits. No tracheal or esophageal abnormalities are seen._x000D_
The liver and spleen are both at the upper end of normal size range, with normal shape and smooth margins. No abnormalities are identified involving the gastrointestinal tract. Abdominal serosal detail is normal._x000D_
There is mild to moderate chronic remodeling involving both hip joints.</t>
  </si>
  <si>
    <t>No abnormalities are identified involving the GI tract that would explain the vomiting._x000D_
_x000D_
The diffuse bronchial pattern is mild, and likely representative of mild chronic lower airway disease._x000D_
There is an alveolar pattern involving the right middle lung field, that is compatible with aspiration pneumonia.</t>
  </si>
  <si>
    <t>No anatomic changes that would explain the vomiting and polyphagia are identified. Metabolic or endocrine disease should be ruled out._x000D_
Supportive care as needed and symptomatic therapy is recommended._x000D_
_x000D_
Antibiotic therapy is recommended for suspected aspiration pneumonia. A follow-up three view study of the thorax is recommended in 10 to 14 days.</t>
  </si>
  <si>
    <t>Three orthogonal thoracic radiographs dated 7th May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</si>
  <si>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The murmur reported is most likely a physiologic murmur, or a compensated valvular disease. Early hypertrophic cardiomyopathy can be present without clear radiographic signs.</t>
  </si>
  <si>
    <t>No imaging findings would preclude routine anaesthesia. This needs to be correlated with clinical findings, and normal results of laboratory analysis. Radiography is insensitive for early cardiac morphologic and functional changes, therefore echocardiography is recommended if any doubt persists relative to cardiac functionality.</t>
  </si>
  <si>
    <t>4 images of the entire body are presented for review.  The cardiovascular and pulmonary structures are normal.  The pleural and mediastinal structures are normal.  Abdominal serosal detail is adequate in all quadrants.  The stomach contains a moderate amount of ingesta initially which has resolved on the fasted image.  The small intestines are normal in size.  Gas and opaque feces are present in the colon.  The urinary bladder is small.  The remaining abdominal organs are normal.</t>
  </si>
  <si>
    <t>Radiographically normal thorax.  Mild constipation.</t>
  </si>
  <si>
    <t>If clinical signs persist with supportive therapy, abdominal ultrasound may be helpful.</t>
  </si>
  <si>
    <t>Normal thorax. This does not include the presence of potential laryngitis, pharyngitis, tracheitis or a mild tracheobronchitis.</t>
  </si>
  <si>
    <t>Observational management, or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 Evaluate for upper airway disease as clinically indicated.</t>
  </si>
  <si>
    <t xml:space="preserve">
1.This result detects a minimal to mild interstitial pulmonary pattern._x000D_
2.This result does NOT detect an alveolar pulmonary pattern._x000D_
3.This result does NOT detect pleural fissure lines._x000D_
4.This result detects a minimal to moderate bronchial pulmonary pattern._x000D_
5.This result detects equivocal/borderline to moderate cardiomegaly.</t>
  </si>
  <si>
    <t>Opposite lateral and ventrodorsal whole body radiographs (3 images) dated May 7,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measures at the upper limits of normal size. The spleen is normal in size and shape. Both kidneys are normal in size and shape. The urinary bladder is moderately distended with homogeneous fluid opacity. The stomach contains a mild volume of gas and possibly a small amount of soft-tissue/fluid content. The small intestine is diffusely and mildly distended with fluid and gas and has broad ropelike turns in its course to give it a subjectively turgid appearance. The colon contains a small amount of formed stool mixed with gas and has a normal course. Retroperitoneal and peritoneal detail are normal. No regional lymphadenopathy is evident._x000D_
_x000D_
The L7 vertebral body is a lumbar transitional vertebra with partial fusion of the left transverse process to the ilial wing. This is resulting in lumbosacral disc space narrowing.</t>
  </si>
  <si>
    <t>1. No definitive abnormalities are identified in the gastrointestinal tract=ZZ90= the appearance of the small intestine is suspicious for enteritis. There are no imaging findings to suggest a mechanical obstruction._x000D_
2. Borderline hepatomegaly. Rule out a benign metabolic/vacuolar hepatopathy vs. normal anatomy for this patient vs. hepatitis/cholangiohepatitis vs. least likely FIP or infiltrative round cell neoplasia._x000D_
3. Normal thorax._x000D_
4. L7 lumbar transitional vertebra (asymmetric left-sided type II). Rule out an incidental developmental anomaly vs. less likely cauda equina syndrome.</t>
  </si>
  <si>
    <t>Supportive care with fluid rehydration, antiemetics, gastroprotectants/omeprazole, and bland diet.  General health profile (CBC, chemistry, UA, fecal) could be considered to screen for underlying causes.  Repeat fasted abdominal radiographs or ideally abdominal ultrasound if the patient fails medical management.</t>
  </si>
  <si>
    <t>Ten orthogonal survey radiographs of the thorax and abdomen dated 7th May 2024 are available for review. There are no previous radiographs available for comparison. These images are submitted for assessment of the thorax._x000D_
_x000D_
Thorax: _x000D_
Airway findings: Airway findings: The trachea, carina and mainstem bronchi are within normal limits for width and position. The pulmonary parenchyma is within normal limits for age.  _x000D_
_x000D_
Cardiovascular findings: The cardiac silhouette has a normal position, shape and size. The pulmonary vasculature and caudal vena cava are unremarkable. _x000D_
_x000D_
Mediastinum and pleural space: Poorly marginated soft tissue masses are visible dorsal to the second and third sternal segment._x000D_
_x000D_
Musculoskeletal findings: Gas lucencies are visible in the caudal thigh musculature (laterality unknown)_x000D_
_x000D_
Included abdomen: There is severe bladder distension.</t>
  </si>
  <si>
    <t>1. Sternal lymphadenomegaly: This may be reactive or metastatic generally to an abdominal or a more remote process._x000D_
2. Gas lucencies in the thigh musculature: Exclude a cat bite abscess or other wound._x000D_
3. Bladder distension: Distinguish voluntary retention from obstruction by non-radiopaque calculi or peripheral neuropathy.</t>
  </si>
  <si>
    <t>FNA of any enlarged lymph nodes is advised. exclude thigh musculature trauma. Correlate with voiding of the bladder, and if abnormal, consider abdominal ultrasonography. Consider thoracic ultrasound or thoracic CT.</t>
  </si>
  <si>
    <t>Opposite lateral and ventrodorsal whole body radiographs (3 images) dated May 7, 2024._x000D_
_x000D_
_x000D_
_x000D_
The cardiac silhouette, pulmonary vasculature, and caudal vena cava are within normal limits. The aorta has a mild undulation in its descending course on the left lateral view only. There is a focal poorly marginated alveolar pattern appreciable in the cranial segment of the left cranial lung lobe=ZZ90= on the VD projection there is a well-defined round soft tissue opacity in the same region that measures approximately 0.9 cm in diameter. The remainder of the pulmonary parenchyma is unremarkable. No intrathoracic lymphadenopathy is evident. The pleural space, mediastinum, and diaphragm are normal._x000D_
_x000D_
The liver is mildly enlarged. The spleen is unremarkable in size and shape. The stomach is distended with a large amount of granular soft-tissue content that contains some spine mineral sediment. The small intestine is moderately and diffusely distended with gas and fluid. The colon contains a large amount of formed stool and has a somewhat tortuous course. Both kidneys are unremarkable in size and shape. The urinary bladder is moderately distended with homogeneous fluid opacity. Retroperitoneal and peritoneal detail are normal. No regional lymphadenopathy is evident. _x000D_
_x000D_
The lumbosacral disc space is narrowed. Both stifles have advanced periarticular bony remodeling and multiple free osseous bodies within them. Mild bony remodeling is affecting the acetabular rims of both hips. No aggressive osseous lesions are identified.</t>
  </si>
  <si>
    <t>1. Mildly gas cavitated pulmonary nodule (malignant neoplasia vs. granuloma vs. abscess) in the left cranial lung lobe vs. focal pneumonia._x000D_
2. Normal cardiovascular structures. The cause for the murmur is not radiographically apparent. This does not rule out concentric hypertrophy due to a primary or thyrotoxic cardiomyopathy vs. a benign or physiologic flow murmur vs. less likely other causes._x000D_
3. Diffuse small intestinal dilation with fluid/ingesta and gas. This can be an unremarkable postprandial state vs. represent enteritis vs. a chronic enteropathy vs. least likely represent a distal (ileum or ICJ) small intestinal mechanical obstruction._x000D_
4. Mild hepatomegaly. Rule out a benign metabolic/vacuolar hepatopathy vs. hepatitis/cholangiohepatitis vs. infiltrative round cell neoplasia._x000D_
5. Advanced bilateral stifle and mild bilateral hip osteoarthritis._x000D_
6. Lumbosacral intervertebral disc disease.</t>
  </si>
  <si>
    <t>Cardiac proBNP testing, T4, and echocardiogram._x000D_
Thoracic CT to be considered to further assess the left cranial lung lobe nodule/lesion._x000D_
CBC, chemistry, UA, and abdominal ultrasound. G.I. blood panel may be indicated.</t>
  </si>
  <si>
    <t>Abdomen: The distal descending colon has an unusual undulating linear opacity within its lumen.  There is a moderate amount of heterogeneous soft tissue opacity within the gastric lumen.  There is no evidence of a small intestinal foreign body or obstruction.  The liver, spleen, and urinary tract are unremarkable.  Serosal detail is normal.  There are no abnormalities involving the lumbar vertebral column._x000D_
_x000D_
Thorax: Thoracic vertebrae T2, T3, and T4 appear to be anomalous hemivertebra.  The remainder of the thoracic vertebral column is unremarkable.  The pulmonary parenchyma, cardiac silhouette, and pulmonary vasculature are unremarkable.  There is no evidence of pleural effusion or lymphadenopathy.</t>
  </si>
  <si>
    <t>The appearance of the lumen of the distal descending colon may represent unusual fecal material or possible foreign body that is progressed through the gastrointestinal tract._x000D_
_x000D_
The appearance of the gastric lumen most likely represents normal ingesta however foreign material cannot be ruled out._x000D_
_x000D_
Suspect anomalous thoracic hemivertebra.</t>
  </si>
  <si>
    <t>Opposite lateral and ventrodorsal thoracic radiographs (4 images) dated May 6, 2024._x000D_
_x000D_
The cardiac silhouette, pulmonary vasculature, and great vessels are within normal limits. An irregular and lobular poorly marginated unstructured interstitial infiltrate (~4.6 x 2.6 x 2.6 cm) is present in the medial aspect of the left caudal lung lobe. There is the suspicion of a smaller alveolar infiltrate in the right cranioventral lung field and partially border effacing with the cranial margin of the cardiac silhouette on the lateral views. The remainder of the pulmonary parenchyma is unremarkable. The trachea is normal in diameter and course with gas filling its lumen. The pleural space, mediastinum, and diaphragm are normal. No aggressive or clinically significant osseous pathology is identified. The liver and visible small bowel are unremarkable. The stomach is moderately distended with gas.</t>
  </si>
  <si>
    <t>1. Unstructured interstitial-nearly alveolar infiltrates in the left caudal lung lobe and right cranial lung lobe. Rule out infiltrative round cell neoplasia vs. pyogranulomatous infiltrates (ex: FIP) vs. pulmonary histoplasmosis vs. pulmonary hemorrhage vs. less likely other causes._x000D_
2. Moderate gastric distention with gas is suggestive of aerophagia.</t>
  </si>
  <si>
    <t>CBC, chemistry, UA, fecal, blood pressure, FeLV/FIV, and abdominal ultrasound. Neurology consultation. Manual platelet count +/- PT/PTT._x000D_
Lower airway sampling (ex: BAL) may provide a diagnosis.</t>
  </si>
  <si>
    <t>Study:_x000D_
Thoracic/abdominal radiography: four images dated May 6, 2024_x000D_
_x000D_
Findings:_x000D_
The cardiac silhouette is accentuated by pericardial fat but is normal in size and shape. The pulmonary vasculature is normal in size. The pulmonary parenchyma is unremarkable. No nodules or masses are present. The pleural space is normal. There is no intrathoracic lymphadenopathy. The trachea is normal in diameter. The abdominal serosal detail is normal. There is a 4.2 cm x 3.2 cm soft tissue opaque mass superimposed with the small intestines in the midabdomen. The stomach is empty. The colon contains poorly formed fecal material. The liver and spleen are normal in size and margin. Both renal silhouettes are within normal limits for size (approximately two times the length of L2) and have a normal shape. The urinary bladder is normal in size and opacity. The T 13 vertebra is transitional with bilateral hypoplastic ribs. There is mild to moderate spondylosis deformans from L5 to S1. The L7-S1 intervertebral disc space narrowed.</t>
  </si>
  <si>
    <t>1. Mid abdominal mass. Consider mesenteric lymphadenopathy or an intestinal mass. Recommend abdominal sonography and tissue sampling for further evaluation._x000D_
2. The reported renal abnormalities on abdominal palpation are not appreciated radiographically._x000D_
3. Normal thorax. There is no radiographic evidence of cardiopulmonary or metastatic disease._x000D_
4. L7-S1 intervertebral disc disease.</t>
  </si>
  <si>
    <t>Three orthogonal thoracic radiographs dated 6th May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</si>
  <si>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The murmur reported is most likely a physiologic murmur. Early hypertrophic cardiomyopathy cannot be differentiated from normal, and cannot therefore be completely excluded.</t>
  </si>
  <si>
    <t>In absence of clinical signs indicative of cardiac disease, conservative management may be considered. Consider T4 testing, echocardiography to completely exclude hypertrophic cardiomyopathy.</t>
  </si>
  <si>
    <t>Study:_x000D_
Thoracic/abdominal radiography: three images dated May 6, 2024_x000D_
_x000D_
Findings:_x000D_
The cardiac silhouette and pulmonary vasculature are normal in size. The pulmonary parenchyma is unremarkable. The pleural space is normal. There is no intrathoracic lymphadenopathy. The trachea is normal in diameter and course. There is a small amount of unstructured heterogeneous soft tissue material in the stomach. The small intestines are gas and fluid-filled and normal in size and course. There is formed fecal material the descending colon. There is structured soft tissue material within the ascending colon that appears to similar to fecal material in the descending colon. The liver and spleen are normal in size and margin. The renal silhouettes are normal in size and contour. The urinary bladder is normal in size and opacity. No skeletal abnormalities present.</t>
  </si>
  <si>
    <t>1. Gastric contents likely represent ingesta. Foreign material cannot be completely excluded. There is considered for foreign material in the ascending colon given the difference in appearance of the structure material in this region in comparison to be formed fecal material the descending colon. There is no evidence of small intestinal mechanical obstruction. Abdominal sonography can be considered for further evaluation if clinical signs persist or worsen in spite of medical management._x000D_
2. Normal thorax.</t>
  </si>
  <si>
    <t>Patient name: Honey Parrott_x000D_
THORAX (3 views, 3 images=ZZ90= [2 lateral, 1 VD]) =ZZ96= ABDOMEN (3 images=ZZ90= [2 lateral, 1 VD])_x000D_
Images are dated May 6, 2024._x000D_
There are no previous radiographs for comparison. _x000D_
The patient is rotated with respect to the x-ray beam on the VD images.  _x000D_
_x000D_
THORAX:_x000D_
Airway/Pulmonary: The lungs are adequately inflated. Pulmonary parenchymal opacity is diffusely normal.  No distinct soft tissue pulmonary nodules are detected.  Tracheal and mainstem bronchial diameter is normal. _x000D_
_x000D_
Cardiovascular: The cardiac silhouette is mildly enlarged.  Pulmonary vessels are normal in width. _x000D_
_x000D_
Mediastinum: No lymph node enlargement is detected.  The caudal vena cava is normal in height.  _x000D_
_x000D_
Pleural space: No pleural effusion is seen. _x000D_
_x000D_
Musculoskeletal: No abnormalities detected in the visible musculoskeletal structures._x000D_
_x000D_
ABDOMEN: _x000D_
Liver: The liver is moderately enlarged but retains smooth tapered margins._x000D_
_x000D_
Spleen: The spleen is normal in size and shape with smooth margins. _x000D_
_x000D_
Kidneys and urinary bladder: Both kidneys are normal in size and shape with smooth margins. The urinary bladder is mildly fluid distended. No radiopaque urinary calculi are detected. _x000D_
_x000D_
GI: The stomach contains a small volume of gas and fluid.  No gastric enlargement is seen. Variably the small intestines contain fluid or gas while maintaining normal diameter and distribution. A few loops of small bowel appear rigid.  No distinct radiopaque gastrointestinal foreign material is detected. Gas and formed feces are noted in the colon. _x000D_
_x000D_
Abdominal detail: Serosal detail is adequate. _x000D_
_x000D_
MSK: Visible musculoskeletal structures are within normal limits.</t>
  </si>
  <si>
    <t>1) Mild generalized cardiomegaly.  Consistent with reported early HCM.  No evidence of congestive heart failure.  _x000D_
2) Appearance of small intestines consistent with enteritis / gastroenteritis.  No evidence of mechanical obstruction.  Pancreatitis is also possible.  _x000D_
3) Moderate hepatomegaly.  Ddx: fat deposition/hepatic lipidosis, hepatitis/cholangiohepatitis, endocrinopathy, or (less likely) neoplasia.</t>
  </si>
  <si>
    <t>Consider abdominal ultrasound if clinical signs persist or worsen.  
Recheck echocardiogram advised.</t>
  </si>
  <si>
    <t>Three radiographs of the thorax and three views of the abdomen are provided. The cardiac silhouette and pulmonary vessels are normal size and shape. There are faint peripheral bronchial markings. No pleural effusion or soft tissue pulmonary nodules. No enlarged intrathoracic lymph nodes. Tracheal diameter. In the abdomen serosal detail is adequate in the peritoneal and retroperitoneal spaces. The stomach is minimally distended. Small intestines are predominantly minimally distended. There are several loops of moderate to severely distended loops of small bowel that are soft and soft tissue opaque. No radiopaque foreign material. Large volume of formed feces fills the colon. Normal-sized kidneys, liver, spleen. No radiopaque urolithiasis. Osteoarthritis in both coxofemoral joints.</t>
  </si>
  <si>
    <t>1. Several moderate to severely dilated loops of small bowel, likely the reported thickened loops. Neoplasia is of concern. Inflammatory bowel disease is next on the differential list._x000D_
2. Faint bronchial markings suggestive of chronic airway inflammation. In the absence of respiratory signs, significance is doubtful. Otherwise normal thorax.</t>
  </si>
  <si>
    <t>Full-thickness biopsy of the small bowel would be necessary for a definitive diagnosis.</t>
  </si>
  <si>
    <t xml:space="preserve">
4.This result does NOT detect pleural fissure lines.  _x000D_
1.This result detects minimal to mild, mixed interstitial and bronchial pulmonary patterns._x000D_
2.Rarely, this result detects a minimal alveolar pulmonary pattern._x000D_
3.This result detects mild to moderate cardiomegaly.</t>
  </si>
  <si>
    <t>Three radiographs of the thorax and three views of the abdomen are provided. Images dated 3/27/24 are available for comparison. There is no peritoneal or retroperitoneal effusion. Small volume fluid and gas in the stomach. Small intestines are moderately filled with fluid and gas, similar to the previous study. Moderate volume formed feces in the colon. Normal-sized kidneys, liver, spleen. No radiopaque cystic calculi. Osteoarthrosis in the right coxofemoral joint._x000D_
_x000D_
In the thorax the cardiac silhouette is normal size to mildly enlarged, increased in size compared to the previous study. There is no pleural effusion. No esophageal dilation.</t>
  </si>
  <si>
    <t>1. Small intestinal functional as before. With the lack of improvement despite Cerenia administration, partial small bowel obstruction is most likely. Gastric foreign material may also be present._x000D_
2. Equivocal prominent heart may be due to fluid supplementation. Underlying cardiac disease is given lesser consideration, particularly in the absence of a murmur or arrhythmia.</t>
  </si>
  <si>
    <t>With the persistent vomiting, exploratory surgery should be considered.</t>
  </si>
  <si>
    <t>Three radiographs of the thorax, and three views abdomen are provided. The cardiac silhouette is upper normal size. The heart appears larger on the VD projection due to expiration. There are no abnormalities in the pulmonary parenchyma. No pleural effusion. Adequate tracheal diameter._x000D_
_x000D_
In the abdomen there is a large volume formed feces filling the colon. The fecal column is mineral opaque, angular, and measures up to 3.2 cm diameter. The urinary bladder is severely distended and there are a few faint small round increased opacities measuring up to 0.3 cm overlying the urinary bladder. There are punctate mineral densities overlying the mid lateral left extra-abdominal tissues on the VD projection. There is scant peritoneal fluid. Normal-sized liver, kidneys, spleen. No abnormalities along the plane of the proximal urethra. The plane of the distal urethra is not included. Large volume gas in the stomach and small bowel are consistent with aerophagia. No osseous abnormalities.</t>
  </si>
  <si>
    <t>1. Suspect small cystic calculi versus artifact caused by extra-abdominal debris. Cystitis and/or urethral obstruction is suspected. Scant effusion is likely inflammatory._x000D_
2. Constipation._x000D_
3. Normal thorax.</t>
  </si>
  <si>
    <t>Placement of a urinary catheter and enema administration should be considered.</t>
  </si>
  <si>
    <t>2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  There is persistent narrowing of the intervertebral disc spaces T12-L3 and L7-S1.  No fractures or aggressive osseous lesions are seen.</t>
  </si>
  <si>
    <t>Radiographically normal abdomen.  Radiographically normal thorax for patient of this age.  Narrowed intervertebral disc spaces suggestive of intervertebral disc herniation.  This does not rule out intervertebral disc herniation at another site or other causes of spinal cord compression.</t>
  </si>
  <si>
    <t>CT or MRI could be considered in further evaluation.</t>
  </si>
  <si>
    <t>Study:_x000D_
Thoracic radiography: three images dated May 4, 2024_x000D_
_x000D_
Findings:_x000D_
The cardiac silhouette (VHS approximately 7.5) and pulmonary vasculature are normal in size. The pulmonary parenchyma is unremarkable. The pleural space is normal. There is no intrathoracic lymphadenopathy. The trachea is normal in diameter and course. The stomach is empty.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 The inguinal lymph nodes are enlarged measuring up to 1.2 cm.</t>
  </si>
  <si>
    <t>1. Normal thorax. There is no radiographic evidence of heart disease. Consider echocardiography for further evaluation of the reported heart murmur._x000D_
2. Unremarkable abdomen._x000D_
3. The inguinal lymphadenopathy is likely reactive. A neoplastic etiology cannot be completely excluded. Fine needle aspiration and cytology can be considered for further evaluation if clinically relevant.</t>
  </si>
  <si>
    <t xml:space="preserve">
1.This result detects a minimal to mild interstitial pulmonary pattern.  _x000D_
2.This result detects a minimal to mild, or rarely moderate bronchial pulmonary pattern._x000D_
3.Rarely, this result detects a minimal alveolar pulmonary pattern._x000D_
4.This result does not detect pulmonary vasculature enlargement._x000D_
5.Rarely, this result detects minimal pleural fissure lines/fluid.  _x000D_
6.This result detects none, or equivocal/borderline to moderate cardiomegaly. </t>
  </si>
  <si>
    <t>Survey abdomen: There is a heterogeneous opacity associated with the gastric lumen.  There is no evidence of a small intestinal foreign body or obstruction.  The liver and spleen are unremarkable.  The urinary tract is unremarkable.  Serosal detail is normal.  There are no abnormalities involving the visible portions of the thorax._x000D_
_x000D_
Upper GI series: There is no evidence of a gastrointestinal obstruction.  Positive contrast has progressed through the gastrointestinal tract to the colon.  There is residual contrast media within the gastric lumen without evidence of distention.</t>
  </si>
  <si>
    <t>Suspect gastric foreign body without evidence of obstruction.</t>
  </si>
  <si>
    <t xml:space="preserve">
1.This result does NOT detect an alveolar pulmonary pattern._x000D_
2.This result detects a minimal to moderate bronchial pulmonary pattern._x000D_
3.This result detects a minimal, or rarely mild interstitial pulmonary pattern._x000D_
4.This result detects equivocal/borderline cardiomegaly._x000D_
5.Rarely, this result detects minimal pleural fissure lines/fluid.</t>
  </si>
  <si>
    <t>Whole-body and pelvic limb radiographs (6 images) dated May 3,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Both kidneys measure at the lower limits of normal size and are relatively normal in shape. The urinary bladder is fairly distended with homogeneous fluid opacity, and there is a solitary mineral opacity proposed central urinary bladder on both lateral views. The stomach is empty. The small bowel and colon are unremarkable. Retroperitoneal and peritoneal detail are normal. No regional lymphadenopathy is evident._x000D_
_x000D_
Moderate disc space narrowing is affecting L5 through S1 with endplate sclerosis and minimal spondylosis deformans. Both elbows have periarticular bony remodeling affecting them and diffuse free osseous bodies. No abnormalities identified in the hips/pelvis. Both tarsocrural joints have moderate periarticular bony remodeling affecting them. Minimal bony remodeling is also affecting the distal intertarsal joints and dorsal aspect of the tarsometatarsal joints.</t>
  </si>
  <si>
    <t>1. L5-S1 chronic intervertebral disc disease. Correlation with orthopedic and neurologic exam is needed to determine significance._x000D_
2. Moderate-severe bilateral elbow and tarsocrural osteoarthritis._x000D_
3. Small kidneys are concerning for chronic renal disease._x000D_
4. Pinpoint mineral focus superimposed with the urinary bladder is concerning for a non-obstructive cytolith vs. less likely superimposed external debris. Rule out calcium oxalate vs. struvite vs. mixed or other stone type._x000D_
4. Normal thorax.</t>
  </si>
  <si>
    <t>Assess for neurologic deficits._x000D_
CBC, Chem, UA, T4, fecal, BP._x000D_
Focal urinary ultrasound to confirm or rule out the suspected cystolith._x000D_
_x000D_
Anti-inflammatory and analgesic therapy. Orthopedic and/or neurology consultation could be considered.</t>
  </si>
  <si>
    <t xml:space="preserve">
1.This result detects a minimal to moderate bronchial pulmonary pattern._x000D_
2.This result does NOT detect an alveolar pulmonary pattern._x000D_
3.Rarely, this result detects minimal pleural fissure lines/fluid._x000D_
4.This result detects a minimal, or rarely mild interstitial pulmonary pattern._x000D_
5.This result detects equivocal/borderline cardiomegaly.</t>
  </si>
  <si>
    <t xml:space="preserve">
1.This result detects a minimal to mild bronchial pulmonary pattern._x000D_
2.Rarely, this result detects a minimal alveolar pulmonary pattern._x000D_
3.This result detects equivocal/borderline to mild cardiomegaly._x000D_
4.This result does not detect pulmonary vasculature enlargement._x000D_
5.Rarely, this result detects minimal pleural fissure lines/fluid._x000D_
6.This result detects a minimal to mild interstitial pulmonary pattern.  </t>
  </si>
  <si>
    <t>Four radiographs of the thorax/abdomen are provided. There is soft tissue opacity in the ventral thorax on the lateral view, causing loss cardiac silhouette visibility. Ventral lung margins are dorsally displaced. Normal tracheal diameter. The thoracic trachea is dorsally deviated. On the VD view, the cardiac silhouette is normal size. No rib lesions. In the abdomen serosal detail is adequate. Formed feces fills the colon. The kidneys are reduced in size. Other abdominal organs are obscured by the effusion. No osseous abnormalities.</t>
  </si>
  <si>
    <t>Reduced renal size consistent with chronic renal disease. Pleural effusion, thoracic mass-effect and moderate peritoneal effusion. Neoplasia is of concern. An inflammatory process is given lesser consideration.</t>
  </si>
  <si>
    <t>A CBC, chemistry profile, and abdominal ultrasound are recommended. Pleural space ultrasound could be performed at the same time.</t>
  </si>
  <si>
    <t xml:space="preserve">Three view orthogonal radiographs (3 images) of the thorax and cranial abdomen dated May 3, 2024, are available for interpretation. No prior images are available for comparison.
The cat was not sedated.
Thorax:
Airway/pulmonary: The lungs are mildly hyperinflated on the VD images however a mild interstitial pattern is present in the caudal lungs on both VD projections. On the left lateral projection, a mild interstitial pattern is present in the caudodorsal thorax. This finding does not persist on the right lateral projection. The degree of lung inflation is less on the left lateral projection which is likely causing the interstitial pattern. No nodules or masses are noted.
Cardiovascular: The cardiac silhouette is mildly enlarged. The pulmonary vasculature to the caudal lung lobes is mildly distended on the left lateral projection but appears normal on the right lateral projection. The descending aorta has a serpentine path on both lateral projections. The CVC is mildly distended. 
Mediastinum: A soft tissue opacity is noted in the region of the sternal lymph node. No hilar lymph node enlargement is noted.
Pleural space: Normal. No pneumothorax noted.
Cranial abdomen: Cranial abdominal detail is normal. Liver size is normal. 
Msk: Mild pectus excavatum is present.
An ultrasound guided cystocentesis was performed without incident. </t>
  </si>
  <si>
    <t>1) Mild cardiomegaly. DDX: secondary to hyperthyroidism vs. secondary to hypertension vs. early HCM. 
2) Appearance to the descending aorta is suggestive of systemic hypertension.
3) Variable appearance to the pulmonary vasculature, pulmonary parenchyma and CVC. These findings should be monitored for progression. 
4) Sternal lymph node enlargement suspected. Rule out abdominal disease. No hilar lymph node enlargement noted.
5) No pulmonary masses or nodules.</t>
  </si>
  <si>
    <t>No immediate contraindications to thyroid scan and I-131 therapy however an abdominal ultrasound is recommended given the sternal lymph node enlargement. 
Resting respiratory rate should be monitored and repeat thoracic radiographs should be obtained if resting respiratory rate is &gt; 40 breathes per minute or coughing becomes part of the clinical history. See same-day cardiac ultrasound report.</t>
  </si>
  <si>
    <t xml:space="preserve">
1.This result detects a minimal, or less commonly mild interstitial pulmonary pattern.  _x000D_
2.This result detects a mild or rarely moderate bronchial pulmonary pattern._x000D_
3.This result does not detect an alveolar pulmonary pattern._x000D_
4.This result does not detect pleural fissure lines/fluid.  _x000D_
5.This result detects equivocal/borderline to mild cardiomegaly. _x000D_
6.This result does not detect pulmonary vasculature enlargement.</t>
  </si>
  <si>
    <t>Opposite lateral and ventrodorsal whole body radiographs (6 images) dated May 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The stomach contains a moderate amount of heterogeneous soft-tissue content. The small intestine is diffusely and mildly distended with a mixture of gas and soft-tissue ingesta. The colon contains a large amount of unremarkable appearing stool. Both kidneys are normal in size and shape. The urinary bladder is mildly fluid-filled._x000D_
_x000D_
No aggressive or clinically significant osseous pathology is identified.</t>
  </si>
  <si>
    <t>1. Normal thorax. The cause for the congestion is not radiographically apparent and may be an upper airway issue._x000D_
2. Unremarkable postprandial abdomen.</t>
  </si>
  <si>
    <t>Consider upper airway exam and pharyngeal PCR swab infectious panel.</t>
  </si>
  <si>
    <t>Consider abdominal US for further evaluation and consulate with the clinician in charge for further diagnostics based on the familiar sudden death.</t>
  </si>
  <si>
    <t>4 views of the torso are submitted for review._x000D_
In the thorax, the cardiac silhouette is subjectively increased in width on the VD view.  The heart appears normal in size and shape on the lateral views.  The right caudal lobar pulmonary artery appears mildly prominent and tortuous.  Mild to moderate bronchial markings are noted in the lung fields.  No intrathoracic lymphadenopathy or pleural or effusion is seen._x000D_
In the abdomen, the stomach contains a moderate amount of food-like material.  The small bowel and colon are within normal limits.  The liver and spleen are normal in size, shape, and margination.  The bilateral renal silhouettes are within normal limits.  Suspect mild mineralization is noted in the region of the right kidney.  The urinary bladder is unremarkable.  Serosal detail is normal._x000D_
No significant osseous abnormalities are seen.</t>
  </si>
  <si>
    <t>The appearance of the heart is equivocal and could be within normal limits or associated with fat deposition in the middle mediastinum around the heart.  However, I cannot rule out the possibility of cardiomyopathy.  The subjective prominence of the right caudal lobar pulmonary artery could also be consistent with pulmonary arteritis as with heartworm disease.  The appearance of the lung fields is most consistent with chronic inflammation as with feline asthma or chronic bronchitis._x000D_
Mild mineralization in the region of the right kidney.  This could also be within the GI tract.  Otherwise, radiographically normal postprandial abdomen.</t>
  </si>
  <si>
    <t>Correlation with Heartworm testing may be helpful.  An echocardiogram could also be considered for further evaluation of the heart.  Otherwise, empirical medical management for feline asthma or chronic bronchitis could be considered.</t>
  </si>
  <si>
    <t>Patient Name : Oscar Parris, Date of study: May 3, 2024
3 images are provided for review
Feline Thorax (3 Images) - 2 Lateral, 1 Vd
There are no previous radiographs for comparison.
Findings:
Cardiac silhouette: The cardiac silhouette is normal in size and shape.
Pulmonary vessels: The pulmonary vessels are unremarkable.
Pulmonary parenchyma: The pulmonary parenchyma is normal with no abnormal pulmonary patterns, nodules, or masses.
Pleural space: The pleural space is within normal limits.
Mediastinum: The mediastinum is normal in width and opacity.
Trachea: The trachea is normal in diameter.
Esophagus: The region of the esophagus is unremarkable.
Cranial abdomen: The cranial abdomen is normal.
Musculoskeletal: The included skeletal and superficial soft tissue structures of the study are within normal limits</t>
  </si>
  <si>
    <t>Normal thorax.  Feline asthma cannot be excluded as this may have a normal radiographic appearance.</t>
  </si>
  <si>
    <t>Empiric therapy for feline asthma could be considered to monitor for a positive response to treatment. Consider repeat thoracic radiographs +/- respiratory PCR if clinical signs fail to improve or worsen in the face of empirical therapy.</t>
  </si>
  <si>
    <t>Three radiographs of the thorax, VD pelvis, and orthogonal views of the distal right pelvic limb are provided. The cardiac silhouette and pulmonary vessels are normal size and shape. There is a mild bronchial pattern throughout the lungs. No pleural effusion or soft tissue pulmonary nodules. No intrathoracic lymphadenomegaly. Normal proximal thoracic limbs._x000D_
_x000D_
The coxofemoral joints are congruent. Smoothly contoured ovoid 2.3 x 0.9 cm soft tissue opaque nodule overlying lateral right thigh tissues is likely a cutaneous lesion, and is of uncertain significance. There is severe interdigital soft tissue thickening between the right pelvic limb 4th and 5th digits, with moderate soft tissue swelling extending into the 3rd, 4th, and 5th digits. Thickened interdigital tissue between the 3rd and 4th digits as well. There is mild proximal interphalangeal osteoarthritis in the 4th and 5th digits. No osseous lysis or periosteal proliferation is appreciated. The ungual process of the 3rd, 4th, and 5th digits appears shortened. Ungual process of the 2nd digit is incompletely visible. No radiopaque foreign material. Normal metatarsal and tarsal bones.</t>
  </si>
  <si>
    <t>1. Marked soft tissue swelling in the distal lateral right pes , most likely a severe inflammatory process. A soft tissue neoplasm is not definitively ruled out but given lesser consideration in the absence of osseous lysis or periosteal proliferation. Malformed ungual process in the affected digits, likely due to chronic inflammation._x000D_
2. Mild bronchial pattern suggestive of chronic airway inflammation. In the absence of coughing, significance is doubtful. Otherwise normal thorax.</t>
  </si>
  <si>
    <t>3 views of the thorax are provided for review.  The cardiac silhouette is widened with rounding of the left ventricular border.  Pleural fluid is present bilaterally.  Patchy interstitial to alveolar opacity is seen in the caudal lung lobes and left cranial lung lobe.  The mediastinal structures are normal.  Cranial abdominal detail is adequate.</t>
  </si>
  <si>
    <t>Cardiomegaly.  Pleural effusion.  Pulmonary infiltrates concerning for cardiogenic pulmonary edema.</t>
  </si>
  <si>
    <t>Consider repeat radiographs following diuretic therapy.  Fluid sampling, echocardiography, proBNP, and thyroid testing may be helpful in further evaluation.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</si>
  <si>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kidneys are at the lower limits of normal for size.  The remaining abdominal organs are normal.</t>
  </si>
  <si>
    <t>Opposite lateral and VD thoracoabdominal views, a VD pelvis view, and lateral views of the hind limbs are provided. Lateral views of the right hind limb have significant motion blurring._x000D_
_x000D_
There is mild multifocal punctate mineralization in both kidneys. The kidneys are at the small end of acceptable size range, with normal shape. The urinary bladder is unremarkable. The other abdominal organs are within normal limits. The distal colon is mildly distended with firm appearing fecal balls. The upper GI tract is unremarkable._x000D_
The cardiovascular structures are within normal limits. No pulmonary infiltrates or pleural effusion are identified. There is severe spondylosis involving the cervical thoracic spine._x000D_
_x000D_
The pelvis and hips are within normal limits._x000D_
There is severe chronic remodeling and bone production involving the medial aspect of the left stifle joint. Both stifles have intra-articular mineral density in the cranial compartment of the stifle joint. This is severe in the left stifle and mild to moderate in the right stifle. No destructive bone lesions are identified.</t>
  </si>
  <si>
    <t>The productive bony changes along the medial aspect of the left stifle joint suggest previous medial collateral ligament injury with secondary chronic remodeling._x000D_
The mineral density in the cranial compartment of the right stifle is typical of benign meniscal ossicle, likely incidental. The appearance of mineral density in the cranial compartment of in the left stifle is much more prominent, and not considered typical. It may be worse in the left stifle secondary to previous injury or chronic inflammation, but could still be incidental._x000D_
_x000D_
There is mild bilateral nephrolithiasis. This is commonly incidental, and not likely to be associated with the clinical signs. The distention of the distal colon feces is mild, and compatible with the history. No findings that would specifically explain the weight loss are identified.</t>
  </si>
  <si>
    <t>Symptomatic therapy for possible hind limb pain is recommended.</t>
  </si>
  <si>
    <t xml:space="preserve">
1.This result detects none, or equivocal/borderline to mild cardiomegaly. _x000D_
2.This result does not detect pulmonary vasculature enlargement._x000D_
3.This result detects a minimal to mild, or rarely moderate interstitial pulmonary pattern.  _x000D_
4.This result detects a minimal to mild bronchial pulmonary pattern._x000D_
5.This result does not detect an alveolar pulmonary pattern._x000D_
6.This result does not detect pulmonary soft tissue nodules._x000D_
7.Rarely, this result detects minimal pleural fissure lines/fluid.  </t>
  </si>
  <si>
    <t>Orthogonal views of the thorax and abdomen are provided:_x000D_
_x000D_
Thorax:_x000D_
_x000D_
The esophagus is mildly gas distended secondary to aerophagia. No signs of esophageal hernia. No abnormalities seen in the diaphragm._x000D_
Cardiac silhouette shows a moderate enlargement of the left atrium dorsally displacing the carina. Ventral to the right side there is lung lobe retraction and atelectasis._x000D_
Pulmonary vessels are within normal limits of size and shape._x000D_
Pulmonary parenchyma is within normal limits. _x000D_
Pleural space, mediastinum and thoracic wall within normal limits._x000D_
_x000D_
Abdomen:_x000D_
_x000D_
The stomach is gas distended._x000D_
Serosal detail is poor. Small intestines are not distinguished._x000D_
Liver and spleen are within normal limits of size and smoothly marginated._x000D_
Kidneys and urinary bladder WNL.</t>
  </si>
  <si>
    <t>1) Left atrial enlargement most consistent with a primary cardiomyopathy such as HCM vs RCM vs UCM vs secondary cardiomyopathy to hyperthyroidism is unlikely._x000D_
2) Unremarkable lungs do not exclude a chronic lower airway disease such as asthma, chronic bronchitis or parasitic bronchitis._x000D_
3) Unremarkable abdomen.</t>
  </si>
  <si>
    <t>Consider a cardiology consultation with ECG and echocardiogram._x000D_
Consider abdominal US to further evaluate the urinary tract with renal function, UPC and urinalysis.</t>
  </si>
  <si>
    <t xml:space="preserve">
1.Rarely, this result detects minimal pulmonary vasculature enlargement._x000D_
2.This result commonly detects minimal to moderate, or rarely severe pleural fissure lines/fluid._x000D_
3.This result detects a mild to moderate, or rarely severe interstitial pulmonary pattern.  _x000D_
4.This result detects a mild to moderate bronchial pulmonary pattern._x000D_
5.Uncommonly, this result detects a minimal to severe alveolar pulmonary pattern._x000D_
6.This result detects moderate to severe, or less commonly mild cardiomegaly.</t>
  </si>
  <si>
    <t>Thorax: There is a mild diffuse peribronchial pattern.  The cardiac silhouette and pulmonary vasculature are unremarkable.  There is no evidence of pleural effusion or lymphadenopathy._x000D_
_x000D_
Abdomen: The stomach is distended with a moderate amount of heterogeneous soft tissue opacity.  There is a moderate amount of well-formed fecal material within the descending colon and rectum.  The liver and spleen are unremarkable.  The urinary tract is unremarkable.  Gas is seen throughout the small intestines without evidence of overt distention or obstruction.  Serosal detail is normal.</t>
  </si>
  <si>
    <t>Diffuse peribronchial pattern.  This may reflect a lower airway inflammatory process such as asthma._x000D_
_x000D_
The material within the gastric lumen most likely represents normal ingesta._x000D_
_x000D_
The appearance of the fecal material may represent constipation.</t>
  </si>
  <si>
    <t xml:space="preserve">
1.This result detects equivocal/borderline to mild, or rarely moderate cardiomegaly._x000D_
2.Rarely, this result detects minimal to mild pulmonary vasculature enlargement._x000D_
3.Rarely,  this result detects minimal pleural fissure lines/fluid.  _x000D_
4.This results detects a minimal to mild interstitial pulmonary pattern._x000D_
5.Rarely, this result detects a minimal to moderate alveolar pulmonary pattern. _x000D_
6.This result detects a minimal to mild bronchial pulmonary pattern.</t>
  </si>
  <si>
    <t>Thorax: There is a mild peribronchial pattern.  The cardiac silhouette and pulmonary vasculature are unremarkable.  There is no evidence of pleural effusion or lymphadenopathy._x000D_
_x000D_
Abdomen: There is a soft tissue opacity within the gastric lumen.  There is no evidence of a small intestinal foreign body or obstruction.  The liver and spleen are unremarkable.  The urinary tract is unremarkable.  Serosal detail is normal.</t>
  </si>
  <si>
    <t>Mild peribronchial pattern which may reflect a lower airway inflammatory process such as asthma._x000D_
_x000D_
The appearance of the gastric lumen most likely represents normal ingesta however nonobstructive foreign material cannot be ruled out.</t>
  </si>
  <si>
    <t>Thorax: The pulmonary parenchyma, cardiac silhouette, and pulmonary vasculature are unremarkable.  There is no evidence of pleural effusion or lymphadenopathy._x000D_
_x000D_
Abdomen: There is a moderate amount of well-formed fecal material throughout the colon and rectum.  The remainder of the abdomen is unremarkable._x000D_
_x000D_
Spine: There are no abnormalities identified involving the visible portions of the cervical, thoracic, or lumbar vertebral columns.</t>
  </si>
  <si>
    <t>The appearance of the colon may represent constipation.</t>
  </si>
  <si>
    <t>Study:_x000D_
Thoracic and abdominal radiography: nine images dated May 2, 2024_x000D_
_x000D_
Compared to prior study dated April 14, 2024_x000D_
_x000D_
Findings:_x000D_
There is incidental cranioventral rotation of the cardiac silhouette and redundancy of the aorta. The cardiac silhouette (VHS approximately 7.5) and pulmonary vasculature are normal in size. There is a static mild generalized bronchial pulmonary pattern. The pleural space is normal. There is no intrathoracic lymphadenopathy. The larynx is normal. The trachea is normal in diameter and course. The abdominal serosal detail is normal. The stomach contains a small volume of gas. There is mild diffuse gas distention of the small intestines. The colon contains formed fecal material with a normal diameter. The liver is normal in size and margin in the present study. The spleen is normal in size and shape. The renal silhouettes are normal in size and contour. The urinary bladder is normal in size and opacity. As previously noted there is intervertebral disc space narrowing from L5 to S1. There is mild to moderate multifocal thoracolumbar and lumbosacral spondylosis deformans. Mild periarticular bone formation is present at the craniolateral margin of the right acetabulum.</t>
  </si>
  <si>
    <t>1. The diffuse gas dilation of the small intestines is suggestive of nonspecific functional ileus. Consider abdominal sonography and a G.I. panel to further evaluate for an underlying enteropathy._x000D_
2. Static mild generalized bronchial pulmonary pattern. Allergic/inflammatory bronchitis (asthma) is prioritized._x000D_
3. There is no radiographic evidence of heart disease._x000D_
4. L5-L6 2L7-S1 intervertebral disc disease._x000D_
5. Mild right coxofemoral osteoarthrosis.</t>
  </si>
  <si>
    <t>5 views are submitted for review._x000D_
In the thorax, the cardiovascular structures are normal.  No definitive pulmonary parenchymal abnormalities are noted.  No pleural effusion or intra-thoracic of adenopathy is seen.  The trachea is normal in diameter._x000D_
In the abdomen, the stomach contains a moderate amount of heterogeneous soft tissue and mineral opacity material.  The small bowel contains a mild amount of similar-appearing material without dilation or plication.  A mild amount of stool and gas is noted in the colon.  The liver and spleen are normal in size, shape, and margination.  The bilateral renal silhouettes are within normal limits.  The urinary bladder is unremarkable.  Serosal detail is normal._x000D_
There is significant asymmetry of the sacroiliac joints and lumbosacral junction.  Mild spondylosis is noted at the lumbosacral junction.  The pelvis is mildly rotated to the left on the VD view and creates the appearance of relatively decreased acetabular coverage of the left hip.  Both coxofemoral joints appear congruent without evidence of degenerative change.  No definitive abnormalities noted in the stifles or imaged portion of the distal pelvic limbs._x000D_
Multiple varied congenital vertebral anomalies are noted in the mid to caudal thoracic spine including hemivertebra and blocked vertebrae.  There is a block vertebra in the caudal thoracic spine at the last thoracic and first lumbar vertebrae.  14 ribs can be counted on the right side raise only 13 are counted on the left side.  This likely originates from the very complex vertebral anomalies in the mid to cranial thoracic spine.  There is also mild to moderate scoliosis at the TL junction.  There is significant scoliosis associated with the proximal coccygeal vertebra.  A block vertebra is also noted at the proximal portion of the tail.</t>
  </si>
  <si>
    <t>Multiple varied, complex congenital vertebral anomalies throughout the visible portion of the vertebral column.  The coxofemoral joints are subjectively normal without evidence of degenerative change._x000D_
Radiographically normal thorax and postprandial abdomen.</t>
  </si>
  <si>
    <t>Nothing specific.</t>
  </si>
  <si>
    <t>Opposite lateral and ventrodorsal whole body radiographs (3 images) dated May 2, 2024._x000D_
_x000D_
_x000D_
The cardiac silhouette, pulmonary vasculature, and great vessels are within normal limits. A fair volume of pericardial fat surrounds the cardiac silhouette.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enlarged. The spleen is unremarkable in size and shape. Both kidneys are normal in size and shape. The stomach is empty/collapsed. The small intestine is unremarkable in size, course, and content. The colon is mildly distended with normal appearing stool and gas. The urinary bladder is small and food opaque. Retroperitoneal and peritoneal detail are normal. The superficial inguinal lymph nodes are prominent in size._x000D_
_x000D_
No aggressive or clinically significant osseous pathologies identified.</t>
  </si>
  <si>
    <t>1. Hepatomegaly. Rule out a benign metabolic/vacuolar hepatopathy vs. hepatitis/cholangiohepatitis vs. FIP vs. infiltrative round cell neoplasia._x000D_
2. The remainder of the abdomen is unremarkable._x000D_
3. Prominent superficial inguinal lymph nodes. Rule out benign reactivity from regional inflammation vs. less likely infectious lymphadenitis or multicentric/metastatic neoplasia._x000D_
4. Normal thorax.</t>
  </si>
  <si>
    <t>CBC with clinical pathology review, chemistry, UA, T4, fecal, systemic blood pressure evaluation, FeLV/FIV, and abdominal ultrasound. Internal medicine consultation.</t>
  </si>
  <si>
    <t>Four radiographs of the thorax/abdomen are provided. The cardiac silhouette and pulmonary vessels are normal size and shape. Increased opacity dorsal to the 3rd sternal segment on the left lateral view is not persistent on the other two views and is likely superimposed mediastinal fat and extrathoracic tissue. There are no abnormalities in the pulmonary parenchyma. No pleural effusion. Adequate tracheal diameter. In the abdomen there is small volume fluid in the distal colon. Gas is present in the proximal colon. The stomach and small bowel are minimally filled. No radiopaque foreign material or effusion. Normal sized liver, kidney, spleen. Osseous structures are age-appropriate.</t>
  </si>
  <si>
    <t>Impending diarrhea. Otherwise normal abdomen and thorax. Gastroenteritis is suspected. There is no evidence of an obstructive process.</t>
  </si>
  <si>
    <t>If the patient does not improve with supportive care, abdominal ultrasound would be recommended.</t>
  </si>
  <si>
    <t xml:space="preserve">
1.This result does NOT detect an alveolar pulmonary pattern._x000D_
2.This result does NOT detect pulmonary soft tissue nodules.  _x000D_
3.This result detects equivocal/borderline to moderate cardiomegaly._x000D_
4.Rarely, this result detects minimal pleural fissure lines/fluid._x000D_
5.This result detects a minimal to mild bronchial pulmonary pattern._x000D_
6.This result detects a minimal to mild interstitial pulmonary pattern.</t>
  </si>
  <si>
    <t>Musculoskeletal and whole body study (11 images) dated May 2,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_x000D_
The liver and spleen are unremarkable in size and shape. Both kidneys are normal in size and shape. The urinary bladder is moderately distended with homogeneous fluid opacity. The stomach contains a fair amount of heterogeneous granular soft-tissue content mixed with gas. The small intestine is unremarkable in size, course, and content. The colon contains a fairly large amount of formed and partially desiccated stool. Retroperitoneal and peritoneal detail are normal. No regional lymphadenopathy is evident._x000D_
_x000D_
There is lumbosacral disc space collapse with endplate sclerosis and spondylosis deformans. There is also caudal thoracic spondylosis without disc space narrowing. Both elbows have advanced periarticular bony remodeling affecting them with endplate sclerosis, small irregular free osseous bodies, and significant mature bony proliferation along the medial epicondyles. Both tarsocrural joints have moderate severe intracapsular soft tissue swelling with periarticular bony remodeling and subchondral sclerosis. Both hips have periarticular bony remodeling creating a flared acetabular rim that is moderate in severity in the left and mild in the right. No aggressive osseous lesions are identified.</t>
  </si>
  <si>
    <t>1. Severe bilateral elbow osteoarthritis and medial epicondylitis._x000D_
2. Severe bilateral tarsocrural osteoarthritis._x000D_
3. Mild right and mild-moderate left hip osteoarthritis._x000D_
4. Chronic lumbosacral intervertebral disc disease._x000D_
5. Unremarkable thorax and abdomen.</t>
  </si>
  <si>
    <t>Multimodal medical management for osteoarthritis includes initial strict rest and analgesic therapy, intermittent use of anti-inflammatory therapy, adjunct treatments such as gabapentin, novel monoclonal antibody therapy, joint supplements, maintaining a lean body condition, and physical therapy. Orthopedic consultation could also be considered.</t>
  </si>
  <si>
    <t>10 images of the thorax, abdomen, and sacrocaudal spine are presented for review.  The cardiac silhouette is widened with rounding of the left ventricular border.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  There is narrowing of the intervertebral disc spaces and spondylosis deformans at L5-S1.  No fractures or aggressive osseous lesions are seen.  The remainder of the spine is normal in alignment.</t>
  </si>
  <si>
    <t>Radiographically normal abdomen.  Cardiomegaly without current evidence of cardiogenic pulmonary edema.  Echocardiography, proBNP, and thyroid testing may be helpful in further evaluation.  Lumbar changes suggestive of chronic intervertebral disc herniations.  This does not rule out intervertebral disc herniation at another site or other causes of spinal cord compression.  CT or MRI could be considered in further evaluation.</t>
  </si>
  <si>
    <t>Orthogonal views of the torso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gas.  The small bowel is normal in uniform diameter.  A mild amount of stool is noted in the colon.  The liver and spleen are normal in size, shape, and margination.  The bilateral renal silhouettes are within normal limits.  The urinary bladder is unremarkable.  Serosal detail is normal.  No osseous abnormalities are seen.</t>
  </si>
  <si>
    <t>Symptomatic/supportive medical management may be helpful.</t>
  </si>
  <si>
    <t>THORAX/ABDOMEN (seven total radiographs for review). Interpreted in parallel with survey films performed the day prior._x000D_
_x000D_
- The stomach contains a moderately large volume of gas stippled soft-tissue opaque material and a small volume of gas. In the pyloric antral region there is an accumulation of positive contrast medium._x000D_
- Small intestine is relatively empty, containing a small volume of gas and soft-tissue/fluid. _x000D_
- The colon contains a large volume of positive contrast medium._x000D_
- The liver, spleen, kidneys and urinary bladder remain normal._x000D_
- The previously described eggshell-shaped mineral opacity in the right caudal abdomen is unchanged._x000D_
- There remains a diffuse bronchial pulmonary pattern present and pulmonary hyperinflation._x000D_
- In the region of the right caudal lung lobe as previously described and the noted along the pathway of the cranial lobar bronchus there are ill-defined nodular soft-tissue opacities.</t>
  </si>
  <si>
    <t>1. There is again no distinct evidence of gastrointestinal foreign material clearly identified and the material in the stomach is more resembling of undigested food. The presence of foreign material cannot be completely excluded but feels less likely. Abdominal ultrasonography may be of high clinical benefit in the patient particularly to characterize the stomach and small intestine._x000D_
_x000D_
2. Unchanged right caudal abdominal Bates Body (nodular fat necrosis)._x000D_
_x000D_
3. Similar diffuse pulmonary hyperinflation and bronchial pattern compatible with chronic lower airway disease. The nodular opacities in the right caudal lung lobe and in the cranial lobar region are prioritized as tree-in-bud phenomena, with primary or metastatic pulmonary nodules possible but less likely. You may consider recheck thoracic radiographs over time to reevaluate the appearance.</t>
  </si>
  <si>
    <t>Consider empirical treatment for parasitic bronchitis with deworming and  allergic bronchitis evaluating response to treatment. If clinical signs persist, consider a bronchoscopy with BAL, culture, cytology, Baermann test and deworming.</t>
  </si>
  <si>
    <t>Opposite lateral and VD views of the thorax and abdomen are provided._x000D_
_x000D_
The patient has thin overall body condition. There is mild narrowing of the lumbosacral joint. No subluxation is seen. The rest of the spine is unremarkable. Both hip joints appear normal. No destructive or productive bone lesions are seen._x000D_
_x000D_
There is a mild diffuse bronchial pulmonary pattern. The thorax is mildly hyperinflated. Two nodular shadows are identified in the right caudal dorsal lung adjacent to each other at the level of the 12th thoracic vertebra. The cardiovascular structures are within normal limits._x000D_
_x000D_
The left kidney has multiple small calculi. The kidneys are within normal size and shape limits. No cystic calculi are seen. Rugal folds in the stomach are mildly prominent. No foreign bodies are obstructive pattern are seen. The other abdominal organs are within normal limits. Serosal detail is normal.</t>
  </si>
  <si>
    <t>There are two nodular lesions in the right caudal dorsal lung. There is also mild diffuse bronchial pattern and mild thoracic hyperinflation._x000D_
The hyperinflation is probably partly artifactual due to the thin body condition, but considering the dyspnea and bronchial pattern obstructive lower airway disease such as asthma is also a primary consideration. The nodular lesions could be granulomas secondary to chronic lower airway disease, or the could represent neoplastic lesions._x000D_
Upper airway pathology such as laryngeal infiltration or inflammation upper airway obstruction should also be ruled out._x000D_
_x000D_
The appearance of the stomach is compatible with gastritis, but this can also be seen incidentally. A definitive explanation for the decreased appetite is identified. There are small calculi in the left kidney, which is likely an incidental finding._x000D_
_x000D_
Narrowing at the lumbosacral junction is compatible with disc degeneration. The rest of the spine is unremarkable.</t>
  </si>
  <si>
    <t>Lower airway disease such as asthma suspected to be responsible for the mild dyspnea. Upper airway pathology should still be ruled out if clinically indicated._x000D_
_x000D_
Clinical significance of the pulmonary nodules is unknown at this time. These could be chronic granulomas or early neoplasia. Relevance to the clinical signs is probably limited. Recheck radiograph of the thorax are recommended in six weeks._x000D_
_x000D_
CBC and serum chemistry, and urinalysis is recommended._x000D_
Symptomatic therapy for the suspected back pain is recommended.</t>
  </si>
  <si>
    <t>Study:_x000D_
Thoracic/abdominal radiography: three images dated May 1,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is empty. The small intestines are normal in size, course and content. The colon contains formed fecal material. The liver and spleen are normal in size and margin. Both kidneys are small, worse on the right. The urinary bladder is normal in size and opacity. There is multifocal thoracolumbar intervertebral disc space narrowing and mild to spondylosis deformans. There is severe bilateral elbow periarticular bone formation and large mineral body is adjacent to the medial epicondyle bilaterally. Moderate to severe periarticular bone formation is present at the craniolateral margin of the acetabulum bilaterally.</t>
  </si>
  <si>
    <t>1. Unremarkable thorax. Test negative for pulmonary metastatic disease. There is no radiographic evidence of heart disease. Echocardiography can be considered for further evaluation of the reported heart murmur._x000D_
2. Small size of the kidneys is suggestive of bilateral chronic kidney disease. Correlate with renal values, SDMA testing and urinalysis._x000D_
3. The remainder the abdomen is unremarkable. Abdominal sonography can be considered for further evaluation._x000D_
4. Severe bilateral elbow degenerative joint disease and medial epicondylitis._x000D_
5. Moderate to severe bilateral coxofemoral osteoarthrosis.</t>
  </si>
  <si>
    <t>Orthogonal radiographs of the thorax/abdomen are provided. The cardiac silhouette and pulmonary vessels are normal size and shape. There are no abnormalities in the pulmonary parenchyma. The entire esophagus is diffusely severely gas dilated. Narrowed trachea at the thoracic inlet. The trachea is ventrally displaced by this distended esophagus. No pleural effusion. There is a large amount of gas in the stomach and throughout the intestines. No peritoneal effusion. Normal size left kidney and liver. The spleen and right kidney are obscured. No osseous abnormalities.</t>
  </si>
  <si>
    <t>1. Megaesophagus and severely gas dilated gastrointestinal tract consistent with aerophagia. Upper airway disease (polyp, inflammation, infection) is the most likely cause for these changes. Endocrinopathy or idiopathic cause for the megaesophagus is given secondary consideration. There is no evidence of pneumonia._x000D_
2. Narrowed trachea likely due to adjacent esophageal dilation. True tracheal narrowing/stricture is given lesser consideration._x000D_
3. Other than aerophagia, no abdominal abnormalities.</t>
  </si>
  <si>
    <t>Visual inspection of the oral pharyngeal/laryngeal region is recommended. If the upper airway congestion is localized to the nasal cavities, cross-sectional imaging of the head with computed tomography would be recommended.</t>
  </si>
  <si>
    <t>Opposite lateral and ventrodorsal whole body radiographs and a lateral skull radiograph (4 images) dated May 1, 2024._x000D_
_x000D_
_x000D_
The cardiac silhouette, pulmonary vasculature, and great vessels are within normal. No pulmonary contusions or other pulmonary pathology is detected. The pleural space is normal with no evidence of free gas or fluid. The diaphragm is intact and normal. No rib fractures or body wall thickening is appreciated. The trachea and mediastinum are unremarkable._x000D_
Peritoneal detail is reduced, although this is not necessarily pathologic for this juvenile patient. The liver appears adequate in size based on the gastric axis. The stomach contains a large amount gas and a small amount of heterogeneous soft-tissue content. The colon contains a moderate amount of heterogeneous formed stool and has some mineral content within it. Furthermore, a small curvilinear metal foreign body is present in the terminal colon at the level of the pelvic inlet. The spleen, kidneys, and urinary bladder are not clearly visible._x000D_
No subluxations or fractures are identified association with the vertebral column and pelvis/hips. The calvarium is intact. The tympanic bullae and mandibles are unremarkable. There is abnormal increased soft-tissue opacity superimposed with the nasal cavity and frontal sinuses. No fractures is detected in the nasofrontal region.</t>
  </si>
  <si>
    <t>1. Soft tissue opacity superimposed with the frontal sinuses and nasal cavity is concerning for traumatic hemorrhage. No fractures are identified in association with the skull._x000D_
2. Unremarkable thorax with no evidence of trauma._x000D_
3. The reduced peritoneal detail is suspected to be normal for this juvenile patient and related to Brown fat deposition. A pathologic loss of detail (ex: hemorrhage, uroabdomen) is less likely but cannot be completely ruled out.</t>
  </si>
  <si>
    <t>AFAST or abdominal ultrasound._x000D_
Medical management for head trauma. Head/nasal CT could be considered based on patient=ZZ91=s progression.</t>
  </si>
  <si>
    <t>Opposite lateral and ventrodorsal whole-body radiographs (4 images) dated May 1,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Both kidneys are normal in size and shape. The urinary bladder is fairly distended with homogeneous fluid opacity. The stomach is distended with a large amount of soft-tissue content, a large portion within the gastric body and fundus morphologically appearing similar to partially digested kibble. The soft-tissue content in the pyloric antrum is more homogeneously soft-tissue/fluid opaque. The small intestine is unremarkable in diameter and course with empty segments and those containing a scant volume of gas. The colon contains unremarkable stool and has a normal course. Retroperitoneal and peritoneal detail are normal. No regional lymphadenopathy is evident._x000D_
_x000D_
No aggressive or clinically significant osseous pathology is identified.</t>
  </si>
  <si>
    <t>1. Large amount of gastric content most closely resembles normal ingesta. Clinically significant foreign material cannot be ruled out._x000D_
2. This study is negative for a small intestinal mechanical obstruction._x000D_
3. Normal thorax.</t>
  </si>
  <si>
    <t>Options include abdominal ultrasound to further scrutinize the gastric content vs. repeat abdominal radiographs after 16 hours NPO food and 4 hours NPO water vs. upper GI barium study (4 ml/kg PO or via NG tube)._x000D_
CBC, Chem, UA, T4, fecal, blood pressure, and fPLI.</t>
  </si>
  <si>
    <t>Opposite lateral and ventrodorsal thoracic radiographs (3 images) dated April 30, 2024._x000D_
_x000D_
_x000D_
The cardiac silhouette is tall in height. The pulmonary vasculature and great vessels are within normal limits. The lungs have a mild diffuse bronchial pattern, particularly on the right lateral view. No pulmonary nodules, alveolar infiltrates, or other pathology is detected. The trachea is normal in diameter and contains gas. The pharynx and larynx are gas-filled. The pleural space and diaphragm are normal. No mediastinal abnormalities are appreciated. The trachea is normal in diameter and course with gas filling its lumen. No intrathoracic lymphadenopathy is evident.</t>
  </si>
  <si>
    <t>1. Mild bronchial markings is suspicious for bronchitis. Rule out eosinophilic/feline asthma vs. infectious (bacterial or parasitic [including heartworm]) vs. chronic inhaled irritants._x000D_
2. Tall cardiac silhouette is suspected to be incidental due to sedation. Pathologic cardiomegaly is unlikely.</t>
  </si>
  <si>
    <t xml:space="preserve">
1.This result does NOT detect pleural fissure lines._x000D_
2.This result detects a minimal to moderate bronchial pulmonary pattern._x000D_
3.This result detects a minimal to mild interstitial pulmonary pattern._x000D_
4.This result does NOT detect an alveolar pulmonary pattern. _x000D_
5.This result detects mild to moderate cardiomegaly.</t>
  </si>
  <si>
    <t>Study:_x000D_
Thoracic/abdominal radiography: four images dated April 30,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</si>
  <si>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The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considered._x000D_
2. Postprandial stomach=ZZ90= otherwise, unremarkable abdomen.</t>
  </si>
  <si>
    <t>Opposite lateral and ventrodorsal whole-body radiographs (4 images) dated April 30, 2024._x000D_
_x000D_
_x000D_
The cardiac silhouette, pulmonary vasculature, and great vessels are within normal limits. The pulmonary parenchyma has mild bronchial markings. No pulmonary no nodules, infiltrates, or other pathology is detected. The pleural space and diaphragm are normal. No mediastinal abnormalities are appreciated. The trachea is normal in diameter and course with gas filling its lumen. No intrathoracic lymphadenopathy is evident._x000D_
_x000D_
Both kidneys are small in size, and the right kidney is moderately irregular in shape with a linear nephrolith in the renal pelvic region. Overall shape of the left kidney is suspected to be normal. The liver and spleen are unremarkable. The urinary bladder is small and homogeneously fluid opaque. The stomach contains a mild volume of gas and a small amount of soft-tissue/fluid. The small intestine is unremarkable in diameter and course with the more distended segments containing gas. The colon contains gas proximally and formed stool distally. Retroperitoneal and peritoneal detail are normal. No regional lymphadenopathy is evident. _x000D_
_x000D_
No aggressive or clinically significant osseous pathology is identified.</t>
  </si>
  <si>
    <t>1. Chronic renal disease, characterized by small and irregularly shaped kidneys._x000D_
2. The remainder of the abdomen is unremarkable._x000D_
3. Subtle bronchial changes in the lungs can represent mild bronchitis vs. incidental age-associated changes._x000D_
4. Normal cardiovascular structures. This does not rule out a subclinical cardiomyopathy or incidental flow murmur.</t>
  </si>
  <si>
    <t>Supportive care with fluid rehydration, antiemetics, gastroprotectants/omeprazole, and bland diet.  General health profile (CBC, chemistry, FeLV/FIV UA, fecal, systemic blood pressure) +/- fPLI to screen for underlying causes. Abdominal ultrasound +/- GI blood panel. Internal medicine consultation may be indicated._x000D_
T4 and echocardiogram.</t>
  </si>
  <si>
    <t xml:space="preserve">
1.This result detects a minimal to mild, or rarely moderate bronchial pulmonary pattern._x000D_
2.Rarely, this result detects a mild alveolar pulmonary pattern._x000D_
3.This result does not detect pulmonary soft tissue nodules._x000D_
4.This result detects none, or equivocal/borderline to mild cardiomegaly. _x000D_
5.This result does not detect pulmonary vasculature enlargement._x000D_
6.Rarely, this result detects minimal pleural fissure lines/fluid.  _x000D_
7.This result detects none, or a minimal to rarely mild interstitial pulmonary pattern.  </t>
  </si>
  <si>
    <t xml:space="preserve">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bronchopneumonia (especially if the patient is young, febrile, or there is no mediastinal shift ipsilateral to the lesion), versus atelectasis or bronchial plugging such as from concurrent infectious/inflammatory lower airway disease (i.e. feline asthma), or unlikely other. Differential diagnoses for pleural fluid include: tangential beam artifact/pleural thickening, or unliklely scant pleural fluid (such as from chylous or idiopathic, or other). Differential diagnoses for equivocal cardiomegaly include: phase of the cardiopulmonary cycle, patient positioning/technique, individual variation of normal (especially in younger patients), or evolving cardiomyopathy (such as hypertrophic or thyrotoxic cardiomyopathy). </t>
  </si>
  <si>
    <t>RADIOLOGY REPORT_x000D_
Study: VD, Rt and Le lateral radiographs of the thorax, 3 images dated 4/30/2024._x000D_
_x000D_
Imaging findings:_x000D_
- Heart: WNL, normal size and shape_x000D_
- Pulmonary vasculature: WNL_x000D_
- Pleural space: WNL_x000D_
- Mediastinal structures: WNL_x000D_
- Pulmonary parenchyma and lower airways: all lung lobes have moderate bronchial pattern_x000D_
- Cranial abdominal organs: WNL_x000D_
- Skeletal structures included in the views: WNL_x000D_
_x000D_
WNL = within normal limits</t>
  </si>
  <si>
    <t>1.  Lower airway disease=ZZ90= DDx: feline asthma/allergic bronchitis versus infectious bronchitis._x000D_
2.  Remainder of the thorax is normal.</t>
  </si>
  <si>
    <t>Consider the following additional steps for this patient:_x000D_
- Empirical medical therapy for feline asthma_x000D_
- Alternatively, transtracheal wash may be performed to obtain lower airway fluid samples for cytology and culture and sensitivity_x000D_
- Fecal sedimentation if you are concerned about pulmonary parasites (Aelurostrongylus spp.)</t>
  </si>
  <si>
    <t>Andrew Gendler</t>
  </si>
  <si>
    <t xml:space="preserve">
1.This result detects equivocal/borderline to moderate cardiomegaly._x000D_
2.This result detects a minimal to mild interstitial pulmonary pattern._x000D_
3.This result detects a minimal to mild bronchial pulmonary pattern._x000D_
4.This result does NOT detect an alveolar pulmonary pattern._x000D_
5.This result does NOT detect pulmonary soft tissue nodules.  _x000D_
6.Rarely, this result detects minimal pleural fissure lines/fluid.</t>
  </si>
  <si>
    <t>Nine radiographs of the thorax and abdomen are provided. The cardiac silhouette is normal size and shape. Pulmonary vessels and caudal vena cava are normal size. There is a mild bronchial pattern throughout the lungs. No pleural effusion or enlarged intrathoracic lymph nodes._x000D_
_x000D_
In the abdomen the liver is prominent with smooth margins. There is no effusion. Normal-sized spleen and kidneys. The gastrointestinal tract is mildly filled. No radiopaque foreign material or urolithiasis. There is mild degenerative change in the left coxofemoral joint.</t>
  </si>
  <si>
    <t>1. Prominent liver, a nonspecific finding that may be acute inflammation, hepatopathy, or neoplasia. Otherwise normal abdomen._x000D_
2. Mild bronchial pattern suggestive of chronic airway inflammation such as asthma. Otherwise normal thorax.</t>
  </si>
  <si>
    <t>Orthogonal views of the thorax are provided:_x000D_
_x000D_
Thorax:_x000D_
_x000D_
No abnormalities are seen in the trachea._x000D_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t>
  </si>
  <si>
    <t>Consider empirical treatment for allergic or parasitic bronchitis with deworming evaluating response to treatment. If clinical signs persist, consider a bronchoscopy with BAL, culture, cytology, Baermann test and deworming.</t>
  </si>
  <si>
    <t>3 views of the thorax are presented for review.  A fourth image of the abdomen is not requested to be reviewed.  The cardiovascular and pulmonary structures are normal.  The pleural and mediastinal structures are normal.  Cranial abdominal detail is adequate.  Soft tissue swelling with mild subcutaneous gas is seen in the right lateral subcutaneous tissues extending from the fifth 13th ribs.  The thoracic wall is intact.  No fractures are seen.</t>
  </si>
  <si>
    <t>Radiographically normal thorax.  Soft tissue swelling and subcutaneous emphysema.  Consider abscess versus acute trauma.</t>
  </si>
  <si>
    <t>If persistent, consider exploratory of the soft tissue swelling or CT to rule out a foreign body.</t>
  </si>
  <si>
    <t>Study:_x000D_
Thoracic radiography: three images dated April 29, 2024_x000D_
_x000D_
Compared to prior study dated September 20, 2023_x000D_
_x000D_
Findings:_x000D_
The cardiac silhouette is normal in size/shape and unchanged appearance from the prior exam. The pulmonic vasculature is normal in size. There is a static mild generalized bronchial pulmonary pattern. The pleural space is normal. There is no intrathoracic lymphadenopathy. The trachea is normal in diameter. The included abdomen is unremarkable. No skeletal abnormalities are present.</t>
  </si>
  <si>
    <t>1. There is no radiographic evidence of heart disease. Consider echocardiography for further evaluation of the reported heart murmur._x000D_
2. Static mild generalized bronchial pulmonary pattern, most likely allergic/inflammatory bronchitis (asthma).</t>
  </si>
  <si>
    <t>A three view thoracoabdominal study and orthogonal views of both hind extremities are provided for interpretation. There are seven images total._x000D_
_x000D_
There is marked swelling involving the fourth digit of the right hind foot. No fractures or luxations are seen. No underlying destructive or productive bone changes are identified. The other digits and the rest of the foot appear normal. No abnormalities are seen involving the tarsal joint. The right hind foot and tarsus are normal. No spinal abnormalities are identified._x000D_
_x000D_
The cardiopulmonary structures are within normal limits._x000D_
The liver is slightly enlarged, with normal shape and smooth margins. The distal colon is mildly distended with fecal balls. The upper GI tract is unremarkable. The other abdominal organs are within normal limits.</t>
  </si>
  <si>
    <t>Swelling of the toes confirmed, no underlying cause is identified. There are no associated bony lesions or evidence of bone trauma._x000D_
Toenail bed infection should still be ruled out._x000D_
_x000D_
Slight liver enlargement is present, of unknown significance. This is occasionally incidental, but would also be compatible with many types of diffuse liver disease. Correlation with relevant labwork abnormalities is recommended._x000D_
_x000D_
Mild distention of the distal colon is likely a transient incidental finding. The appearance would be compatible with constipation if supported by clinical signs.</t>
  </si>
  <si>
    <t>Antibiotic therapy for possible toenail bed infection or toe abscess is recommended.</t>
  </si>
  <si>
    <t>3 views of the thorax are provided for review. There is a moderate bronchial pattern in all lung lobes.  The cardiac silhouette is widened in the region of the atria on the VD view.  The mediastinal and pleural structures are normal.  Cranial abdominal detail is adequate.</t>
  </si>
  <si>
    <t>Moderate bronchial pulmonary pattern.  Considerations include asthma, heartworm, lungworm, atypical infection, bronchitis.  Consider empiric therapy versus further diagnostics such as heartworm testing, Baermann fecal, airway sampling.  Mild biatrial cardiomegaly without current evidence of cardiogenic pulmonary edema.  Echocardiography, proBNP, and thyroid testing may be helpful in further evaluation.</t>
  </si>
  <si>
    <t xml:space="preserve">
1.This result does not detect pulmonary vasculature enlargement._x000D_
2.Rarely, this result detects minimal pleural fissure lines/fluid.  _x000D_
3.This result detects none, or equivocal/borderline to moderate cardiomegaly. _x000D_
4.This result detects a minimal to mild interstitial pulmonary pattern.  _x000D_
5.This result detects a minimal to mild, or rarely moderate bronchial pulmonary pattern._x000D_
6.Rarely, this result detects a minimal alveolar pulmonary pattern.</t>
  </si>
  <si>
    <t>A three view study of the thorax is provided for interpretation._x000D_
_x000D_
There is a moderate diffuse bronchial pulmonary pattern. The thorax does not appear hyperinflated. No alveolar infiltrates or pleural effusion are seen. The trachea is unremarkable. The cardiovascular structures are within normal limits. No organ abnormalities are seen in the cranial abdomen.</t>
  </si>
  <si>
    <t>There is a moderate bronchial pattern consistent with inflammatory/infectious lower airway disease._x000D_
_x000D_
Considering the relatively young age of this patient, infectious bronchitis would be the primary differential. Additional rule outs would include lungworms, heartworm disease, and asthma or allergic airway disease.</t>
  </si>
  <si>
    <t>The bronchial pattern indicates lower airway disease but is nonspecific as to underlying cause._x000D_
_x000D_
CBC, Baermann fecal exam for lungworms, and heartworm testing is recommended._x000D_
_x000D_
Sampling from the lower airways via BAL/TTW for cytology and culture is recommended to assist definitive diagnosis.</t>
  </si>
  <si>
    <t xml:space="preserve">
1.This result detects equivocal/borderline to moderate cardiomegaly._x000D_
2.This result does NOT detect pleural fissure lines._x000D_
3.This result detects a minimal to moderate bronchial pulmonary pattern._x000D_
4.This result detects a minimal to mild interstitial pulmonary pattern._x000D_
5.This result does NOT detect an alveolar pulmonary pattern.</t>
  </si>
  <si>
    <t>3 images of the thorax and abdomen are presented for review.  The cardiovascular structures are normal.  There is a minimal increase in bronchial markings in the lung lobes.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</si>
  <si>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Minimal bronchial pulmonary pattern.  Considerations include asthma, heartworm, lungworm, atypical infection, bronchitis.</t>
  </si>
  <si>
    <t>6 views of the thorax and abdomen are submitted for review._x000D_
In the thorax, the cardiac silhouette is subjectively increased in length.  The pulmonary vasculature is not enlarged.  A moderate generalized bronchial pattern is noted throughout the lung fields.  No pleural effusion or intrathoracic lymphadenopathy is noted.  The trachea is normal._x000D_
In the abdomen, the stomach and small bowel contain a mild amount of gas.  The colon contains a mild amount of stool and gas.  The liver, spleen, unobscured margins of the renal silhouettes, and urinary bladder are within normal limits.  Serosal detail is adequate._x000D_
No aggressive bony changes are noted.</t>
  </si>
  <si>
    <t>The appearance of the lung field is consistent with chronic inflammatory airway disease as with chronic bronchitis or feline asthma._x000D_
The appearance of the heart is consistent with a history of hypertrophic cardiomyopathy._x000D_
The appearance of the GI tract is very nonspecific.  Acute gastroenteritis, pancreatitis, or possibly diffuse infiltrative disease as with IBD or lymphoma cannot be ruled out.</t>
  </si>
  <si>
    <t>Correlation with blood work and an abdominal ultrasound is recommended.</t>
  </si>
  <si>
    <t xml:space="preserve">
1.This result detects none, or a minimal to rarely mild interstitial pulmonary pattern.  _x000D_
2.This result detects a minimal to mild, or rarely moderate bronchial pulmonary pattern._x000D_
3.Rarely, this result detects a mild alveolar pulmonary pattern._x000D_
4.This result does not detect pulmonary soft tissue nodules._x000D_
5.This result detects none, or equivocal/borderline to mild cardiomegaly. _x000D_
6.This result does not detect pulmonary vasculature enlargement._x000D_
7.Rarely, this result detects minimal pleural fissure lines/fluid.  </t>
  </si>
  <si>
    <t>Study:_x000D_
Thoracic radiography: five images dated April 29, 2024_x000D_
_x000D_
Findings:_x000D_
The cardiac silhouette and pulmonary vasculature are normal in size. There is a mild caudodorsal  bronchial pulmonary pattern. The pleural space is normal. There is no intrathoracic lymphadenopathy. The larynx is unremarkable. The trachea is normal in diameter and course. There is no esophageal dilation. There multiple small mineral opacities in the colon. The included abdomen is otherwise unremarkable. No skeletal abnormalities are present.</t>
  </si>
  <si>
    <t>Study:_x000D_
Thoracic radiography: three images dated April 29, 2024_x000D_
_x000D_
Findings:_x000D_
The cardiac silhouette is normal in size and shape. The pulmonary vasculature is normal in size. There is a severe generalized bronchial pulmonary pattern. Some of the more severely thickened end-on bronchi give the impression of nodular opacities. There is a mild alveolar pattern in the right middle lung lobe. The pleural space is normal. There is no intrathoracic lymphadenopathy. The trachea is normal in diameter. The stomach contains unstructured heterogeneous soft tissue material presumed to be ingesta. The right 13th rib is hypoplastic. There is mild multifocal thoracic spondylosis deformans.</t>
  </si>
  <si>
    <t>1. The severe generalized bronchial pulmonary pattern may indicate allergic, inflammatory, infectious, parasitic or irritant bronchitis. Endobronchial metastasis is considered less likely in the absence of any known apparent tumor. Airway sampling, heartworm testing and Baermann fecal flotation can be considered for further evaluation._x000D_
2. The alveolar pattern in the right middle lung lobe may resorptive atelectasis secondary to bronchial plugging or concurrent pneumonia._x000D_
3. There is no radiographic evidence of heart disease. Consider echocardiography for further evaluation of the reported heart murmur.</t>
  </si>
  <si>
    <t xml:space="preserve">
1.This result detects equivocal/borderline cardiomegaly most commonly.  Rarely, this result detects mild or moderate cardiomegaly._x000D_
2.This result detects a minimalto moderate interstitial pulmonary pattern.  _x000D_
3.This result detects a moderate to severe, or less commonly mild  bronchial pulmonary pattern._x000D_
4.Uncommonly, this result detects a minimal to severe alveolar pulmonary pattern._x000D_
5.This result commonly detects pulmonary soft tissue nodules._x000D_
6.This result does not detect pulmonary vasculature enlargement._x000D_
7.This result commonly detects minimal to moderate, or rarely severe pleural fissure lines/fluid.</t>
  </si>
  <si>
    <t xml:space="preserve">Some bronchial patterns may mimic pulmonary soft tissue nodules due to bronchial plugging, or granuloma from prior disease.   Some alveolar patterns may mimic pulmonary soft tissue nodules or masses.  If a lesion is producing a mass effect, with mediastinal displacement contralateral to the lesion, a mass is prioritized.  If the patient is young, and/or a mediastinal shift is present ipsilateral to the lesion, an alveolar pattern is prioritized. This may be exacerbated if technical errors/artifacts (obliquity, motion, etc.) are present in the image. The primary differential diagnoses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Granulomatous/fungal disease (such as blastomycosis spp.) is unlikely, unless the patient has an appropriate travel/exposure history.  Differential diagnoses for an alveolar pattern include: atelectasis or bronchial plugging such as from concurrent infectious/inflammatory lower airway disease (i.e. feline asthma) or from compression due to pleural space disease, evolving neoplasia, less likely bronchopneumonia, or unlikely other. Differential diagnoses for a bronchial and interstitial pulmonary pattern include: infectious/immune-mediated lower airway disease (such as mycoplasma spp., parasitism, or feline asthma), atypical metastatic/multicentric neoplasia, or unlikely other. Differential diagnoses for pleural fluid include: malignant effusion, chylous, idiopathic, hemorrhage, or less likely other.  If the volume is minimal, then also consider: tangential beam artifact, pleural thickening/fold. Differential diagnoses for equivocal cardiomegaly include: phase of the cardiopulmonary cycle, patient positioning/technique, individual variation of normal (especially in younger patients), or evolving cardiomyopathy.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</si>
  <si>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distended.  The remaining abdominal organs are normal.</t>
  </si>
  <si>
    <t>Consider abdominal ultrasound rule out chronic pancreatitis or infiltrative neoplasia.</t>
  </si>
  <si>
    <t xml:space="preserve">
1.This result detects a minimal to mild bronchial pulmonary pattern._x000D_
2.This result does not detect an alveolar pulmonary pattern._x000D_
3.This result detects a minimal to mild interstitial pulmonary pattern.  _x000D_
4.Uncommonly, this result detects pulmonary soft tissue or cavitary nodules._x000D_
5.This result does not detect pulmonary vasculature enlargement._x000D_
6.Rarely, this result detects minimal to mild pleural fissure lines/fluid.  _x000D_
7.This result detects equivocal/borderline to moderate cardiomegaly. </t>
  </si>
  <si>
    <t xml:space="preserve">Some bronchial patterns may mimic pulmonary soft tissue nodules due to bronchial plugging, or granuloma from prior disease.  This may be exacerbated if technical errors/artifacts (obliquity, motion, etc.) are present in the image. If present,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or patients with historic infectious/inflammatory lower airway disease. Granulomatous/fungal disease (such as blastomycosis spp.) is unlikely, unless the patient has an appropriate travel/exposure history.  If the patient has respiratory clinical signs, then differential diagnoses for a mixed bronchial and interstitial pulmonary patterns include: immune-mediated lower airway disease (i.e. feline asthma) or infectious lower airway disease (such as mycoplasma spp., parasitism, viral, or other).  Additional differential diagnoses include evolving neoplasia such as an ill-defined primary carcinoma versus metastatic disease (especially if nodules or masses are also present), or unlikely evolving left-sided congestive heart failure, or inhaled allergen/irritant.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pleural fluid include: malignant, idiopathic or chylous effusion, or unlikely other.  Tangential beam artifact/pleural thickening are also considered, especially if minimal pleural fissure lines are identified.   Differential diagnoses for equivocal cardiomegaly include: phase of the cardiopulmonary cycle, patient positioning/technique, individual variation of normal (especially in younger patients), or evolving cardiomyopathy (such as hypertrophic or thyrotoxic cardiomyopathy). </t>
  </si>
  <si>
    <t xml:space="preserve">
If the patient has clinical signs consistent with  active infectious/inflammatory lower airway disease, then consider empirical therapy and supportive care in the interim as needed._x000D_
Consider computed tomography of the thorax for further evaluation of pulmonary soft tissue nodules/masses.  Consider tissue sampling if lesions are confirmed, and oncologist consultation depending on results._x000D_
Consider respiratory PCR panel, fecal analysis/empirical deworming, and airway sampling (such as with broncho-alveolar lavage, BAL) for further evaluation of possible lower airway disease._x000D_
Consider echocardiography, ECG and blood pressure, especially if a murmur is identified._x000D_
Consider routine blood work and urinalysis, especially in mature or older patient, if not recently performed.  _x000D_
If your clinical impression of this patient does not match the content of this result, consider submitting the radiographs for a formal radiologist report.</t>
  </si>
  <si>
    <t>Opposite lateral and ventrodorsal thoracic radiographs (4 images) dated April 29, 2024._x000D_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empty stomach, visible portions of the bowel and kidneys, and splenic head are unremarkable. Cranial peritoneal detail is normal._x000D_
No osseous abnormalities are identified.</t>
  </si>
  <si>
    <t>Unremarkable thorax. The cause for the grunting noises and increased respiratory sounds is not radiographically apparent. Note that mild bronchitis/bronchiolitis can sometimes be radiographically imperceptible.</t>
  </si>
  <si>
    <t>If there is concern for lower airway disease/bronchitis:_x000D_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</si>
  <si>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 xml:space="preserve">
1.This result detects none, or less commonly equivocal/borderline to mild cardiomegaly. _x000D_
2.This result detects a minimal to mild, or rarely moderate bronchial pulmonary pattern._x000D_
3.This result does not detect pulmonary vasculature enlargement._x000D_
4.This result detects a minimal to mild interstitial pulmonary pattern.  _x000D_
5.Rarely, this result detects a minimal alveolar pulmonary pattern._x000D_
6.Rarely, this result detects minimal pleural fissure lines/fluid.  </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</si>
  <si>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moderately gas distended as well as the small intestines, not overtly distended. 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t>
  </si>
  <si>
    <t>1) Unremarkable thorax without signs of pulmonary metastases nor signs of thoracic lymphadenopathy._x000D_
2) Unremarkable abdomen other than aerophagia consistent with the reported increased respiratory effort.</t>
  </si>
  <si>
    <t>Underlying causes for increased respiratory effort include upper airway obstruction, pain, acid-base imbalance, spinal cord compression, intracranial disease, hyperthermia and PTE._x000D_
Consider work up for breathing hard with CBC, biochemistry, abdominal US, neuro exam and upper airway exam.</t>
  </si>
  <si>
    <t>Opposite lateral and ventrodorsal whole body radiographs (4 images) dated April 27, 2024._x000D_
_x000D_
_x000D_
The cardiac silhouette has subtle widening on the VD projection. The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The stomach is atypically distended with a large amount of gas. The small intestine is moderately and diffusely distended with gas, and is more spread out throughout the peritoneal space than is typical for a cat. No segmental small bowel dilation is evident. The colon contains normal appearing stool and has a normal course. Both kidneys are normal in size and shape. The urinary bladder is moderately distended with homogeneous fluid opacity. Retroperitoneal and peritoneal detail are normal. No regional lymphadenopathy is evident._x000D_
_x000D_
No aggressive or clinically significant osseous pathology is identified.</t>
  </si>
  <si>
    <t>1. Moderate diffuse small intestinal distention with gas, and to a lesser extent fluid, in addition to moderate gas distention of the stomach are features consistent with gastroenteritis with a functional gastric stasis and ileus. Rule out flareup of a chronic enteropathy (ex: IBD or GI LSA) vs. systemic/extra GI causes (liver or kidney injury/disease, pancreatitis, endocrine disorder, systemic infection, non-GI neoplasia) vs. dietary indiscretion or toxin vs. food allergy/intolerance vs. GI infectious._x000D_
2. Mild widening of the cardiac silhouette on the VD projection. This could represent cardiomegaly due to a cardiomyopathy vs. incidental from sedation if applicable or due to physiologic causes (such as anemia).</t>
  </si>
  <si>
    <t>Supportive care with fluid rehydration, antiemetics, gastroprotectants/omeprazole, and bland diet.  General health profile (CBC, chemistry, T4, UA, fecal, blood pressure) with cardiac proBNP +/- fPLI to screen for underlying causes. Abdominal ultrasound could also be considered. GI blood panel if there is concern for a chronic enteropathy.</t>
  </si>
  <si>
    <t xml:space="preserve">
1.This result detects equivocal/borderline to mild cardiomegaly.  _x000D_
2.This result detects a minimal to mild interstitial pulmonary pattern._x000D_
3.This result detects a minimal to mild bronchial pulmonary pattern._x000D_
4.This result does NOT detect an alveolar pulmonary pattern. _x000D_
5.This result does NOT detect pleural fissure lines.  </t>
  </si>
  <si>
    <t>1) Unremarkable thorax without signs of cardiomegaly (this does not exclude a cardiomyopathy or a hyperthyroidism, less likely at this age though).</t>
  </si>
  <si>
    <t>Thoracic and abdominal radiographs (6 images) dated April 27,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A mild volume of gas is present in the thoracic esophagus on the lateral views. No intrathoracic lymphadenopathy is evident._x000D_
_x000D_
The liver is normal in size and shape. The spleen is mostly unremarkable, although the tail is probably visible lateral to the left kidney on the VD view, and is also visible on the lateral views. The stomach is moderately distended with gas and a small amount of mobile soft-tissue/fluid content. The duodenum is not clearly visible. The small intestine is unremarkable in diameter and course with most segments containing a small my gas and minimal amount of fluid. The colon contains unremarkable appearing stool and has a normal course. Both kidneys are normal in overall size, and there is subtle irregularity to the shape of the left kidney on the VD view. The urinary bladder is mildly fluid-filled. Retroperitoneal and peritoneal detail are normal. No regional lymphadenopathy is evident._x000D_
_x000D_
No aggressive or clinically significant osseous pathology is identified.</t>
  </si>
  <si>
    <t>The appearance of the stomach is most suggestive of a functional gastric stasis. There is no convincing evidence of a pyloric outflow obstruction. However, the duodenum is not clearly visible, and therefore a pyloric outflow obstruction cannot be 100% ruled out. The remainder of the small intestine is unremarkable with no concern for mechanical obstruction._x000D_
Normal thorax.</t>
  </si>
  <si>
    <t>Options include abdominal ultrasound vs. upper GI barium study (4 ml/kg PO or via NG tube) vs. fluids, single antiemetic injection, omeprazole, and repeat abdominal radiographs after 16 hours NPO food and 4 hours NPO water._x000D_
CBC, chemistry, UA, T4, fecal, blood pressure, fPLI.</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</si>
  <si>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  There is spondylosis deformans of the lumbosacral spine.  No consistently narrowed intervertebral disc spaces are seen.  The coxofemoral joints are congruent.  No fractures or aggressive osseous lesions are seen.</t>
  </si>
  <si>
    <t>Radiographically normal abdomen.  Radiographically normal thorax for patient of this age.  Degenerative changes of the lumbosacral spine.  This does not rule out intervertebral disc herniation or other causes of spinal cord compression.  CT or MRI could be considered in further evaluation.</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</si>
  <si>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kidneys are small with irregular margins.  The urinary bladder is small.  The remaining abdominal organs are normal.</t>
  </si>
  <si>
    <t>Three view orthogonal radiographs (3 images) of the thorax and cranial abdomen dated April 26, 2024, are available for interpretation. No prior images are available for comparison._x000D_
_x000D_
The cat was not sedated. _x000D_
_x000D_
Thorax:_x000D_
Airway/pulmonary: The lungs are hyperinflated. On the right lateral radiograph time stamped 1:43:49 PM, a caudally positioned interstitial pattern is present along with pulmonary vessel distention. The interstitial pattern is not present on the left lateral projection that is more inflated but the pulmonary vessel enlargement persists. No nodules or masses are noted._x000D_
_x000D_
Cardiovascular: The cardiac silhouette is mildly enlarged, particularly on the right lateral projection.  The pulmonary vasculature is prominent proximally but tapers normally._x000D_
_x000D_
Mediastinum: Normal with minimal gas present in the thoracic esophagus.  _x000D_
_x000D_
Pleural space: Thin pleural fissure lines are present. No pneumothorax noted._x000D_
_x000D_
Cranial abdomen: Cranial abdominal detail is normal. Liver size is small but retains a smooth margin. The stomach contains a moderate amount of ingesta._x000D_
_x000D_
Msk: Ventral spondylosis is noted at T13-L1.</t>
  </si>
  <si>
    <t>1) Mild cardiomegaly with pulmonary vessel distention. The appearance on the right lateral projection is concerning for early, emerging or resolving left sided heart failure but this does not persist on the other projections. Other considerations are left sided cardiac insufficiency without heart failure but pulmonary infiltrate secondary to lung underinflation. DDx for the cardiomegaly: secondary to hyperthyroidism vs. secondary to hypertension vs. early HCM vs. valve disease. _x000D_
2) Thin pleural fissure lines. This could also be secondary to early, emerging or resolving heart failure._x000D_
3) No pulmonary nodules or masses noted._x000D_
4) Microhepatia.</t>
  </si>
  <si>
    <t>Assess liver values. Pre- and post-prandial bile acids to assess liver function. See cardiac and abdominal ultrasound reports prior to sedation for I-131 therapy.</t>
  </si>
  <si>
    <t xml:space="preserve">
1.This result detects minimal to mild, mixed interstitial and bronchial pulmonary patterns._x000D_
2.This result detects mild to severe cardiomegaly._x000D_
3.This result does NOT detect pleural fissure lines.  _x000D_
4.Rarely, this result detects a minimal to mild alveolar pulmonary pattern.</t>
  </si>
  <si>
    <t>Study:_x000D_
Thoracic/abdominal radiography: three images dated April 26, 2024_x000D_
_x000D_
Findings:_x000D_
There is incidental cranioventral rotation of the cardiac silhouette and redundancy of the aorta. There is mild generalized cardiomegaly (VHS approximately 8.25). The pulmonary vasculature is normal in size. There is a mild generalized bronchial pulmonary pattern. The pleural space is normal. There is no intrathoracic lymphadenopathy. The trachea is normal in diameter. The abdominal serosal detail is normal. The stomach contains recently ingested food. The small intestines are normal in size, course and content. The colon contains gas and poorly formed fecal material. The liver and spleen are normal in size and margin. The renal silhouettes are normal in size and contour. The urinary bladder is normal in size and opacity. The osseous structures are unremarkable. The patient is of overweight body condition.</t>
  </si>
  <si>
    <t>1. Mild generalized cardiomegaly, suggestive of the cardia mildly, without evidence of decompensation. Consider echocardiography and proBNP testing for further heart disease screening._x000D_
2. The generalized bronchial pulmonary pattern may indicate allergic/inflammatory bronchitis (asthma). Infectious, parasitic and irritant bronchitis are also possible. Airway sampling, heartworm testing and Baermann fecal flotation can be considered for further evaluation._x000D_
3. Postprandial stomach=ZZ90= otherwise, unremarkable abdomen. A cause of the reported vomiting is not evident. Abdominal sonography and a G.I. panel can be considered to further evaluate for an enteropathy if the vomiting persists or worsens in spite of medical management.</t>
  </si>
  <si>
    <t xml:space="preserve">
1.This result detects minimal/equivocal to moderate cardiomegaly._x000D_
2.This result does NOT detect soft tissue pulmonary nodules._x000D_
3.Rarely, this result detects minimal to mild pleural fissure lines/fluid._x000D_
4.This result detects minimal to mild, mixed interstitial and bronchial pulmonary patterns._x000D_
5.This result does NOT detect an alveolar pulmonary pattern.  </t>
  </si>
  <si>
    <t>Three radiographs of the thorax/abdomen are provided. The cardiac silhouette and pulmonary vessels are normal size and she. The lungs are clear. There is no pleural effusion. No esophageal dilation. In the abdomen there is moderate volume soft tissue density stippled with gas filling the stomach. Small intestines are diffusely mildly filled with fluid and gas. Small volume formed feces fills the colon. No radiopaque foreign material is appreciated. The liver, kidneys, and spleen are normal size and shape. No radiopaque urolithiasis. Osseous structures are unremarkable.</t>
  </si>
  <si>
    <t>Normal thorax and postprandial abdomen. Gastric contents appears to be normal ingesta. All or a portion of gastric contents could be foreign material/trichobezoar causing gastritis and pyloric outflow obstruction.</t>
  </si>
  <si>
    <t>With the chronicity of vomiting, strictly fasting abdominal ultrasound should be considered.</t>
  </si>
  <si>
    <t>Right lateral and ventrodorsal thoracic radiographs (2 images) dated April 26, 2020 for and compared to February 29, 2024. _x000D_
_x000D_
The lungs are less inflated with the current study, and has a more conspicuous bronchial pattern on the right lateral view=ZZ90= on the VD projection there is no difference in the bronchial pattern between studies. There is now a linear band of soft-tissue superimposed with the right cranial lung lobe on the VD view=ZZ90= a left lateral view is not included to further evaluate this opacity. No pulmonary nodules or masses are identified. No intrathoracic lymphadenopathy is evident. The trachea is normal in diameter and course with gas filling its lumen. The pleural space, mediastinum, and diaphragm are normal. No aggressive osseous lesions are identified.</t>
  </si>
  <si>
    <t>The more conspicuous bronchial changes noted in the right lateral view of current study likely reflects differences in pulmonary inflation, as the patient was hyperinflated in the prior study. Overall I would consider this a static bronchial pattern. Rule out eosinophilic/feline asthma vs. infectious (bacterial or parasitic [including heartworm]) vs. chronic inhaled irritants. In many cases of non-infectious feline bronchitis, radiographic improvement is seldom identified, and clinical signs are considered more valuable._x000D_
_x000D_
Linear soft-tissue band superimposed with the right cranial lung lobe on the VD view. This can represent plate -like atelectasis vs. focal bronchial plugging from exudate vs. superimposition artifact vs. less likely bronchial origin neoplasia. A left lateral view is not included for further evaluation.</t>
  </si>
  <si>
    <t>3 views of the thorax are provided for review. There is a moderate bronchial pattern in all lung lobes.  The cardiovascular structures are normal.  The mediastinal and pleural structures are normal.  Cranial abdominal detail is adequate.  The thoracic structures included are normal.</t>
  </si>
  <si>
    <t>A two-view thoracoabdominal study is provided for interpretation._x000D_
_x000D_
A minimal quantity of amorphous soft-tissue dense ingesta suspected in the stomach. No foreign objects are identified in the GI tract. There are a few loops of small intestine in the caudal abdomen that appear to be slightly fluid dilated or possibly thickened. No obstructive pattern is seen. Serosal detail is normal. The other abdominal organs are within normal limits._x000D_
The cardiopulmonary structures are within normal limits. No esophageal abnormalities identified.</t>
  </si>
  <si>
    <t>The intestinal changes are subtle and could be transient. Possible pathologic causes would include enteritis, chronic enteropathy, or infiltrative disease such as intestinal lymphoma. The rest of the abdomen is unremarkable._x000D_
No thoracic abnormalities identified.</t>
  </si>
  <si>
    <t>Medical management for possible enteritis is recommended. Infectious or parasitic causes should be ruled out. If clinical signs persist, ultrasound of the abdomen to evaluate the intestinal wall should be considered.</t>
  </si>
  <si>
    <t>Patient name: Oliver Olivares. THORAX (2 views, 3 images=ZZ90= [2 lateral, 1 VD])_x000D_
Images are dated April 26, 2024. There are previous abdominal radiographs dated April 13, 2024 (Vetology #2632345). The caudal thorax is included on the lateral projection while the entire thorax is included on the VD projection. _x000D_
_x000D_
On the recent study, no laterality markers are present, but the CVC location is used to determine laterality. On the presumed left lateral thorax, the forelimbs overlie the ventral aspect of the thorax obscuring evaluation of this region. Truncation artifact is present on the images resulting in image artifact when adjusting image contrast and brightness. _x000D_
_x000D_
Neck: On the lateral projection, there is mild gas dilation to the nasopharynx and common pharynx. No caudal retraction of the larynx is noted. The soft palate is normal. The cranial cervical trachea is mildly dilated. The mid- and caudal cervical trachea are normal. _x000D_
_x000D_
Thorax:_x000D_
Airway/Pulmonary: The lungs are adequately inflated. A heavy interstitial to alveolar infiltrate affects the cranioventral thorax on the lateral projection with a mild interstitial pattern in the left cranial lung lobe on the VD projection. Only on the right lateral projection, there is the appearance of a thick walled cavitary lesion overlying the 7th intercostal space, ventral to the CVC. This finding was not present on the previous study but hypoinflation limits evaluation of this region on the previous study. On the VD projection, this cavitary structure is not clearly identified. Diffusely throughout the lungs, a concurrent mild bronchointerstitial opacity is observed.  No distinct soft tissue pulmonary nodules are detected.  Tracheal and mainstem bronchial diameter is normal. _x000D_
_x000D_
Cardiovascular: The cardiac silhouette is mildly enlarged with a rounded caudal cardiac margin on the lateral projections.  In the VD view, the cardiac silhouette is wide but pericardial fat is present creating an angular appearance to the right cranial aspect. Mild pulmonary venous distention is present. _x000D_
_x000D_
Mediastinum: No lymph node enlargement is detected.  The caudal vena cava is normal in height.  _x000D_
_x000D_
Pleural space: No pleural effusion is seen. _x000D_
_x000D_
Cranial abdomen: The liver is enlarged with rounded margins. Serosal detail is adequate. The kidneys are mildly irregular. _x000D_
_x000D_
Musculoskeletal: No abnormalities detected in the visible musculoskeletal structures.</t>
  </si>
  <si>
    <t>1) Cranioventral alveolar infiltrate. DDx: Rule out aspiration pneumonia secondary to upper airway disease including tooth root obstruction. Atypical heart failure with a cranioventral distribution is a lesser consideration. _x000D_
2) Potential thick walled cavitary lesion in the caudal lungs. DDx: pulmonary abscess secondary to previous aspiration vs. confluence of soft tissue structures artifactually creating the appearance. _x000D_
3)  Mild cardiomegaly with pulmonary venous distention. DDx: sedation vs. fluid therapy vs. true cardiac disease. _x000D_
4) Bilateral chronic renal disease. Renal changes are concerning given the cat=ZZ91=s juvenile age. _x000D_
5) Mild hepatomegaly with a rounded caudal margin. DDx: gallbladder distention vs. less suspected, fat deposition/hepatic lipidosis or endocrinopathy. A true hepatic mass is considered far less likely.</t>
  </si>
  <si>
    <t>CBC/chemistry and UA recommended. Empirical therapy for suspected pneumonia. Further evaluation of the upper airway via contrast head CT +/- rhinoscopy. If the cat was not sedated with dexmeditomidine or administered IV fluids prior to this study, a cardiac ultrasound is recommended prior to sedation or anesthesia._x000D_
_x000D_
Abdominal ultrasound is also recommended to evaluate the kidneys. _x000D_
_x000D_
Thoracic CT can be considered at the time of skull CT to assess for a caudal lung lobe cavitary lesion. Alternatively, repeat thoracic radiographs in 7-10 days after starting antibiotic therapy to reassess the cranioventral thorax and caudal lung lobes.</t>
  </si>
  <si>
    <t>4 images of the entire body are presented for review.  An upper GI contrast series appears to have been performed.  No time stains are provided to allow for determining the order of images.  The cardiovascular and pulmonary structures are normal.  The pleural and mediastinal structures are normal.  Abdominal serosal detail is adequate in all quadrants.  The stomach contains a moderate amount of gas and the rugal folds are prominent.  The stomach appears empty, although the timing is unknown.  The small intestines are normal in size.  Contrast passes through the majority of the small intestines but it is not into the on the images provided.  Gas is present in the colon.  The urinary bladder is small.  The remaining abdominal organs are normal.</t>
  </si>
  <si>
    <t>Radiographically normal thorax.  Prominent rugal folds consistent with gastritis.  This does not rule out underlying dietary indiscretion, pancreatitis, etc.  No evidence of intestinal obstruction on the provided images, although the contrast study is not complete, as contrast has not yet entered the colon.</t>
  </si>
  <si>
    <t>If clinical signs persist with supportive therapy, abdominal ultrasound may be helpful in further evaluation.</t>
  </si>
  <si>
    <t>3 views of the entire body are presented for review.  The cardiovascular and pulmonary structures are normal.  The pleural and mediastinal structures are normal.  Abdominal serosal detail is adequate in all quadrants.  The stomach contains a small amount of soft tissue material.  The small intestines are normal in size.  Gas and feces are present in the colon.  The urinary bladder is small.  The kidneys are at the upper limits of normal for size.  The remaining abdominal organs are normal.  Rounded fat opacity material is seen ventral to the umbilical region.</t>
  </si>
  <si>
    <t>Radiographically normal thorax.  Umbilical hernia.  Gastric contents may represent residual ingesta or foreign material given the history of anorexia.</t>
  </si>
  <si>
    <t>Consider repeat radiographs following fasting and supportive therapy if clinically indicated.</t>
  </si>
  <si>
    <t>Orthogonal views of the thorax are provided:_x000D_
_x000D_
Thorax:_x000D_
_x000D_
No abnormalities are seen in the nasopharynx, pharynx or hyoid process._x000D_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t>
  </si>
  <si>
    <t>Full neuro exam with laryngeal exam under sedation if not done.</t>
  </si>
  <si>
    <t>Study:_x000D_
Thoracic/abdominal radiography: right lateral and orthogonal views (two images) dated April 25, 2024_x000D_
_x000D_
Findings:_x000D_
The cardiac silhouette and pulmonary vasculature are normal in size. The pulmonary parenchyma is overexposed. There are numerous gas lucencies with soft tissue walls scattered throughout the pulmonary parenchyma. The pleural space is normal. There is no intrathoracic lymphadenopathy. The trachea is normal in diameter and course. There is poor abdominal serosal detail secondary to the thin body condition of the patient, reduced intra-abdominal fat and visceral crowding. The stomach contains a small amount of granular mineral. There is a smoothly marginated fragmented gas pattern in the small intestines. The small intestines are normal in size and course. The colon contains formed fecal material. The liver and spleen are normal in size and margin. The renal silhouettes are poorly visualized due to visceral crowding. The urinary bladder is normal in size and opacity. There is mild T 10-T 11 spondylosis deformans. The patient is of thin body condition.</t>
  </si>
  <si>
    <t>1. The smoothly marginated fragmented gas pattern seen in the small intestines can be an indicator of nonspecific enteritis. The abdomen is otherwise unremarkable. There is no radiographic evidence of a mid abdominal mass. However, given conclusion #2, abdominal sonography should be considered to further evaluate for intradermal neoplasia._x000D_
2. Multifocal cavitated lung nodules. Rule out pulmonary metastatic disease, pulmonary abscesses or lungworms. Pulmonary bullae are less likely given the thickness of the walls of the lesions. Baermann fecal flotation can be considered to rule out parasitism._x000D_
3. There is no radiographic evidence of heart disease. Consider echocardiography for further evaluation of the reported heart murmur.</t>
  </si>
  <si>
    <t>Three radiographs of the thorax are provided. The abdomen is included on the lateral views. The cardiac silhouette is normal size on the lateral views, however there is suspect mild indentation of the caudal heart waist on these projections. On the VD view, the cranial heart is widened. Pulmonary vessels are normal size. A few faint bronchial markings are present in the periphery of the lungs. No pleural effusion or intrathoracic lymphadenomegaly. In the abdomen there is no effusion. Small intestines are moderately filled with a mixture of fluid and gas. No organomegaly or radiopaque urolithiasis.</t>
  </si>
  <si>
    <t>1. Prominent heart, concerning for cardiomyopathy. There is no evidence of heart failure._x000D_
2. Faint bronchial markings suggestive of airway inflammation. In the absence of associated respiratory signs, significance is doubtful._x000D_
3. Small intestinal functional ileus, a nonspecific finding that may be due to stress/discomfort, metabolic abnormality, primary gastrointestinal disorder.</t>
  </si>
  <si>
    <t>A CBC, blood chemistry profile, and echocardiogram are recommended.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</si>
  <si>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but abnormally gathered in the mid right hemiabdomen. No signs of mechanical ileus._x000D_
Serosal detail is preserved._x000D_
Liver and spleen are within normal limits of size and smoothly marginated._x000D_
Kidneys and urinary bladder WNL.</t>
  </si>
  <si>
    <t>1) Unremarkable thorax._x000D_
2) Small intestines: rule out chronic infiltrative disease such as IBD vs small cell lymphoma. Adhesions or located effusion should be excluded.</t>
  </si>
  <si>
    <t>Consider abdominal US to further evaluate causes of chronic intermittent vomition and diarrhea (ideally with a linear probe).</t>
  </si>
  <si>
    <t>Opposite lateral and ventrodorsal whole body radiographs (4 images) dated April 25, 2024._x000D_
_x000D_
_x000D_
_x000D_
The cardiac silhouette is questionably tall in height but is otherwise normal in appearance. The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The stomach contains a fair amount of gas and some heterogeneous soft-tissue content that most closely resembles normal ingesta. The small intestine is unremarkable in size, course, and content. The colon predominantly contains gas and contains a small amount of unremarkable stool. The kidneys are best identified on the lateral views, and the left kidney is suspected to be mildly small in size while the right appears unremarkable in size and shape. The urinary bladder is mildly distended with homogeneous fluid opacity. Retroperitoneal and peritoneal detail are normal. No regional lymphadenopathy is evident._x000D_
_x000D_
No aggressive or clinically significant osseous pathology is identified.</t>
  </si>
  <si>
    <t>1. No definitive abnormalities identified in the thorax or cardiovascular structures=ZZ90= there is a questionable increase in height of the cardiac silhouette, which could reflect the reported hypertrophic cardiomyopathy. There is no evidence of heart failure or radiographic pulmonary disease._x000D_
2. Unremarkable abdomen aside from the suspected small left kidney. This could represent renal disease. Correlation with renal blood work, urinalysis, blood pressure, and renal ultrasound is needed for further evaluation.</t>
  </si>
  <si>
    <t>ECG, blood pressure evaluation, and CBC, chemistry, UA, T4. Complete neurologic exam.</t>
  </si>
  <si>
    <t>3 views of the thorax are provided for review. There is a moderate bronchial pattern in all lung lobes.  The cardiac silhouette is mildly widened in the region of the atria with mild rounding of the left ventricular border.  The mediastinal and pleural structures are normal.  Cranial abdominal detail is adequate.</t>
  </si>
  <si>
    <t>Moderate bronchial pulmonary pattern.  Considerations include asthma, heartworm, lungworm, atypical infection, bronchitis.  Consider empiric therapy versus further diagnostics such as heartworm testing, Baermann fecal, airway sampling.  Mild cardiomegaly without current evidence of cardiogenic pulmonary edema.  Echocardiography, proBNP, and thyroid testing may be helpful in further evaluation.</t>
  </si>
  <si>
    <t>Thorax and abdomen.  Six radiographs (four lateral, two VD) dated April 25, 2024 are provided._x000D_
_x000D_
Cardiac silhouette: The cardiac silhouette is normal in size and shape._x000D_
Pulmonary vessels: The pulmonary vessels are normal in diameter.  The caudal vena cava and aorta are normal._x000D_
Pulmonary parenchyma: The pulmonary parenchyma is normal with no abnormal pulmonary patterns, nodules, or masses._x000D_
Pleural space: The pleural space is unremarkable._x000D_
Mediastinum: The mediastinum is normal in width and opacity._x000D_
Trachea: The trachea is normal in diameter and course._x000D_
Esophagus: The region of the esophagus is unremarkable._x000D_
Musculoskeletal: In the mid aspect of the right 11th and 12th ribs there is a focal widening which is smoothly marginated.  This is consistent with healed rib fractures.  The patient is obese._x000D_
_x000D_
Gastrointestinal tract: The stomach is mildly distended with gas.  The small intestine is diffusely normal in diameter distribution and is primarily gas-filled._x000D_
Liver: The liver is normal in size and margination._x000D_
Spleen: The spleen is within normal limits._x000D_
Urinary: The kidneys are normal in size, shape, and margination.  The urinary bladder is small in size and normal in opacity._x000D_
Peritoneal space: There is adequate serosal detail.</t>
  </si>
  <si>
    <t>1.  A cause for pyrexia, lethargy, and anorexia is not identified._x000D_
2.  The gastrointestinal tract is within normal limits.  There is no evidence of a mechanical intestinal obstruction or foreign body.  Gastroenteritis and colitis are considered.</t>
  </si>
  <si>
    <t>CBC, biochemistry, urinalysis are recommended to screen for systemic disease which may be contributing to clinical signs.  A fecal flotation and gastrointestinal panel may be contributory.</t>
  </si>
  <si>
    <t>6 images of the thorax and abdomen are presented for review.  The cardiovascular and pulmonary structures are normal.  The pleural and mediastinal structures are normal.  Abdominal serosal detail is adequate in all quadrants.  The stomach contains a moderate amount of gas.  The small intestines are normal in size.  Small amounts of granular mineral material are seen in the small intestines.  Gas and feces are present in the colon.  The urinary bladder is moderately distended.  The remaining abdominal organs are normal.</t>
  </si>
  <si>
    <t>Radiographically normal thorax.  Small amount of granular small intestinal foreign material without evidence of obstruction.</t>
  </si>
  <si>
    <t xml:space="preserve">
1.This result detects none, or equivocal/borderline to moderate cardiomegaly. _x000D_
2.This result detects a minimal to mild, or rarely moderate bronchial pulmonary pattern._x000D_
3.This result detects a minimal to mild interstitial pulmonary pattern.  _x000D_
4.This result does not detect pulmonary vasculature enlargement._x000D_
5.Rarely, this result detects a minimal alveolar pulmonary pattern._x000D_
6.Rarely, this result detects minimal pleural fissure lines/fluid.  </t>
  </si>
  <si>
    <t>Three radiographs of the thorax and three views of the abdomen are provided. The cardiac silhouette and pulmonary vessels are normal size and shape. There are faint bronchial markings in the lungs. There is increased opacity to the right of the heart on the VD projection, likely due to adjacent fat deposition and partial expiration. Fat deposition is seen ventral to the heart on the lateral views. No soft tissue pulmonary nodules. Normal tracheal diameter._x000D_
_x000D_
In the abdomen, there is a large volume of formed feces filling the colon. Distal fecal column is angular/desiccated and measures up to 3.5 cm diameter. The stomach and small bowel are minimally filled. Normal size kidney, liver, spleen. The urinary bladder is mildly filled and soft tissue opaque. No spinal abnormalities. Punctate mineral density in the cranial aspect of the stifle joints is incidental meniscal mineralization.</t>
  </si>
  <si>
    <t>1. Faint bronchial markings suggestive of chronic airway inflammation. In the absence of a chronic cough, significance is doubtful. Otherwise normal thorax._x000D_
2. Constipation. No other abdominal abnormalities.</t>
  </si>
  <si>
    <t>Current treatment is appropriate. There is no contraindication for general anesthesia based on this study.</t>
  </si>
  <si>
    <t xml:space="preserve">
1.This result detects a minimal to mild, or rarely moderate interstitial pulmonary pattern.  _x000D_
2.This result does not detect pulmonary vasculature enlargement._x000D_
3.This result detects equivocal/borderline to mild cardiomegaly. _x000D_
4.This result detects a minimal to mild, or rarely moderate bronchial pulmonary pattern._x000D_
5.Rarely, this result detects a minimal to mild alveolar pulmonary pattern._x000D_
6.This result does not detect pleural fissure lines/fluid.  </t>
  </si>
  <si>
    <t>Thorax and abdomen.  Three radiographs (two lateral, one VD) dated April 24, 2024 provided._x000D_
_x000D_
Cardiac silhouette: The cardiac silhouette is normal in size and shape._x000D_
Pulmonary vessels: The pulmonary vessels are normal in size and are symmetrical.  The caudal vena cava and aorta are normal._x000D_
Pulmonary parenchyma: The pulmonary parenchyma is normal with no abnormal pulmonary patterns, nodules, or masses.  There is no evidence of aspiration pneumonia._x000D_
Pleural space: The pleural space is unremarkable._x000D_
Mediastinum: The mediastinum is normal in width and opacity._x000D_
Trachea: The trachea is unremarkable._x000D_
Esophagus: The region of the esophagus is within normal limits._x000D_
Musculoskeletal: There are hypoplastic ribs associated with L1.  S1 is transitional and is not fused to the sacrum.  There is mild spondylosis deformans of L7-S1._x000D_
_x000D_
Gastrointestinal tract: The stomach is empty.  The small intestine is diffusely normal in diameter and distribution.  Several small intestinal loops contain granular ingesta._x000D_
Liver: The liver is normal in size and shape._x000D_
Spleen: The spleen is unremarkable._x000D_
Urinary: The kidneys are normal in size, shape, and margination.  The urinary bladder is small in size and normal in opacity._x000D_
Peritoneal space: There is normal serosal detail.</t>
  </si>
  <si>
    <t>1.  There is unusual ingesta within the small intestine.  Dietary indiscretion is considered.  There is no evidence of a mechanical or linear foreign body obstruction.  Gastroenteritis and pancreatitis are prioritized as cause of the reported vomiting._x000D_
2.  The thorax is normal.  There is no evidence of aspiration pneumonia._x000D_
3.  Incidentally there are anomalous transitional vertebrae of the thoracolumbar and lumbosacral junctions.</t>
  </si>
  <si>
    <t>Supportive care and medical management are recommended.  If clinical signs persist despite treatment, recheck fasted abdominal radiographs +/- abdominal ultrasound could be considered.</t>
  </si>
  <si>
    <t xml:space="preserve">
1.This result does not detect pulmonary vasculature enlargement._x000D_
2.Rarely, this result detects minimal pleural fissure lines/fluid.  _x000D_
3.This result detects a minimal to mild interstitial pulmonary pattern.  _x000D_
4.This result detects a minimal to mild, or rarely moderate bronchial pulmonary pattern._x000D_
5.Rarely, this result detects a minimal alveolar pulmonary pattern._x000D_
6.This result detects none, or equivocal/borderline to moderate cardiomegaly. _x000D_
7.This result does not detect pulmonary vasculature enlargement._x000D_
8.Rarely, this result detects minimal pleural fissure lines/fluid.  _x000D_
9.This result detects none, or equivocal/borderline to moderate cardiomegaly. _x000D_
10.This result detects a minimal to mild interstitial pulmonary pattern.  _x000D_
11.This result detects a minimal to mild, or rarely moderate bronchial pulmonary pattern._x000D_
12.Rarely, this result detects a minimal alveolar pulmonary pattern.</t>
  </si>
  <si>
    <t>Thorax.  Three radiographs (two lateral, one VD) dated April 24, 2024 of the thorax/abdomen are provided.  As requested, the thorax is interpreted._x000D_
_x000D_
Cardiac silhouette: The cardiac silhouette is moderately enlarged (VHS 9.5, normal =ZZ94=8) being increased in height and width._x000D_
Pulmonary vessels: The pulmonary arteries and veins are prominent throughout the thorax, consistent with a vascular pattern._x000D_
Pulmonary parenchyma: There is an interstitial pulmonary pattern in the caudal subsegment of the left cranial lung lobe. There is an equivocal increase of bronchial markings throughout the thorax.  There is no evidence of soft tissue pulmonary nodules or masses._x000D_
Pleural space: There is several widened fissures, most conspicuous on the VD view._x000D_
Mediastinum: The mediastinum is widened with fat.  There is no evidence of intrathoracic lymphadenopathy._x000D_
Trachea: The trachea is normal in diameter and course._x000D_
Esophagus: The region of the esophagus is unremarkable._x000D_
Musculoskeletal: There are hypoplastic ribs associated with L1.  The patient is obese.</t>
  </si>
  <si>
    <t>1.  Moderate cardiomegaly and prominent pulmonary vasculature, most consistent with hypertrophic cardiomyopathy and pulmonary congestion (left-sided congestive heart failure)._x000D_
2.  The left-sided interstitial pattern and diffuse bronchial pattern are concerning for cardiogenic pulmonary edema._x000D_
-Underlying airway inflammation may be contributing to the bronchial pattern.</t>
  </si>
  <si>
    <t>A furosemide trial with recheck thoracic radiographs are recommended to monitor response to treatment.  An echocardiogram, EKG, blood pressure, and proBNP are recommended fully evaluate the heart.  Consultation with a cardiologist may be of benefit.</t>
  </si>
  <si>
    <t xml:space="preserve">
1.This result detects a mild to moderate interstitial pulmonary pattern._x000D_
2.This result detects a minimal to moderate bronchial pulmonary pattern._x000D_
3.Rarely, this result detects a minimal alveolar pulmonary pattern._x000D_
4.This result detects mild to severe cardiomegaly._x000D_
5.Rarely, this result detects minimal to mild pulmonary vasculature enlargement._x000D_
6.This result detects minimal to moderate pleural fissure lines/fluid. </t>
  </si>
  <si>
    <t>A total of 22 images of the torso including survey films and a barium upper GI are submitted for review._x000D_
Survey films: The cardiac silhouette is subjectively mildly elongated and angled cranially with increased general contact on the lateral views.  This is a common incidental age-related change.  The proximal portion of the aorta is moderately tortuous and appears as a nodule in the left cranial thorax adjacent to the heart on the VD views.  This is also an incidental age-related change of no clinical significance.  The pulmonary vasculature is within normal limits.  A moderate generalized bronchointerstitial pattern is noted throughout the lung fields.  An approximately 4 to 5 mm irregularly shaped mineral opacity structure is noted in the cranioventral thorax on the lateral views.  This is not definitively seen on the VD views.  No pleural effusion or intrathoracic lymphadenopathy is seen.  The trachea is normal in diameter._x000D_
In the abdomen, the stomach contains a mild amount of gas and soft tissue opacity ingesta.  The small bowel also contains a mild amount of gas and ingesta without overt dilation or plication.  A moderate amount of formed stool is noted throughout the colon.  The liver and spleen are within normal limits.  The left kidney appears slightly small.  The right kidney appears within normal limits.  The urinary bladder is moderately distended.  Serosal detail is normal._x000D_
No aggressive bony changes are noted._x000D_
_x000D_
Contrast study, in the initial view, a mild to moderate amount of barium is noted within the stomach.  A trace amount of barium also remains in the caudal cervical and cranial intrathoracic esophagus.  No mucosal abnormalities are appreciated in the stomach.  The barium moves through the small bowel easily without evidence of obstruction.  No overt wall thickening or mucosal defects are noted.  The barium eventually empties into the colon.  In several of the images, a mild but variable amount of barium remains within the intrathoracic esophagus.  The barium eventually completely empties from the stomach.  And several of the latter lateral views, an ill-defined, ovoid shaped soft tissue opacity is noted in the caudal dorsal thorax, immediately cranial to the diaphragm, in the plane of the caudal intrathoracic esophagus.</t>
  </si>
  <si>
    <t>1.  The appearance of the heart and proximal aorta is consistent with incidental age related change and of doubtful clinical significance in and of itself.  However, given the presence of a heart murmur, mild cardiomyopathy cannot be ruled out._x000D_
2.  The appearance of the lung fields is consistent with chronic inflammation as with chronic bronchitis or feline asthma.  The small mineral opacity nodule in the cranioventral thorax is not be most consistent with dystrophic calcification associated with a pulmonary granuloma.  Primary or metastatic neoplasia are considered less likely._x000D_
3.  Subjectively small left kidney.  This is most consistent with renal cortical infarction remodeling associated with chronic nephritis and degenerative change of unknown clinical significance._x000D_
4.  The appearance of the GI tract generally on the survey films is nonspecific and could be associated with mild functional ileus or normal postprandial status.  Diffuse inflammatory or infiltrative disease in the GI tract as with IBD or lymphoma is not excluded._x000D_
5.  Mild amount of gastroesophageal reflux is noted at various points of the contrast study.  The ovoid shaped soft tissue opacity in the caudal dorsal thorax on the last few views could be consistent with gastroesophageal reflux without barium or possibly a dynamic hiatal hernia._x000D_
6.  No abnormalities are noted in the stomach, small bowel, or colon in the contrast study.</t>
  </si>
  <si>
    <t>An abdominal ultrasound and echocardiogram are recommended for further evaluation.</t>
  </si>
  <si>
    <t>Consider empirical treatment for canine asthma, chronic bronchitis or parasitic bronchitis with deworming evaluating response to treatment._x000D_
Consider abdominal US to further evaluate causes of potential vomition.</t>
  </si>
  <si>
    <t>Study:_x000D_
Thoracic radiography: three images dated April 24, 2024_x000D_
_x000D_
Findings:_x000D_
The cardiac silhouette is normal in size and shape. The the pulmonary vasculature is normal in size. There is a mild generalized bronchial pulmonary pattern. There is alveolar consolidation of the right middle lung lobe without the presence of air bronchograms. On both lateral projections, there is a thin linear soft tissue opacity superimposed with the cranial aspect of the cardiac silhouette/craniodorsal lung field. There is no intrathoracic lymphadenopathy. The trachea is normal in diameter. Numerous small mineral opacities are scattered throughout the liver. There is variable mild to severe multifocal thoracolumbar spondylosis deformans.</t>
  </si>
  <si>
    <t>1. There is no radiographic evidence of heart disease. Consider echocardiography for further evaluation of the reported heart murmur._x000D_
2. The generalized bronchial pulmonary pattern may indicate allergic/inflammatory bronchitis (asthma). Infectious, parasitic and irritant bronchitis are also possible. Airway sampling, heartworm testing and Baermann fecal flotation can be considered for further evaluation._x000D_
3. The alveolar consolidation of the right middle lung lobe likely indicates resorptive atelectasis. This is a relatively common sequela of chronic lower airway disease._x000D_
4. The linear soft tissue opacity superimposed with the cranial aspect of the cardiac silhouette/craniodorsal lung field may indicate incidental platelike atelectasis or a pleural fissure line (e.g. pleural thickening, incidental tangential visualization or trace pleural effusion)._x000D_
5. Cholelithiasis.</t>
  </si>
  <si>
    <t>Right lateral and ventrodorsal whole body radiographs (3 images) dated April 24,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The stomach is mildly distended gas. The small intestine has a mild and unremarkable variation in diameter with some segments empty/collapsed and others contain a small amount of gas and fluid. The course of the small bowel is unremarkable. The colon is mostly empty aside from a small amount of formed stool in the distal descending colon. The left kidney is mildly small in size and is normal in shape. The right kidney is small in size and irregular in shape with an undulating caudal pole. The urinary bladder is small in size. Retroperitoneal and peritoneal detail are normal. No regional lymphadenopathy is evident._x000D_
_x000D_
No aggressive or clinically significant osseous pathology is identified.</t>
  </si>
  <si>
    <t>1. Unremarkable thorax._x000D_
2. The gas buildup in the stomach and some of the small bowel is not a common finding in the cat and is more often associated with gastroenteritis. Given the chronic history, a chronic enteropathy is considered most likely._x000D_
3. Chronic renal disease. Correlation with renal blood work and urinalysis is needed to determine significance.</t>
  </si>
  <si>
    <t>CBC, chemistry, UA, T4, fecal, blood pressure, and GI blood panel. Abdominal ultrasound to further scrutinize the gastrointestinal tract. Based on findings, novel protein or hydrolyzed protein diet +/- steroids may be indicated vs low fat bland diet.</t>
  </si>
  <si>
    <t>Study:_x000D_
Thoracic radiography: four images dated April 24, 2024_x000D_
_x000D_
Findings:_x000D_
The cardiac silhouette is normal in size and shape (VHS approximately 7.5). The pulmonary vasculature is normal in size. The pulmonary parenchyma is unremarkable. The pleural space is normal. Mediastinal fat give the false impression of pleural effusion on the lateral projections in the ventral thorax. There is no intrathoracic lymphadenopathy. The trachea is normal in diameter. The stomach contains unstructured heterogeneous soft tissue material presumed to be ingesta with interspersed granular mineral. There is mild T 11-T 12 spondylosis deformans. The patient is of obese body condition.</t>
  </si>
  <si>
    <t>1. Unremarkable thorax.  There is no radiographic evidence of heart disease. Consider echocardiography for further evaluation of the reported heart murmur._x000D_
2. Test negative for pleural effusion.</t>
  </si>
  <si>
    <t>Orthogonal views of the thorax and abdomen are provided (three images)._x000D_
_x000D_
The patient has overweight body condition. No skeletal abnormalities are identified._x000D_
There is a mild bronchial pulmonary pattern. The cardiovascular structures are within normal limits. No tracheal or esophageal abnormalities are seen. The descending colon is moderately distended with normal appearing fecal balls. The upper GI tract is unremarkable. The other organs are within normal limits.</t>
  </si>
  <si>
    <t>There is a mild bronchial pattern. The appearance is typical of chronic lower airway disease such as asthma/allergic bronchitis._x000D_
Low-grade infectious bronchitis or parasitic infection such as lungworms or heartworm disease should be considered as less likely possibilities.</t>
  </si>
  <si>
    <t>CBC and heartworm testing, and Baermann fecal exam for lungworms is recommended.</t>
  </si>
  <si>
    <t>Abdominal and whole body radiographs (5 images) dated April 24, 2024._x000D_
_x000D_
_x000D_
The left kidney is small in size and irregular in shape. The right kidney measures at the lower limits of normal size and is unremarkable and shape. The urinary bladder contains a fair amount of homogeneous soft-tissue/fluid. The liver is unremarkable, as is the spleen. The stomach contains a fair amount of gas and a small amount of fluid. There is also small amount of mineral sediment in the stomach. The small intestine primarily contains gas. The colon contains a small amount of unremarkable stool. Retroperitoneal and peritoneal detail are normal. No regional lymphadenopathy is evident._x000D_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No aggressive or clinically significant osseous pathology is identified.</t>
  </si>
  <si>
    <t>1. The appearance of the gastrointestinal tract is most compatible with gastroenteritis. There is no evidence of a gastrointestinal mechanical obstruction. Rule out flareup of a chronic enteropathy (ex: IBD) vs. systemic/extra GI causes (liver or kidney injury/disease, pancreatitis, endocrine disorder, systemic infection, non-GI neoplasia) vs. less likely dietary indiscretion or toxin vs. food allergy/intolerance vs. GI infectious._x000D_
2. Small and irregularly-shaped left kidney is consistent with chronic renal disease. Correlation with renal blood work, urinalysis, and blood pressure is needed to determine significance._x000D_
3. Unremarkable thorax.</t>
  </si>
  <si>
    <t>Supportive care with fluid rehydration, antiemetics, gastroprotectants/omeprazole, and bland diet.  General health profile (CBC, chemistry, UA, fecal, T4, blood pressure) could be considered to screen for underlying causes.  Abdominal ultrasound if the patient fails medical management.</t>
  </si>
  <si>
    <t xml:space="preserve">
1.This result detects a minimal to mild interstitial pulmonary pattern._x000D_
2.This result does NOT detect an alveolar pulmonary pattern._x000D_
3.This result detects equivocal/borderline to moderate cardiomegaly._x000D_
4.This result does NOT detect pleural fissure lines. _x000D_
5.This result detects a minimal to mild bronchial pulmonary pattern.</t>
  </si>
  <si>
    <t>A three view thoracoabdominal study is provided for interpretation._x000D_
_x000D_
There are a few loops of small intestine that appear mildly fluid dilated or possibly thickened. There is minimal small intestinal gas. The stomach contains a small quantity of normal appearing amorphous soft tissue dense ingesta and gas. Abdominal serosal detail is normal. No mass lesions or organomegaly are identified._x000D_
_x000D_
The cardiovascular structures are within normal limits. No pulmonary infiltrates or bronchial thickening are identified. The trachea has smooth walls and normal uniform diameter. No esophageal abnormalities are identified._x000D_
No musculoskeletal abnormalities are identified.</t>
  </si>
  <si>
    <t>The intestinal changes described are mild and equivocal. Intestinal thickening or enteritis could be present, but the appearance could also be seen incidentally. More advanced imaging is recommended. The rest of the abdomen is unremarkable._x000D_
No thoracic abnormalities are identified.</t>
  </si>
  <si>
    <t>Endoscopy to biopsy the gastrointestinal tract or ultrasound to evaluate the layering pattern of the intestine should be considered.</t>
  </si>
  <si>
    <t>Two views of the thorax are provided for review. There is a mild to moderate bronchial pattern in all lung lobes.  The cardiovascular structures are normal.  The mediastinal and pleural structures are normal.  Cranial abdominal detail is adequate.</t>
  </si>
  <si>
    <t>Mild to moderate bronchial pulmonary pattern.  Considerations include asthma, heartworm, lungworm, atypical infection, bronchitis.</t>
  </si>
  <si>
    <t>8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is irregularly margined and generally enlarged.  Rounded soft tissue masses are present in the right cranioventral abdomen.  The stomach contains a small amount of gas.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</si>
  <si>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Neoplasia is considered most likely with the irregular margin, although chronic hepatitis with cirrhosis could also be considered.  Additional right cranioventral abdominal mass concerning for neoplasia arising from the intestine, lymph node, other.  Radiographically normal thorax for patient of this age.</t>
  </si>
  <si>
    <t>Abdominal ultrasound may be helpful in further evaluation.</t>
  </si>
  <si>
    <t xml:space="preserve">
1.This result detects a minimal to mild interstitial pulmonary pattern.  _x000D_
2.This result detects equivocal/borderline to mild, or rarely moderate cardiomegaly. _x000D_
3.This result detects a mild to moderate bronchial pulmonary pattern._x000D_
4.This result does not detect an alveolar pulmonary pattern._x000D_
5.This result does not detect pulmonary soft tissue nodules._x000D_
6.This result does not detect pleural fissure lines/fluid.  _x000D_
7.This result does not detect pulmonary vasculature enlargement.</t>
  </si>
  <si>
    <t>Study:_x000D_
Thoracic/abdominal radiography: three images dated April 23, 2024_x000D_
_x000D_
Findings:_x000D_
The cardiac silhouette and pulmonary vasculature are normal in size. There is a mild caudodorsal bronchial pattern on the lateral projections. The pleural space is normal. There is no intrathoracic lymphadenopathy. The trachea is normal in diameter and course. The stomach and some small intestinal segments contain granular soft tissue material presumed to be ingesta. The small intestines are normal in size and course. The colon contains formed fecal material. The liver and spleen are normal in size and margin. The renal silhouettes are normal in size and contour. The urinary bladder is normal in size and opacity. There is mild pectus excavatum.</t>
  </si>
  <si>
    <t>1. The mild  caudodorsal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considered._x000D_
2. Postprandial gastrointestinal tract=ZZ90= otherwise, unremarkable abdomen.</t>
  </si>
  <si>
    <t>3 views of the abdomen are presented for review.  Additional images of the thorax and pelvic limbs are not requested to be reviewed.  Serosal detail is adequate in all quadrants.  The stomach contains a small amount of gas.  The small intestines are normal in size.  Gas and feces are present in the colon.  The urinary bladder is small and appears to be displaced into the inguinal subcutaneous tissues.  The gas is also seen in the inguinal subcutaneous tissues.  The right caudal abdominal wall is indistinct.  The remaining abdominal organs are normal.</t>
  </si>
  <si>
    <t>Subcutaneous emphysema consistent with the reported bite wounds.  Additional changes suggest right-sided inguinal hernia containing urinary bladder.</t>
  </si>
  <si>
    <t>Ultrasound or cystography could be considered in confirmation.</t>
  </si>
  <si>
    <t>Opposite lateral and ventrodorsal thoracic and abdominal radiographs (6 images) dated April 23, 2024._x000D_
_x000D_
_x000D_
The cardiac silhouette is mildly tall, but is otherwise normal in appearance. The pulmonary vasculature and great vessels are within normal limits. The pulmonary parenchyma is unremarkable with no nodules, infiltrates, or other pathology detected. The pleural space, mediastinum, and diaphragm are normal. The trachea is normal in diameter and course with gas filling its lumen._x000D_
_x000D_
There is poor peritoneal detail in the abdomen, concerning for peritoneal effusion or infiltrates. The liver is normal in size and shape. The spleen is not clearly visible. The left kidney appears unremarkable in size and has multiple pinpoint mineral foci in the renal pelvic and intramedullary regions. The right kidney is not clearly visible. The urinary bladder is mildly distended with fluid opacity. The stomach contains a mild volume of gas. The small intestine has a moderate variation in diameter with multiple segments moderately distended with gas, whereas others are empty/collapsed or minimally gas-filled. The colon is dilated with a large amount of gas. Retroperitoneal detail is adequate. No regional lymphadenopathy is evident._x000D_
_x000D_
No aggressive or clinically significant osseous pathology is identified. There is evidence of mild epaxial muscle wasting, characterized by protruding dorsal spinous processes.</t>
  </si>
  <si>
    <t>1. Thin body condition and epaxial muscle wasting is consistent with cachexia._x000D_
2. Poor peritoneal detail may be due to the thin body condition of the patient and little mesenteric fat remaining. However, mild peritoneal effusion, peritoneal infiltrates, or mesenteric inflammation remain possible._x000D_
3. Moderate variation in small intestinal diameter with gas is of unknown clinical significance and may represent enteritis or a chronic enteropathy._x000D_
4. Mildly tall cardiac silhouette. Rule out a primary or thyrotoxic cardiomyopathy vs. left ventricular hypertrophy due to systemic hypertension vs. less likely incidental physiologic causes, such as sedation or anemia._x000D_
5. The remainder of the thorax is unremarkable._x000D_
6. Left nephrolithiasis.</t>
  </si>
  <si>
    <t>CBC, chemistry, UA, T4, fecal, systemic blood pressure evaluation, cardiac proBNP testing, and abdominal ultrasound.</t>
  </si>
  <si>
    <t xml:space="preserve">
1.This result detects mild cardiomegaly. _x000D_
2.This result detects a minimal, or rarely mild interstitial pulmonary pattern.  _x000D_
3.This result detects a minimal to mild, or rarely moderate bronchial pulmonary pattern._x000D_
4.This result does not detect an alveolar pulmonary pattern._x000D_
5.Rarely, this result detects minimal pleural fissure lines/fluid.  _x000D_
6.This result does not detect pulmonary vasculature enlargement.</t>
  </si>
  <si>
    <t>Study:_x000D_
Thoracic/abdominal radiography: three images dated April 23,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unstructured heterogeneous soft tissue material presumed to be ingesta with a small amount of interspersed granular mineral. A small amount of granular mineral scattered throughout the small intestines. The small intestines are normal in size and course. The colon contains formed fecal material. The liver and spleen are normal in size and margin. The the left kidney is markedly small. The right kidney is normal in size and shape. There multiple small mineral opacities in the central aspect of the right kidney. The urinary bladder is normal in size and opacity. There is mild lumbosacral spondylosis deformans.</t>
  </si>
  <si>
    <t>1. Unremarkable thorax. There is no radiographic evidence of cardiopulmonary or metastatic disease._x000D_
2. The markedly small size of the left kidney is suggestive of severe chronic kidney disease. The mineral opacities in the right kidney may indicate nephrolithiasis and/or nephrocalcinosis. Correlate with renal values, SDMA testing and urinalysis.</t>
  </si>
  <si>
    <t>3 views of the entire body are presented for review.  The cardiovascular and pulmonary structures are normal.  The pleural and mediastinal structures are normal.  Abdominal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</si>
  <si>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Radiographically normal thorax.  Prominent folds consistent with gastritis.  This does not rule out underlying pancreatitis, dietary indiscretion, etc.</t>
  </si>
  <si>
    <t>Opposite lateral and ventrodorsal whole body radiographs (3 images) dated April 23, 2024._x000D_
_x000D_
The cardiac silhouette, pulmonary vasculature, and great vessels are within normal limits. There is abnormal cranial mediastinal widening due to a fairly large ovoid soft-tissue opaque mass that measures approximately 4.3 x 2.8 x 2.8 cm. The remainder of the mediastinum is unremarkable. The trachea it remains normal in diameter and course with gas filling its lumen. The pulmonary parenchyma is unremarkable and has subtle bronchial markings that are likely incidental in an older cat. The pleural space and diaphragm are normal._x000D_
_x000D_
The liver, spleen, kidneys, and moderately distended urinary bladder are unremarkable. The stomach contains a moderate volume of gas. The small intestine is moderately and diffusely gas-filled. The colon contains normal stool and has a normal course. Retroperitoneal and peritoneal detail are normal. No regional lymphadenopathy is evident._x000D_
_x000D_
Both hips have mild periarticular bony remodeling affecting them, resulting in a flared acetabular rims. No aggressive osseous lesions are identified.</t>
  </si>
  <si>
    <t>1. Cranial mediastinal mass. Rule out malignant neoplasia (lymphoma/leukemia, thymoma, less likely ectopic thyroid carcinoma) vs. a benign branchial cyst._x000D_
2. Mild bronchial changes in the lungs are likely incidental and related to age-associated changes. Mild bronchitis is less likely._x000D_
3. Diffuse distention of the stomach and small bowel with gas is atypical in the cat can may represent a gastric stasis and functional ileus (such as from gastroenteritis) vs. incidental ileus from sedation if applicable. Aerophagia from respiratory distress cannot be ruled out._x000D_
4. Mild hip osteoarthritis.</t>
  </si>
  <si>
    <t>Sedated upper airway exam to rule out an upper airway disease process that may account for the wheezing. If normal, sedated parasternal ultrasound to further examine the mass and consider ultrasound-guided fine needle aspirates for attempted cytologic diagnosis. Thoracic CT could also be considered._x000D_
CBC, chemistry, UA, T4, FeLV/FIV, fecal, systemic blood pressure evaluation.</t>
  </si>
  <si>
    <t>3 views of the thorax are presented for review and compared with the previous studies..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The left thoracic limb is absent consistent with previous amputation.</t>
  </si>
  <si>
    <t>Consider continued monitoring as clinically indicated.</t>
  </si>
  <si>
    <t xml:space="preserve">
1.This result detects a minimal to mild interstitial pulmonary pattern.  _x000D_
2.This result does not detect pulmonary vasculature enlargement._x000D_
3.This result detects a minimal to mild, or rarely moderate bronchial pulmonary pattern._x000D_
4.Rarely, this result detects a minimal alveolar pulmonary pattern._x000D_
5.This result does not detect pleural fissure lines/fluid.  _x000D_
6.This result detects equivocal/borderline to mild cardiomegaly. </t>
  </si>
  <si>
    <t>THORAX (three radiographs for review). No priors._x000D_
_x000D_
- Excessive body habitus, with pericardial fat deposition._x000D_
- Mild, diffuse bronchial pattern, characterized by multiple thickened end-on lower airways most notable in the caudodorsal pulmonary region._x000D_
- Cardiac silhouette, pulmonary vasculature, pleural space and trachea normal._x000D_
- Esophagus, mediastinum and remaining included intrathoracic structures unremarkable._x000D_
- Stomach contains a small volume of gas and mild gas stippled soft-tissue opaque material._x000D_
- Small intestine contains mild multifocal gas and homogenous soft-tissue opaque material._x000D_
- Colon contains gas and formed fecal material._x000D_
- Liver, spleen, kidneys and urinary bladder normal._x000D_
- No discrete musculoskeletal abnormalities identified.</t>
  </si>
  <si>
    <t>1.  Mild diffuse bronchial pattern. Most compatible with chronic lower airway disease . The primary differential diagnosis is feline asthma. Bronchitis of infectious (e.g. parasitic, bacterial), immune-mediated (e.g. eosinophilic bronchitis) vs. inhaled irritant or allergic etiologies may also be possible but are less likely. Consider empirical treatment for asthma/chronic lower airway disease with thoracic CT and lower airway sampling for further assessment if clinically indicated._x000D_
_x000D_
2. Unremarkable postprandial abdomen with mild aerophagia._x000D_
_x000D_
3. Excessive body habitus.</t>
  </si>
  <si>
    <t>Opposite lateral and ventrodorsal thoracic and abdominal radiographs (6 images) dated April 23,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mildly enlarged. The spleen is normal in size and shape. Both kidneys are normal in size and shape. The urinary bladder is small and fluid opaque. The stomach contains a fair volume of gas and a scant amount of soft-tissue/fluid content. The small intestine has a mild and unremarkable variation in diameter with most segments empty and others containing a small volume of gas. The small bowel courses unremarkable. The colon primarily contains gas. Retroperitoneal and peritoneal detail are normal. No regional lymphadenopathy is evident._x000D_
_x000D_
No aggressive or clinically significant osseous pathology is identified.</t>
  </si>
  <si>
    <t>1. The appearance of the stomach is concerning for gastritis or gastroenteritis. This study is negative for a gastrointestinal mechanical obstruction._x000D_
2. Hepatomegaly. Rule out hepatitis/cholangiohepatitis vs. a benign metabolic/vacuolar hepatopathy vs. less likely FIP or infiltrative round cell neoplasia._x000D_
3. Normal thorax.</t>
  </si>
  <si>
    <t>Abdominal ultrasound and supportive care for pancreatitis and gastritis. Depending on abdominal ultrasound findings, treatment for cholangiohepatitis may be recommended +/- additional diagnostic and treatments.</t>
  </si>
  <si>
    <t>3 views of the thorax are provided for review.  The cardiac silhouette is widened with rounding of the left ventricular border.  Patchy interstitial to alveolar opacities present in the right middle, right caudal, left caudal, and caudal subsegment of left cranial lung lobes.  The mediastinal and pleural structures are normal.  Cranial abdominal detail is adequate.</t>
  </si>
  <si>
    <t>Cardiomegaly.  Interstitial to alveolar pulmonary pattern concerning for cardiogenic pulmonary edema.</t>
  </si>
  <si>
    <t>Orthogonal views of the thorax and abdomen including the neck are provided. The pelvic region is not included in the lateral views. There are four images total._x000D_
_x000D_
There is intestine in the abdomen that is distended with amorphous content that appears similar to fecal material. However, the distribution is not quite typical of colon, which raises concern for chronic small bowel distention as a cause of the appearance. There is also an overall increase in small intestinal gas and a few small bowel loops that are mildly gas dilated. No mass lesions are seen in the abdomen. Serosal detail is normal. The other abdominal organs are within normal limits._x000D_
The cardiopulmonary structures are within normal limits. There is a focal opacity at the right side of the caudal vena cava adjacent to the diaphragm. The appearance is most compatible with a small hiatal hernia or diaphragmatic eventration. No tracheal or esophageal abnormalities are identified._x000D_
_x000D_
No spinal abnormalities are identified. Soft tissues of the neck are unremarkable. No abnormalities are seen involving the sublumbar area or other paraspinal tissues.</t>
  </si>
  <si>
    <t>Chronic small intestinal obstruction should be ruled out. Possible causes could include neoplasia, stricture, and radiolucent foreign material._x000D_
Megacolon should also be ruled out as a less likely possibility._x000D_
_x000D_
No spinal abnormalities are identified._x000D_
_x000D_
The small mass effect seen adjacent to the vena cava and diaphragm is probably incidental.</t>
  </si>
  <si>
    <t>Follow up imaging of the abdomen is recommended._x000D_
A barium enema could be used to outline the colon and determine if the distended intestine represents colon or small intestine._x000D_
Ultrasound could also be used for more definitive evaluation.</t>
  </si>
  <si>
    <t>Left shoulder: There is soft tissue thickening/mass associated with the caudal lateral aspect of the humerus.  This thickening/mass has a somewhat fat opacity.  There is no evidence of adjacent osseous abnormalities._x000D_
_x000D_
Thorax: There is no evidence of pulmonary metastatic disease.  The pulmonary parenchyma, cardiac silhouette, and pulmonary vasculature are unremarkable.  There is no evidence of pleural effusion or lymphadenopathy.</t>
  </si>
  <si>
    <t>Suspect subcutaneous lipoma involving the proximal left thoracic limb.</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</si>
  <si>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reduced in all quadrants.  The stomach contains a small amount of gas.  The small intestines are normal in size.  Gas is present in the colon.  The kidneys are at the lower limits of normal for size.  The remaining abdominal organs are not fully visible.</t>
  </si>
  <si>
    <t>Poor serosal detail concerning for free fluid.  Consider underlying pancreatitis or infiltrative neoplasia.  Radiographically normal thorax for patient of this age.</t>
  </si>
  <si>
    <t>Opposite lateral and ventrodorsal whole body radiographs (3 images) dated April 22, 2024._x000D_
_x000D_
_x000D_
The cardiac silhouette, pulmonary vasculature, and great vessels are within normal limits. The pulmonary parenchyma has a subtle bronchial pattern that is diffuse. No pulmonary nodules, infiltrates, or other pathology is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The left kidney is suspected to have mild areas of flattening along margin on the VD view. The right kidney is obscured due to superimposed bowel. The urinary bladder is mildly distended fluid opacity. The stomach contains a large amount of ingesta. The small bowel is diffusely and predominantly gas-filled. The colon contains somewhat poorly formed stool mixed with gas. Retroperitoneal and peritoneal detail are adequate. No regional lymphadenopathy is evident._x000D_
_x000D_
No aggressive or clinically significant osseous pathology is identified.</t>
  </si>
  <si>
    <t>1. Normal cardiovascular structures. The cause for the murmur is not radiographically apparent. Rule out subclinical cardiomyopathy vs. a benign or physiologic flow murmur vs. less likely a congenital cardiac defect._x000D_
2. Mild bronchial pattern could represent bronchitis vs. artifactual increased contrast created by abdominal algorithm and exposure settings. Correlate with clinical history to determine significance._x000D_
3. Mild irregularity to the shape of the left kidney is chronic renal disease. Other structural disease (nodules, granulomas, abscess, hematoma) is less likely.</t>
  </si>
  <si>
    <t>Echocardiogram, T4, cardiac proBNP, and blood pressure._x000D_
Consider CBC, chemistry, UA, and FeLV/FIV for baseline health evaluation._x000D_
_x000D_
_x000D_
If there are respiratory clinical signs or concerns for bronchitis:_x000D_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</si>
  <si>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Three radiographs of the thorax/abdomen are provided. The cardiac silhouette and pulmonary vessels are normal size and shape. There are no abnormalities in the pulmonary parenchyma. Increased opacity along the ventral thorax on the right lateral view is likely incidental fat deposition. In the abdomen the stomach contains small volume fluid and stippled gas lucencies. Small bowel are minimally distended. Formed feces in the colon. No radiopaque foreign material or severe intestinal distention. Normal-sized liver, kidneys, and spleen. No radiopaque cystic calculi. Osseous structures are unremarkable.</t>
  </si>
  <si>
    <t>Gastric contents may be residual ingesta. With the history, I cannot rule out the possibility of small radiolucent gastric foreign material/trichobezoar. There is no small bowel obstruction. The thorax is normal.</t>
  </si>
  <si>
    <t>If GI signs persist despite supportive care, consider sedated and strictly fasted abdominal ultrasound to evaluate the entire abdomen. A positive contrast gastrogram may not be feasible with patient=ZZ91=s aggressive behavior.</t>
  </si>
  <si>
    <t>A three view thoracoabdominal study is provided for interpretation._x000D_
_x000D_
The right cranial lung field is obscured with soft tissue opacity consistent with a soft tissue mass effect involving the right cranial lung lobe. There is a small quantity of gas in the cranial thoracic esophagus. There is an alveolar pattern involving the right middle lobe. The other lung fields have a moderate patchy bronchointerstitial pattern. A few small ill defined subtle nodular shadows are identified in the lungs. The cardiovascular structures are within normal limits._x000D_
There is marked gas throughout the GI tract. Several loops of small intestine that are moderately dilated. One loop in particular in the right mid abdomen is dilated and terminates at an ill defined irregular soft tissue mass. This appears to be involving the ileocolic junction. There is subtle increased opacity in the caudal sublumbar area in the right lateral view that cannot be corroborated in the other views. The other abdominal organs are within normal limits. Overall serosal detail is normal._x000D_
There is severe disc space narrowing in multiple locations, predominantly affecting the mid thoracic spine, the thoracolumbar area, and the lumbosacral junction. No destructive bone lesions are seen. The hips are normal.</t>
  </si>
  <si>
    <t>There is a mass effect in the ileocolic region. Neoplasia involving the intestinal tract in this area is the primary differential. Inflammatory/infectious causes such as abscess/granuloma cannot be excluded._x000D_
_x000D_
There is a mass effect involving the right cranial lung lobe, also most compatible with neoplasia. The alveolar pattern in the right middle lobe could be the result of pneumonia but might also be indicative of atelectasis secondary to compression of the lobar bronchus by the right cranial lobe mass. The other lung lobes have a bronchointerstitial pattern that is more suggestive of infectious/inflammatory disease, but would still be compatible with neoplasia._x000D_
There is potential for sublumbar lymph node enlargement, but this is equivocal._x000D_
The gassy appearance of the GI tract is suspected to be primarily the result of aerophagia secondary to the respiratory tract changes, rather than evidence of obstruction.</t>
  </si>
  <si>
    <t>Neoplasia is most likely responsible for the radiographic and clinical findings in this patient. Systemic infectious disease with multiple organ involvement such as fungal disease should also be ruled out as a less likely possibility._x000D_
_x000D_
Ultrasound-guided FNA of the abdominal mass and pulmonary mass for cytologic evaluation is recommended to assist definitive diagnosis.</t>
  </si>
  <si>
    <t xml:space="preserve">
1.This result detects equivocal/borderline to moderate cardiomegaly._x000D_
2.This result detects a minimal to severe bronchial pulmonary pattern._x000D_
3.This result detects a minimal to mild interstitial pulmonary pattern._x000D_
4.This result does NOT detect an alveolar pulmonary pattern._x000D_
5.Rarely, this result detects minimal pleural fissure lines/fluid. </t>
  </si>
  <si>
    <t>Given the lack of cardiomegaly consider a cardiology consultation with ECG and echocardiogram.</t>
  </si>
  <si>
    <t>Study:_x000D_
Thoracic radiography: three images dated April 22, 2024_x000D_
_x000D_
Findings:_x000D_
There is a severe interstitial coalescing to alveolar pattern surrounding the heart. There is mild bilateral pleural effusion. Summation with the pulmonary infiltrates and pleural effusion limits evaluation the cardiac silhouette. There is no overt cardiomegaly. The pulmonary veins and arteries are mildly distended. The trachea is normal in diameter. There is no apparent intrathoracic lymphadenopathy. The included abdomen is normal. No skeletal abnormalities are present.</t>
  </si>
  <si>
    <t>While there is not overt cardiomegaly, the interstitial to alveolar pulmonary pattern and mild pleural effusion are concerning for decompensated congestive heart failure. Recommend echocardiography for further evaluation. Diuretic therapy with repeat radiography to monitor for response to treatment is also recommended._x000D_
_x000D_
Pneumonia and infiltrative neoplasia are less likely differentials.</t>
  </si>
  <si>
    <t>Three radiographs of the thorax/abdomen are provided. The cardiac silhouette and pulmonary vessels are normal size and shape. There are a few faint bronchial markings in the lungs. No pleural effusion or esophageal abnormalities. In the abdomen serosal detail is adequate. The stomach contains a moderate amount of fluid and gas. Small intestines are diffusely mild to moderately filled with fluid and scant gas. The colon is fluid-filled. No radiopaque foreign material or severe small intestinal distention is appreciated. Normal-sized liver, kidneys, spleen. No radiopaque cystic calculi. Ovoid soft tissue density ventral to L6 is medial iliac lymph nodes, normal for young age and visible due to adjacent fat deposition. The left pelvic limb has been previously amputated.</t>
  </si>
  <si>
    <t>1. Fluid-filled gastrointestinal tract. Gastroenteritis secondary to dietary indiscretion is most likely. There is no convincing evidence of an obstructive process. Small radiolucent gastric foreign material is not ruled out._x000D_
2. Mild bronchial pattern suggestive of airway inflammation or infectious airway disease. In the absence of coughing, significance is doubtful. The thorax is otherwise normal.</t>
  </si>
  <si>
    <t>A CBC, blood chemistry profile, and abdominal ultrasound are recommended. Since the patient has severe abdominal pain, if vomiting is intractable or the patient is markedly lethargic, surgical intervention may be necessary.</t>
  </si>
  <si>
    <t>Thorax.  3 radiographs (2 lateral, 1 VD) of the thorax/abdomen dated April 20, 2024 are provided.  As requested, the thorax is interpreted._x000D_
_x000D_
Cardiac silhouette: The cardiac silhouette is normal in size and shape._x000D_
Pulmonary vessels: The pulmonary vessels are within normal limits._x000D_
Pulmonary parenchyma: There is no abnormal pulmonary patterns, nodules, or masses._x000D_
Pleural space: The pleural space is unremarkable._x000D_
Mediastinum: The mediastinum is normal in width and opacity.  There is no evidence of intrathoracic lymphadenopathy._x000D_
Trachea/larynx: The larynx is normal in opacity.  The hyoid apparatus is unremarkable.  The pharynx is normal and gas-filled.  The trachea is normal in diameter and course._x000D_
Esophagus: The region of the esophagus is unremarkable._x000D_
Musculoskeletal: Skeletal structures are unremarkable.</t>
  </si>
  <si>
    <t>Normal thorax.  A cause for coughing is not identified._x000D_
-Chronic bronchitis and feline asthma cannot be excluded as this may have a normal radiographic appearance._x000D_
-An upper respiratory disease (i.e. rhinitis) cannot be excluded as a cause of gurgling noises.</t>
  </si>
  <si>
    <t>Empiric therapy for feline asthma and removal of any environmental allergens or irritants are recommended. Airway sampling (respiratory PCR, lavage/wash) may be of benefit.</t>
  </si>
  <si>
    <t xml:space="preserve">Patient Name : Jinx Lovett, Date of study: Apr 20, 2024
4 images are provided for review
There are no previous radiographs for comparison.
Pulmonary parenchyma: A minimal diffuse bronchial to interstitial pattern is present.
Pulmonary vasculature: The pulmonary vasculature is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 The urinary bladder is normal in size, homogeneous soft tissue, and smoothly marginated.
Peritoneum: Peritoneal detail is adequate.
Gastrointestinal tract: The stomach contains a moderate soft tissue or fluid and gas.  The stomach is within normal limits for size.
Mild gas and soft tissue is suspected in the descending duodenum which is mildly enlarged compared to segments in the mid-ventral abdomen.  The remainder of the small intestine contains mild fluid or is empty.  The small intestine is uniform in size subjectively in the mid-ventral abdomen. The colon contains mild soft tissue material and gas.
Musculoskeletal: The included musculoskeletal structures are normal.
</t>
  </si>
  <si>
    <t xml:space="preserve">1. Gastric material due to gastritis/delayed gastric emptying or unlikely pyloric outflow tract obstruction, or normal ingesta/recent meal.
2. Mildly enlarged descending duodenum due to variation of normal, non-specific enteritis, or occult proximal duodenal foreign material.
- Recent vomiting can mask a proximal duodenal foreign body obstruction.
3. Otherwise normal small intestine with fluid content/empty.
4. Minimal pulmonary patterns likely due to individual variation of normal, artifact, fibrosis from prior disease, or unlikely other.  </t>
  </si>
  <si>
    <t xml:space="preserve">Consider a left lateral radiograph with/without compression over the region of the duodenum for further evaluation, versus ultrasonography for further evaluation.  If proximal duodenal obstruction material is confirmed, consider celiotomy for retrieval.   Alternatively, empirical therapy and supportive care for gastroenteritis and repeat imaging if signs fail to improve or worsen.  </t>
  </si>
  <si>
    <t>Three radiographs of the thorax/abdomen are provided. The cardiac silhouette is upper normal size. Small volume fat deposition encircles the heart on the VD view. Pulmonary vessels are normal size. A mild bronchial pattern is present. No pleural effusion. Small volume gas in the esophagus is transient and incidental. Tracheal diameter is adequate. In the abdomen there is large volume gas in the stomach consistent with aerophagia. Small bowel are mildly filled. Formed feces fills the colon. Normal-sized liver, spleen, and kidneys. No radiopaque cystic calculi.</t>
  </si>
  <si>
    <t>1. Mild bronchial pattern suggestive of chronic airway inflammation such as asthma. In the absence of a cough, significance is uncertain._x000D_
2. No cardiomegaly is present. Mild/early cardiomyopathy is not ruled out. There is no evidence of heart failure._x000D_
3. Normal abdomen.</t>
  </si>
  <si>
    <t>An echocardiogram should be considered. Cardiac proBNP evaluation is another option.</t>
  </si>
  <si>
    <t>8 views of the thorax, abdomen, and pelvis are submitted for review.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
In the abdomen, the stomach and small bowel contain a minimal amount of gas.  Formed stool is noted in the colon.  The liver is normal in size and shape.  An approximately 2 to 3 cm ill-defined soft tissue opacity mass effect is noted in the region of the tail of the spleen on the VD and lateral views.  Multiple smaller ill-defined nodular opacities are noted in the region of the tail of the spleen on the VD view in the peripheral aspect of the left mid abdomen.  The renal silhouettes are normal in size and shape.  Punctate mineral opacities summates with both kidneys.  The urinary bladder is moderately distended.  There is mild wispy soft tissue opacity in the mid abdomen, obscuring the serosal detail.
Multiple narrowed intervertebral disc spaces and degenerative changes are noted in the caudal thoracic and mid to caudal lumbar spine.  Mild osteophytes are noted at the cranial aspect of the left acetabulum.  Both femoral heads are well-seated in the acetabula.  Moderate to severe degenerative changes are noted in the right stifle.  Mild degenerative joint disease is noted in the left stifle.</t>
  </si>
  <si>
    <t>1.  Radiographically normal thorax.
2.  Suspect mass lesion associated with the spleen.  Differentials include benign change such as extramedullary hematopoiesis or lymphoid hyperplasia, or possibly neoplasia.
3.  The ill-defined nodular soft tissue opacity structures in the left mid abdomen could also represent nodules arising from the spleen or possibly within the mesentery.
4.  Decreased serosal detail in the abdomen is consistent with scant volume ascites.
5.  Mild punctate mineral opacities in the kidneys.  This is consistent with chronic nonspecific nephritis and degenerative change of unknown clinical significance.
6.  Degenerative joint disease in both stifles, and to a lesser degree the left hip, and also the caudal thoracic and lumbar spine.</t>
  </si>
  <si>
    <t>Inflammatory or neoplastic disease within the abdomen is suspected.  An abdominal ultrasound is recommended for further evaluation.</t>
  </si>
  <si>
    <t>WHOLE-BODY (3 radiographs for review). No previous examinations for comparison._x000D_
_x000D_
- Mild generalized cardiomegaly, characterized by a rounding of the cardiac margins and increased cardiothoracic width. Pulmonary vasculature and parenchyma normal. _x000D_
- Mild diffuse bronchial pulmonary pattern. Mild pulmonary hyperinflation._x000D_
- Trachea, pleural space and remaining included intrathoracic structures normal._x000D_
- Stomach contains mild gas and gas stippled soft-tissue opaque material._x000D_
- Small intestine mild multifocal gas and soft-tissue/fluid._x000D_
- Colon contains gas and formed fecal material._x000D_
- Bilaterally the kidneys appear mildly small and irregular and there is at least one mineral opacity superimposed over the left kidney._x000D_
- Transitional lumbosacral vertebral segment with fusion of the right transverse process of L7 to the wing of the right ilium. Narrowing of the L7 S1 intervertebral disc space._x000D_
- Mild bilateral coxal osteoarthritis (limited assessment)._x000D_
- Excessive body habitus.</t>
  </si>
  <si>
    <t>1. Mild generalized cardiomegaly. No evidence of pulmonary vascular congestion or congestive heart failure. Most likely compatible with cardiomyopathy (e.g. hypertrophic, restrictive, unclassified). Consider echocardiography/ECG for further assessment._x000D_
_x000D_
2. Mild diffuse bronchial pattern with pulmonary hyperinflation. Most compatible with chronic lower airway disease with secondary air-trapping. The primary differential diagnosis is feline asthma. Chronic bronchitis of infectious (e.g. parasitic, bacterial) vs. inhaled irritant or allergic etiologies may also be possible._x000D_
_x000D_
3. Aerophagia._x000D_
_x000D_
4. Mildly irregular kidneys and suspect left nephrolith may be compatible with bilateral chronic degenerative renal disease. Consider correlation to bloodwork and urine testing and abdominal ultrasonography if indicated._x000D_
_x000D_
5. Transitional lumbosacral vertebral segment with L7-S1 intervertebral disc disease/lumbosacral stenosis._x000D_
_x000D_
6. Mild bilateral coxofemoral osteoarthritis._x000D_
_x000D_
7. Excessive body habitus.</t>
  </si>
  <si>
    <t xml:space="preserve">
1.This result detects a minimal, or rarely mild interstitial pulmonary pattern._x000D_
2.Rarely, this result detects minimal pleural fissure lines/fluid._x000D_
3.This result detects equivocal/borderline cardiomegaly._x000D_
4.This result detects a minimal to moderate bronchial pulmonary pattern._x000D_
5.This result does NOT detect an alveolar pulmonary pattern.</t>
  </si>
  <si>
    <t>WHOLE-BODY (3 radiographs for review). Multiple previous examinations available for comparison._x000D_
_x000D_
- Moderate diffuse bronchial pattern._x000D_
- Wedge-shaped alveolar pattern in the region of the right middle lung lobe._x000D_
- Prominent aortic root._x000D_
- Mild generalized cardiomegaly, characterized by rounding of the cardiac margins and increased cardiothoracic width. Pulmonary vasculature unremarkable._x000D_
- Remaining included intrathoracic structures unremarkable._x000D_
- Stomach, small intestine contains mild multifocal gas and soft-tissue opaque material._x000D_
- Colon contains mildly mineralized/desiccated formed fecal material._x000D_
- Liver, spleen, kidneys normal._x000D_
- Moderate distention of the urinary bladder with homogenous fluid._x000D_
- Moderate multifocal spondylosis deformans_x000D_
- narrowing of the L7-S1 intervertebral disc space with ventral subluxation of the sacrum._x000D_
- Excessive body habitus._x000D_
- Cubital osteoarthritis (limited assessment).</t>
  </si>
  <si>
    <t>1. Moderate diffuse bronchial pattern with right middle lung lobe collapse. Most compatible with chronic lower airway disease with secondary bronchial mucus plugging and obstructive atelectasis.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Prominent aortic root and mild to moderate generalized cardiomegaly. May be concentric cardiac remodeling secondary to systemic hypertension or a primary cardiomyopathy (e.g. HCM). Consider echocardiography/ECG for further assessment._x000D_
_x000D_
3. L7-S1 intervertebral disc disease/lumbosacral stenosis._x000D_
_x000D_
4. Cubital osteoarthritis (limited assessment)._x000D_
_x000D_
5. Excessive body habitus.</t>
  </si>
  <si>
    <t>Thorax. Four radiographs of the thorax (2 lateral, 2 VD) dated April 19, 2024 provided._x000D_
_x000D_
Cardiac silhouette: The cardiac silhouette is normal in size and shape._x000D_
Pulmonary vessels: The pulmonary vessels are normal in size and are symmetrical._x000D_
Pulmonary parenchyma: The parenchyma is normal and with no abnormal pulmonary patterns, nodules, or masses._x000D_
Pleural space: The pleural space is unremarkable._x000D_
Mediastinum: The mediastinum is normal in width and opacity. There is no evidence of intrathoracic lymphadenopathy._x000D_
Trachea: The trachea is normal in diameter and course._x000D_
Esophagus: The region of the esophagus is within normal limits._x000D_
Cranial abdomen: The cranial abdomen is unremarkable._x000D_
Musculoskeletal: There is mild spondylosis deformans of C7-T1. The patient is obese.</t>
  </si>
  <si>
    <t>Normal thorax. Feline asthma cannot be excluded as this may have a normal radiographic appearance.</t>
  </si>
  <si>
    <t>Empiric therapy for feline asthma could be considered. Bronchodilators may be of benefit. CBC, biochemistry, and urinalysis are recommended if not already performed.</t>
  </si>
  <si>
    <t>5 images of the thorax and abdomen are presented for review.  The cardiac silhouette is mildly widened in the region of the atria.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with subsequent resolution.  The small intestines are normal in size.  Gas and feces are present in the colon.  The urinary bladder is moderately distended.  The remaining abdominal organs are normal.</t>
  </si>
  <si>
    <t>Radiographically normal abdomen.  Abdominal ultrasound may be helpful in evaluation of gastrointestinal wall layering in the pancreas.  Mild cardiomegaly consistent with previously diagnosed cardiomyopathy.</t>
  </si>
  <si>
    <t xml:space="preserve">
1.This result does not detect pulmonary vasculature enlargement._x000D_
2.This result detects equivocal/borderline to mild cardiomegaly. _x000D_
3.This result detects a minimal, or rarely mild interstitial pulmonary pattern.  _x000D_
4.This result detects a minimal to mild, or rarely moderate bronchial pulmonary pattern._x000D_
5.Rarely, this result detects a minimal alveolar pulmonary pattern._x000D_
6.This result does not detect pleural fissure lines/fluid.  </t>
  </si>
  <si>
    <t>Orthogonal views of the abdomen are provided:_x000D_
_x000D_
Abdomen:_x000D_
_x000D_
The stomach is empty._x000D_
Small intestines are gathered between the central to caudal abdomen cranial to the bladder with plication and poor serosal detail amongst them._x000D_
Liver and spleen are within normal limits of size and smoothly marginated._x000D_
Kidneys and urinary bladder WNL._x000D_
_x000D_
Unremarkable thorax.</t>
  </si>
  <si>
    <t>1) Changes compatible with a linear foreign body mechanical ileus and suspected early peritonitis or free fluid.</t>
  </si>
  <si>
    <t>Abdominal US prior to potential exploratory laparotomy.</t>
  </si>
  <si>
    <t>Patient Name: Krutick Fleischer, Date of study: Apr 19, 2024. 3 whole body images are provided for review. Abdomen evaluation has been requested. There are no previous radiographs for comparison._x000D_
_x000D_
Abdomen:_x000D_
Liver: The liver is mildly enlarged but the liver margin is smooth. _x000D_
_x000D_
Spleen: The spleen is normal on the VD projection. The spleen is not visible on the lateral projections._x000D_
_x000D_
Kidneys and urinary bladder: Renal asymmetry is present with the right kidney being small and irregular. The left kidney is at the lower limits of normal for size. Focal mineralization is associated with both kidneys. The urinary bladder is small and irregular. The soft tissues caudal to the urinary bladder, in the proximal urethral region, are thickened. No mineralization is noted in this region. The caudal aspect of the urethra is not included in this study._x000D_
_x000D_
Gi: The stomach is gas filled with a small amount of soft tissue opaque material in the gastric lumen consistent with ingesta. The small bowel is diffusely gas- and fluid-filled and occupies a larger portion of the abdomen than is normal. Portions of the small bowel are gas filled and have a rigid appearance. On the VD projection, widening to the pyloroduodenal region is present and a loop of bowel in the right cranial abdomen is gas filled and rigid. Small gas opacities are also present in the right cranial abdomen on the VD projection and concerning for regional free air accumulation in the pyloroduodenal region. _x000D_
_x000D_
Abdominal detail: Abdominal detail is diffusely decreased with a wispy appearance to the abdominal detail peripherally and mild abdominal distention. Gas opacities in the right cranial abdomen on the VD projection are concerning for free abdominal air._x000D_
_x000D_
Caudal thorax: The aorta is tortuous. The pulmonary vasculature is normal. No pulmonary nodules are noted in the caudal thorax._x000D_
_x000D_
Msk: The cat is emaciated. Diffuse osteopenia is present.</t>
  </si>
  <si>
    <t>1) Chronic renal disease. Renal secondary hyperparathyroidism likely. _x000D_
2) Right cranial abdominal appearance concerning for pyloroduodenal ulcer, potentially secondary to azotemia, resulting in septic peritonitis._x000D_
3) Small urinary bladder. Potential proximal urethral thickening. Abdominal fluid with evidence of enteritis. Rule out decreased urine production vs. recent micturition vs. urinary bladder rupture. _x000D_
4) Aortic appearance suggestive of systemic hypertension, likely secondary to chronic renal disease.</t>
  </si>
  <si>
    <t>Referral to emergency/specialty for potential septic peritonitis. Abdominal ultrasound with abdominal fluid collection to assess for septic peritonitis vs. uroabdomen. Bloodwork and urinalysis if not recently performed.</t>
  </si>
  <si>
    <t xml:space="preserve">Patient Name : Sam Ard, Date of study: Apr 19, 2024
4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 The urinary bladder is normal in size, homogeneous soft tissue, and smoothly marginated.
Peritoneum: Peritoneal detail is adequate.
Gastrointestinal tract: The stomach contains a moderate volume of soft tissue material or fluid and gas.  In the ventrodorsal image, the left caudolateral margin of the gastric wall appears suspiciously thickened, with an undulant luminal surface and/or prominent gastric rugal folds.  The pylorus contains gas in the left lateral image.
 The small intestine contains fluid and gas or is empty with a subjectively uniform population for size. There is no evidence of small intestinal mechanical ileus.
The colon contains mild to moderate admixed soft tissue material and gas.  The colon is normal in size.
Musculoskeletal: Minimal in situ intervertebral disc mineral is suspected from L3-4 through L6-7.  The remaining included musculoskeletal structures are normal.
</t>
  </si>
  <si>
    <t xml:space="preserve">1.  Suspicious for eccentric gastric wall thickening versus prominent rugal folds and/or artifact.
- If present, this is suspicious for mural neoplasia/infiltrative disease such as from lymphosarcoma, versus gastritis such as from ulceration.
- This may be due to delayed gastric emptying/gastritis or unlikely pyloric outflow tract obstruction.  
2. Normal small intestine versus underlying non-specific enteritis versus other.
- There is no evidence of small intestinal mechanical ileus.
3. Suspected L3-4 through L6-7 in situ intervertebral disc mineral.
</t>
  </si>
  <si>
    <t xml:space="preserve">Consider abdominal ultrasonography versus contrast gastrography/double-contrast gastrography for further evaluation of the stomach.  Endoscopy and tissue sampling may also be beneficial.  Thoracic imaging to screen for occult systemic disease may be contributory.  Empirical therapy and supportive care in the interim as needed.  </t>
  </si>
  <si>
    <t>4 images of the thorax are provided for review. There is a mild bronchial pattern in all lung lobes.  The cardiovascular structures are normal.  The mediastinal and pleural structures are normal.  Cranial abdominal detail is adequate.</t>
  </si>
  <si>
    <t xml:space="preserve">
1.This result detects a minimal to mild, or rarely moderate interstitial pulmonary pattern.  _x000D_
2.This result detects equivocal/borderline to mild cardiomegaly. _x000D_
3.This result detects a minimal to mild, or rarely moderate bronchial pulmonary pattern._x000D_
4.Rarely, this result detects a minimal to mild alveolar pulmonary pattern._x000D_
5.This result does not detect pulmonary vasculature enlargement._x000D_
6.This result does not detect pleural fissure lines/fluid.  </t>
  </si>
  <si>
    <t>Three radiographs of the thorax are provided. The cardiac silhouette and pulmonary vessels are normal size and shape. There is a diffuse mild bronchial pattern throughout the lungs. No pleural effusion or enlarged intrathoracic lymph nodes. Adequate tracheal diameter. No esophageal dilation.</t>
  </si>
  <si>
    <t>Diffuse bronchial pattern, most consistent with chronic airway inflammation such as asthma. This is the most likely cause for coughing. Otherwise normal thorax.</t>
  </si>
  <si>
    <t>This patient may benefit from treatment for allergic airway disease.</t>
  </si>
  <si>
    <t>Patient Name : Oliver Hanstad, Date of study: Apr 19, 2024
3 images are provided for review
There are no previous radiographs for comparison.
Pulmonary parenchyma:  In the left lateral image, at the level of T13 over the caudodorsal portion of the lungs is a curvilinear or crescent-shaped soft tissue opacity.  Just cranial and ventral to this, also over the caudodorsal lungs, is an ill-defined, ovoid soft tissue opacity.  In the ventrodorsal images, this may correspond to ill-defined soft tissue just rightward of T13 over the medial aspect of the right caudal lung lobe.  A mild diffuse bronchial pattern is present.  The lungs are hyperinflated in all images, with increased distance between the cardiac silhouette and diaphragm, and extension of the cranial lungs beyond the thoracic inlet.  
Pulmonary vasculature: The pulmonary vasculature is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soft tissues between spinous processes are slightly concave.  The remaining included musculoskeletal structures are normal.
(amended on 04/23/2024 08:30)
Additional information is provided after the original report was written.  The included images contain a DV and two lateral images.</t>
  </si>
  <si>
    <t>1. Suspicious curvilinear soft tissue and ill-defined soft tissue nodule over the right caudal lung lobe.
- Given reported history, neoplasia (metastatic from facial carcinoma versus occult primary carcinoma) are considered.
- Artifact or superimposed extra-thoracic soft tissue, or least likely pulmonary granuloma are possible.
2. Mild diffuse bronchial pulmonary pattern and hyperinflated lungs.
  - Differential diagnoses include infectious/inflammatory lower airway disease (feline asthma versus other), and/or fibrosis from prior disease, or unlikely atypical metastatic neoplasia.
3. Thin body condition consistent with reported history.</t>
  </si>
  <si>
    <t>A dorsoventral thoracic radiograph could better define a nodule in the caudodorsal lungs.  Consider thoracic computed tomography for further evaluation.  Computed tomography of the head for pre-surgical planning of incisional/excisional biopsy of reported facial mass and histopathology.  Oncologist consultation depending on results.  CBC/serum biochemistry to screen for occult systemic disease if not already performed and prior to advanced imaging.  Alternatively, monitoring the thorax with repeat radiographs in 1-2 months to monitor for progression/resolution of the possible pulmonary nodule.  Empirical therapy and supportive care in the interim as needed.
(amended on 04/23/2024 08:30)
Given a dorsoventral image is provided in this series, instead consider computed tomography in lieu of additional radiographs.</t>
  </si>
  <si>
    <t xml:space="preserve">
1.This result does not detect pleural fissure lines/fluid.  _x000D_
2.This result detects equivocal/borderline to moderate cardiomegaly. _x000D_
3.This result does not detect pulmonary vasculature enlargement._x000D_
4.This result detects a minimal to mild, or rarely moderate interstitial pulmonary pattern.  _x000D_
5.This result detects a mild to moderate bronchial pulmonary pattern._x000D_
6.Rarely, this result detects a minimal alveolar pulmonary pattern._x000D_
7.Rarely, this result detects pulmonary soft tissue nodules.</t>
  </si>
  <si>
    <t>3 views of the entire body are provided for review and compared with the study dated 7/27/2023.  The cardiac silhouette is widened with rounding of the left ventricular border, similar to previous images.  No pulmonary infiltrates are seen.  The pulmonary vasculature is normal in size.  The mediastinal and pleural structures are normal.  Abdominal serosal detail is adequate in all quadrants.  The liver margin is rounded and extends beyond the costal arch, similar to previous images.  The spleen remains mildly irregular along the medial aspect of the tail on the VD view.  This is overall less pronounced than on previous images.  The stomach contains a moderate amount of ingesta.  The small intestines are normal in size.  Gas and feces are present in the colon.  The urinary bladder is distended.  Linear mineral remains visible near the trigone of the urinary bladder.  This appears to be located dorsal to the trigone and urethra based on the current lateral views.  The kidneys remain small with irregular margins.  The remaining abdominal organs are normal.</t>
  </si>
  <si>
    <t>Decreased with partial persistence of irregularity of the hcpcs on ectal.  Inflammation or neoplasia remain possible.  Abdominal ultrasound may be helpful.  Linear mineral in the caudal abdomen appears to be associated with uterine stump and likely represents granuloma rather than within the urinary tract.  Persistent chronic renal changes.  Persistent hepatomegaly.  Static cardiomegaly without current evidence of cardiogenic pulmonary edema.</t>
  </si>
  <si>
    <t>Orthogonal radiographs of the thorax/abdomen, and a VD view of the abdomen are provided. The cardiac silhouette is upper normal size. The heart lies relatively flat along the sternum on the lateral view, an incidental feline variant. This results in incidental prominent aortic arch on the VD projection (aortic knob). There are no abnormalities in the pulmonary parenchyma or pleural space. In the abdomen there is a smoothly irregular round 5.9 cm soft tissue opaque mass in the cranioventral right abdomen. This causes caudal and leftward deviation of the gastric axis. Formed feces in the colon. The stomach and small bowel are minimally filled. The kidneys and spleen are normal size. No radiopaque cystic calculi. Previous healed right femoral fracture and moderate degenerative change in the left coxofemoral joint, of doubtful significance today.</t>
  </si>
  <si>
    <t>1. Cranioventral right abdominal mass, most likely of hepatic origin. Hepatic neoplasia is most likely. A large hepatic cyst or abscess are given lesser consideration._x000D_
2. No definitive thoracic abnormalities. Cardiomyopathy is not ruled out. There is no evidence of heart failure or nodular pulmonary metastatic disease.</t>
  </si>
  <si>
    <t>Abdominal ultrasound is recommended. An echocardiogram should also be considered.</t>
  </si>
  <si>
    <t xml:space="preserve">
1.This result does not detect pulmonary vasculature enlargement._x000D_
2.This result detects no cardiomegaly to equivocal/borderline cardiomegaly. _x000D_
3.This result detects a minimal, or rarely mild interstitial pulmonary pattern._x000D_
4.This result detects a minimal  mild, or rarely moderate bronchial pulmonary pattern._x000D_
5.Rarely, this result detects a minimal alveolar pulmonary pattern._x000D_
6.This result does not detect pulmonary soft tissue nodules._x000D_
7.Rarely, this result detects minimal pleural fissure lines/fluid.</t>
  </si>
  <si>
    <t>WHOLE-BODY (6 radiographs for review). A previous examination is available from 2023._x000D_
_x000D_
- Peritoneal serosal detail remains normal._x000D_
- The stomach contains mild to moderate gas and slightly heterogeneous soft-tissue opaque material._x000D_
- The small intestine contains mostly homogenously soft-tissue/fluid and a small volume of gas._x000D_
- The colon contains formed fecal material and gas._x000D_
- The liver, spleen, kidneys, urinary bladder and remaining abdominal structures are normal._x000D_
- The cardiac silhouette, pulmonary parenchyma, pleural space, trachea and remaining included intrathoracic structures are unremarkable._x000D_
- There is multifocal mineralization of the intervertebral disc spaces in situ in the lumbar region.</t>
  </si>
  <si>
    <t>1. I cannot discreetly appreciate any linear/string-like foreign material throughout the GI tract (and the colon appears to contains just formed fecal material) nor is there plication or other features of mechanical obstruction. In this case, if clinically indicated, you may consider either rechecking abdominal radiographs to further evaluate the progression of the appearance of the stomach and small intestine and/or performing abdominal ultrasonography._x000D_
_x000D_
2. Multiple lumbar mineralized intervertebral discs in situ.</t>
  </si>
  <si>
    <t>Baby Jacobsen. Date of study: 04/1/24. Thoracic radiography (2 view, 4 images. 1 VD, 3 Lateral). No prior radiographs are available for comparison. _x000D_
_x000D_
Neck: The pharynx is gas distended and there is minimal caudal retraction to the larynx._x000D_
_x000D_
Airway/pulmonary findings: The trachea is subjectively reduced in diameter (0.5 cm diameter at thoracic inlet, 0.44 cm diameter intrathoracic) on all views, but is normal in position. The cranial lobar bronchi are also severely narrowed. Alveolar infiltrate is present in the cranial lung lobes, left worse than right, with a consolidated region overlying the left 4th intercostal space. A mild bronchial pattern is present in the caudal lung lobes and these lung lobes are mildly hypoinflated. No pulmonary masses or nodules are present._x000D_
_x000D_
Cardiovascular findings: The cardiac silhouette is mildly enlarged along with mild pericardial fat deposition which is increasing the cardiac silhouette size. The pulmonary vasculature is mildly distended but tapers in the periphery. The caudal vena cava is normal in size._x000D_
_x000D_
Mediastinum: The esophagus between the thoracic inlet and carinal region is gas and fluid distended. The caudal thoracic esophagus appears normal. A soft tissue opacity is dorsal to the S2-3 region. _x000D_
_x000D_
Pleural space: On the VD projection, widening to the pleural space is present bilaterally but no rounding to the caudal lung lobes is noted. No pneumothorax is noted. _x000D_
_x000D_
Cranial abdomen: The liver is normal._x000D_
_x000D_
Musculoskeletal: The cat is overweight. A chronic or congenital abnormality affects S1.</t>
  </si>
  <si>
    <t>The radiographic findings of pharyngeal dilation, tracheal narrowing, hypoinflation and cranioventral pneumonia are more typical of a brachycephalic dog with an upper airway obstruction (see below). _x000D_
_x000D_
1) Left cranial lung lobe focal opacity. Focal pneumonia is suspected over a pulmonary nodule. Additional changes to both cranial lung lobes consistent with pneumonia._x000D_
2) Cranial thoracic esophageal dilation. This is an atypical finding for a cat and warrants further evaluation for persistent esophageal dilation. While there is no history of vomiting or regurgitation, esophageal dysmotility could explain the suspected pneumonia._x000D_
3) Cardiomegaly and pulmonary venous distention. Mild peribronchial infiltrate. DDx: emerging, early or resolving peribronchial edema secondary to cardiac disease vs. unrelated bronchitis._x000D_
4) Tracheal and lobar bronchial narrowing. DDx: inflammation vs. hypoplasia vs. less likely, secondary to hemorrhage._x000D_
5) S2-3 soft tissue opacity consistent with a sternal lymph node.</t>
  </si>
  <si>
    <t>Further evaluation of the upper airway for obstruction. Treatment for aspiration pneumonia. Cardiac ultrasound and see abdominal ultrasound report prior to surgery.</t>
  </si>
  <si>
    <t xml:space="preserve">
1.This result detects a minimal, or rarely mild interstitial pulmonary pattern.  _x000D_
2.This result detects a mild to moderate bronchial pulmonary pattern._x000D_
3.Rarely, this result detects an alveolar pulmonary pattern._x000D_
4.This result does not detect pulmonary vasculature enlargement._x000D_
5.Rarely, this result detects minimal pleural fissure lines/fluid.  _x000D_
6.This result detects none to equivocal/borderline, or uncommonly mild cardiomegaly. </t>
  </si>
  <si>
    <t>Three radiographs of the thorax are provided. Images dated 6/20/22 are available for comparison. The heart and pulmonary vessels are normal size and shape. The heart appears slightly larger on the VD projection due to partial expiration and adjacent fat deposition. There are faint bronchial markings in the lungs, similar to the previous study. No pleural effusion or enlarged intrathoracic lymph nodes. Adequate tracheal diameter. No esophageal dilation. Normal cranial abdomen.</t>
  </si>
  <si>
    <t>Mild bronchial pattern suggestive of chronic airway inflammation such as asthma. This is the most likely cause for coughing. Otherwise normal thorax.</t>
  </si>
  <si>
    <t>Study:_x000D_
Thoracic/abdominal radiography: three images dated April 18, 2024_x000D_
_x000D_
Findings:_x000D_
There is incidental cranioventral rotation of the cardiac silhouette. The cardiac silhouette and pulmonary vasculature are normal in size. The pulmonary parenchyma is unremarkable. The pleural space is normal. There is no intrathoracic lymphadenopathy. The trachea is normal in diameter and course. The abdominal serosal detail is normal. On the left lateral view, there is a 1.8 cm round soft tissue opacity in the pylorus. The small intestines are normal in size, course and content. The colon contains formed fecal material. The liver and spleen are normal in size and margin. The renal silhouettes are normal in size and contour. The urinary bladder is normal in size and opacity. Suture material is present in the mid-ventral abdominal body wall. No skeletal abnormalities present.</t>
  </si>
  <si>
    <t>1. Normal thorax. There is no radiographic evidence of cardiopulmonary disease._x000D_
2. The round soft tissue opacity seen in the pylorus on the left lateral projection may represent food, a foreign body or, less likely, intraluminal mass. The remainder of the abdomen is unremarkable.</t>
  </si>
  <si>
    <t>Abdominal sonography can be considered for further evaluation of the reported weight loss.</t>
  </si>
  <si>
    <t>Three radiographs of the thorax and of the abdomen are provided. The heart and pulmonary vessels are normal size. The lungs are clear. Fat deposition encircles the heart on the VD projection. There is no pleural effusion or enlarged intrathoracic lymph nodes. The patient is overweight. In the abdomen the urinary bladder is mildly filled and contains several (at least four) well-defined smoothly marginated mineral opaque calculi measuring up to 1.0 cm. No abnormalities along the plane of the urethra or in the region of the medial iliac lymph nodes. The kidneys, spleen, and liver are normal size and shape. The gastrointestinal tract is mildly filled. Osseous structures are unremarkable.</t>
  </si>
  <si>
    <t>Cystic calculi, measuring up to a size that is too large to pass the urethra. Subsequent cystitis is likely. Otherwise normal abdomen and thorax.</t>
  </si>
  <si>
    <t>Urinalysis with culture, treatment for cystitis, and diet modification in an effort to dissolve the calculi and prevent further formation should be considered.</t>
  </si>
  <si>
    <t>Study:_x000D_
Thoracic radiography: three images dated April 17,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included abdomen is unremarkable. The osseous structures are unremarkable/age appropriate.</t>
  </si>
  <si>
    <t>The mild generalized bronchial pulmonary pattern may indicate allergic/inflammatory bronchitis (asthma). Infectious, parasitic and irritant bronchitis are also possible. Infectious respiratory disease PCR testing, airway sampling plus/minus Baermann fecal flotation can be considered for further evaluation. Alternatively, a antibiotic trial for possible infectious bronchitis can be considered before empiric medical management for possible asthma.</t>
  </si>
  <si>
    <t>4 images of the thorax are provided for review.  The cardiovascular structures are normal.  Several, variably sized, soft tissue nodules are present throughout the pulmonary parenchyma.  Increased bronchial markings are also present in all lung lobes.  The mediastinal and pleural structures are normal.  Cranial abdominal detail is adequate.</t>
  </si>
  <si>
    <t>Moderate bronchial pulmonary pattern.  Considerations include asthma, heartworm, lungworm, atypical infection, bronchitis.  Consider empiric therapy versus further diagnostics such as heartworm testing, Baermann fecal, airway sampling.  Additional nodules may represent parasitic cysts, abscesses, fungal infection, less likely neoplasia patient of this age.  Fungal testing may also be helpful in addition to the previously listed diagnostics.</t>
  </si>
  <si>
    <t>Three radiographs of the thorax in three views of the abdomen are provided. Images dated 8/11/23 are available for comparison. The cardiac silhouette is upper normal size to mildly enlarged, larger than on the previous study. Pulmonary vessels are normal size. Faint bronchial markings in the lungs. No pleural effusion. Soft tissue bulge along the cranial left aspect of the heart on the VD projection is normal aortic arch._x000D_
_x000D_
In the abdomen there is large volume formed/desiccated feces in the colon. Fecal: measures up to 2.6 cm diameter. The stomach and small bowel are minimally distended. Normal-sized liver, spleen, left kidney. The right kidney is reduced in size, similar to the previous study. No radiopaque urolithiasis.</t>
  </si>
  <si>
    <t>1. Constipation._x000D_
2. Equivocal mild cardiomegaly. Coupled with the murmur this is concerning for cardiomyopathy. There is no evidence of heart failure._x000D_
3. Reduced right renal size as before consistent with chronic renal disease._x000D_
4. Faint bronchial markings, noted on the previous study and of doubtful clinical significance at this time.</t>
  </si>
  <si>
    <t>An echocardiogram is recommended. If hyporexia and vomiting persists, abdominal ultrasound would be recommended.</t>
  </si>
  <si>
    <t>Study:_x000D_
Thoracic/abdominal radiography: three images dated April 17,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There is a 1.5 cm mineral opacity small intestinal loop in the right cranial abdomen. The continuation this loop dorsally is moderately dilated. A small amount mineral material is also present in a small intestinal segment in the caudodorsal abdomen. The colon contains a small amount of poorly formed fecal material. The liver and spleen are normal in size and margin. The renal silhouettes are normal in size and contour. The urinary bladder is normal in size and opacity. There is no prostatomegaly. No skeletal abnormalities are present.</t>
  </si>
  <si>
    <t>1. Enteric mineral opaque foreign body and suspected secondary mechanical obstruction._x000D_
2. Normal thorax.</t>
  </si>
  <si>
    <t>Given the length of time from the exam, recommend repeat radiography to monitor for persistence or passage of the foreign body (especially of the patient has received supportive care in the interim).</t>
  </si>
  <si>
    <t>4 images of the entire body are provided.  Abdomen is requested for review.  Serosal detail is adequate in all quadrants.  The stomach contains a small amount of gas and the rugal folds are prominent.  The small intestines are normal in size.  Gas and feces present in the colon.  The urinary bladder is moderately distended.  The kidneys are normal in size with mildly irregular margins.  The remaining abdominal organs are normal.</t>
  </si>
  <si>
    <t>Prominent rugal folds suggestive of gastritis.  This does not rule out underlying pancreatitis or infiltrative neoplasia.  Abdominal ultrasound could be considered in further evaluation.  Mildly irregular renal margins may indicate underlying chronic renal disease or polycystic disease.  Correlation with urinalysis and serum biochemistry may be helpful.</t>
  </si>
  <si>
    <t>3 views of the thorax are provided for review. There is a severe bronchial pattern in all lung lobes.  The cardiac silhouette is widened in the region of the atria.  The visible pulmonary vasculature is normal in size.  The mediastinal and pleural structures are normal.  Cranial abdominal detail is adequate.</t>
  </si>
  <si>
    <t>Severe bronchial pulmonary pattern.  Considerations include asthma, heartworm, lungworm, atypical infection, bronchitis.  Consider empiric therapy versus further diagnostics such as heartworm testing, Baermann fecal, airway sampling.  Cardiomegaly without current evidence of cardiogenic pulmonary edema.  Echocardiography, proBNP, and thyroid testing may be helpful in further evaluation.</t>
  </si>
  <si>
    <t xml:space="preserve">
1.This result detects a minimal to mild, or rarely moderate interstitial pulmonary pattern.  _x000D_
2.This result detects a minimal to mild, or rarely moderate bronchial pulmonary pattern._x000D_
3.Rarely, this result detects a minimal to mild alveolar pulmonary pattern._x000D_
4.Rarely, this result detects minimal pulmonary vasculature enlargement._x000D_
5.This result  detects minimal to mild, or rarely moderate pleural fissure lines/fluid._x000D_
6.This result detects mild to moderate cardiomegaly.</t>
  </si>
  <si>
    <t>If the patient is dyspneic, or has severe or progressive respiratory clinical signs, rule out left-sided congestive heart failure.  If left-sided heart failure is ruled out, then differential diagnoses for the bronchial and interstitial pulmonary patterns include: infectious/immune-mediated lower airway disease such as from feline asthma or mycoplasma spp., or less likely atypical/evolving neoplasia (metastatic or unlikely primary, especially in an older patient), evolving bronchopneumonia/aspiration pneumonia (especially with cranioventral distribution of alveolar pattern or a younger patient), or unlikely other such as hemorrhage from systemic coagulopathy, contusion from trauma, or other.   Differential diagnoses for an alveolar pattern include: left-sided congestive heart failure, atelectasis or bronchial plugging such as from concurrent infectious/inflammatory lower airway disease (i.e. feline asthma) or unlikely bronchopneumonia, evolving neoplasia, compresison from pleural space disease, or other. Differential diagnoses for pleural fluid include: left-sided congestive heart failure, or less likely chylous, idiopathic, malignant effusion, hemorrhage, or unlikely other.  If the volume is minimal, then also consider: tangential beam artifact, pleural thickening/fold. Differential diagnoses for cardiomegaly include: hypertrophic or thyrotoxic cardiomyopathy in a mature or older patient, or congenital anomaly in a very young patient, or unlikely heartworm disease (unless in edemic areas).</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</si>
  <si>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Mineral is present in the renal diverticula.</t>
  </si>
  <si>
    <t>Radiographically normal thorax for patient of this age.  Renal mineralization indicate chronic change.</t>
  </si>
  <si>
    <t>Correlation with serum biochemistry and urinalysis results may be helpful.</t>
  </si>
  <si>
    <t>Three radiographs of the thorax and three views of the abdomen are provided. The cardiac silhouette is mildly enlarged. Pulmonary vessels and caudal vena cava are normal size. There are no abnormalities in the pulmonary parenchyma. No pleural effusion or intrathoracic lymphadenomegaly. Mild degenerative change in both shoulders._x000D_
_x000D_
In the abdomen the right kidney is reduced in size. The urinary bladder is mildly filled. Punctate mineral density overlying the bladder on the left lateral view is not persistent and is likely superficial debris. Formed feces fills the distal colon. Small intestines are moderately gas-dilated. Small volume gas in the stomach. Undulating soft tissue density overlying the gastric fundus on the VD projection is collapsed rugal folds. No radiopaque gastrointestinal foreign material. Normal-sized liver and spleen. Osseous structures are normal opacity for age. Narrowed T13-L1, L5-6, L6-7, L7-S1 intervertebral disc spaces, of doubtful clinical significance today.</t>
  </si>
  <si>
    <t>1. Mild cardiomegaly, most consistent with cardiomyopathy. Actual cardiac size is likely underestimated due to hypovolemia. No other thoracic abnormalities._x000D_
2. Reduced right renal size consistent with renal disease._x000D_
3. Gas-filled intestines consistent with aerophagia. No other gastrointestinal abnormalities.</t>
  </si>
  <si>
    <t>A CBC, blood chemistry profile, thyroid evaluation, and echocardiogram are recommended.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</si>
  <si>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left kidney is small and the right kidney is at the lower limits of normal for size.  The remaining abdominal organs are normal.</t>
  </si>
  <si>
    <t>Small left kidney suggestive of chronic renal disease.  Radiographically normal thorax for patient of this age.</t>
  </si>
  <si>
    <t>Six orthogonal survey radiographs of the thorax and abdomen dated 15th April 2024 are available for review. These are compared with previous radiographs dated 4th April 2023._x000D_
_x000D_
Thorax: _x000D_
Airway findings: The cervical and thoracic trachea have a normal size, outline and position. The carina, tracheal bifurcation and mainstem bronchi are normal. There is a mild mainly caudal dorsal bronchointerstitial pattern._x000D_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The outline of the right kidney is minimally irregular, with a normal size. The left kidney is slightly small, with a normal outline. The urinary bladder is normal. The spleen is enlarged, with a smooth outline. The stomach is mainly empty with a normal axis. The small intestines are distributed evenly and are within normal limits for shape, size and contents. The ascending, transverse and descending colon have a normal position and contain gradually more formed faeces. Dorsal to the descending colon there are small spherical soft tissue nodules. _x000D_
_x000D_
Musculoskeletal findings:  The superficial inguinal lymph nodes appear prominent.</t>
  </si>
  <si>
    <t>1. Mild caudal dorsal bronchointerstitial pattern: This may be due to hypoinflation, however lower airway infectious-inflammatory disease (viral-bacterial bronchitis, fungal bronchitis, lung worm, less likely heartworm) should be considered. Lymphoma cannot be excluded._x000D_
2. Mild splenomegaly: differential diagnoses include passive congestion from sedation (if administered), splenitis, extramedullary hematopoiesis, lymphoid hyperplasia, or neoplasia._x000D_
3. Enlarged medial iliac, colonic, and superficial inguinal lymph nodes: This may be reactive, indicative of diffuse lymphadomegaly (lymphoma, systemic disease).</t>
  </si>
  <si>
    <t>Correlate with palpation testing for upper respiratory disease. 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 _x000D_
Consider FNA of peripheral lymph nodes if enlarged. Depending on clinical progression, consider a complete abdominal ultrasonographic examination including FNA of the spleen after a normal coagulation test.</t>
  </si>
  <si>
    <t>7 images of the thorax and abdomen are presented for review.  The cardiovascular and pulmonary structures are normal.  The pleural and mediastinal structures are normal.  Abdominal serosal detail is adequate in all quadrants.  The stomach contains a large amount of soft tissue material.  The small intestines are normal in size.  Gas and feces are present in the colon.  The urinary bladder is small.  The remaining abdominal organs are normal.</t>
  </si>
  <si>
    <t>Radiographically normal thorax.  Material within the stomach may represent residual ingesta or foreign material.</t>
  </si>
  <si>
    <t xml:space="preserve">Patient Name: KING BURRIESCI, Date of study: Apr 15, 2024
4 images are provided for review. As requested the abdomen is interpreted. 
There are no previous radiographs for comparison.
Findings:
The stomach contains a minimal amount of heterogeneous ingesta. No mineral/bone fragments are identified. The small intestine is primarily soft tissue opaque and diffusely normal in diameter and distribution. There is normal serosal detail. The liver is mildly enlarged with the caudal margin being rounded and extending beyond the costal arch. The spleen and kidneys are normal in size and margination. The urinary bladder is moderately distended and normal in opacity. The skeletal structures are unremarkable. 
</t>
  </si>
  <si>
    <t xml:space="preserve">1. Mild hepatomegaly. - Differential diagnoses include vacuolar change, nodular hyperplasia, hepatitis/cholangiohepatitis or unlikely neoplasia.  
2. Normal small and large intestines with minimal gastric ingesta. The gastric content is most consistent with a recent meal. 
-There is no evidence of a mechanical obstruction. </t>
  </si>
  <si>
    <t>Abdominal ultrasonography and/or hepatic tissue sampling for further evaluation of the liver if clinically indicated. CBC/serum biochemistry to screen for occult systemic disease if not already performed.</t>
  </si>
  <si>
    <t>6 radiographs of the torso are submitted for review.  The stomach contains a mild amount of ingesta.  The small bowel is normal in uniform diameter.  A moderate to large amount of formed stool is noted throughout the colon.  The liver and spleen are normal in size, shape, and margination.  The bilateral renal silhouettes are within normal limits.  The urinary bladder is unremarkable, without evidence of radiopaque calculi.  Serosal detail is normal._x000D_
In the thorax, the cardiovascular structures are within normal limits.  No definitive pulmonary parenchymal abnormalities are seen.  No pleural or mediastinal abnormalities are noted._x000D_
No significant osseous abnormalities are seen.</t>
  </si>
  <si>
    <t>Radiographically normal thorax and abdomen. The appearance of the colon is consistent with constipation although no radiographic evidence of an underlying cause is seen.</t>
  </si>
  <si>
    <t>Correlation with blood work and urinalysis may be indicated.</t>
  </si>
  <si>
    <t>Study:_x000D_
Thoracic/abdominal radiography: three images dated April 15, 2024_x000D_
_x000D_
Findings:_x000D_
The cardiac silhouette and pulmonary vasculature are normal in size. The pulmonary parenchyma is unremarkable. The pleural space is normal. There is no intrathoracic lymphadenopathy. The trachea is normal in diameter and course. There is no esophageal dilation.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</si>
  <si>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 There is no radiographic evidence of cardiopulmonary disease.</t>
  </si>
  <si>
    <t>Three radiographs of the thorax, and three views of the abdomen are provided. The caudal head/neck are included on the lateral thoracic views. The cardiac silhouette is upper normal size. The heart lies relatively flat along the sternum, an incidental aged feline variant. This causes the aortic arch to appear prominent on the VD view. A mild bronchial pattern is present. No pleural effusion or enlarged intrathoracic lymph nodes. Adequate tracheal diameter. Possible mild soft tissue thickening ventral to the caudal mandibles, but no discrete mass lesion or evidence of adjacent lysis or sclerosis. One of the tympanic bullae is mildly thickened. No laryngeal abnormalities._x000D_
_x000D_
In the abdomen the kidneys, spleen, and liver are normal size. The gastrointestinal tract is mildly filled. Several small mineral opaque fragments in the intestines are likely incidental. The urinary bladder is distended and soft tissue opaque. No lumbar spinal abnormalities. The coxofemoral joints are congruent. There are enthesophytes on the distal patellas, and several small mineralized bodies within the stifle joints.</t>
  </si>
  <si>
    <t>1. Equivocal caudal submandibular thickening, consider lymphadenopathy, abscess/cellulitis, neoplasia, sialocele._x000D_
2. Mild bronchial pattern suggestive of chronic airway inflammation. In the absence of associated respiratory signs, significance is doubtful. Otherwise normal thorax._x000D_
3. Thickened tympanic bulla, typically due to otitis media. This could be due to current or previous insult._x000D_
4. Bilateral stifle osteoarthrosis. The intra-articular osseous bodies are consistent with incidental meniscal mineralization, a relatively common finding in older feline patients._x000D_
5. Normal abdomen.</t>
  </si>
  <si>
    <t>Consider fine-needle aspirates and potentially ultrasound evaluation of the mandibular swelling.</t>
  </si>
  <si>
    <t>Study:_x000D_
Thoracic radiography: three images dated April 15, 2024_x000D_
_x000D_
Findings:_x000D_
The cardiac silhouette and pulmonary vasculature are normal in size. There is a moderate generalized bronchial pulmonary pattern. The pleural space is normal. There is no intrathoracic lymphadenopathy. The trachea is normal in diameter and course. The stomach contains unstructured heterogeneous soft tissue material presumed to be ingesta. No skeletal abnormalities are present._x000D_
_x000D_
Human digits are present in the primary beam on the VD view.</t>
  </si>
  <si>
    <t>The moderate generalized bronchial pulmonary pattern likely indicates allergic/inflammatory bronchitis (asthma) given the reported response to cortical steroid therapy. Infectious, parasitic and irritant bronchitis are also possible. Airway sampling plus/minus heartworm testing and Baermann fecal flotation can be considered for further evaluation. Alternatively, continued medical management for asthma can be considered.</t>
  </si>
  <si>
    <t xml:space="preserve">
1.This result detects a minimal to mild interstitial pulmonary pattern.  _x000D_
2.This result detects a minimal to mild, or rarely moderate bronchial pulmonary pattern._x000D_
3.Uncommonly, this result detects a minimal to moderate alveolar pulmonary pattern._x000D_
4.Uncommonly, this result detects pulmonary soft tissue or cavitary nodules._x000D_
5.This result detects equivocal/borderline to mild, or rarely moderate cardiomegaly._x000D_
6.This result does not detect pulmonary vasculature enlargement._x000D_
7.Rarely, this result detects minimal pleural fissure lines/fluid.  </t>
  </si>
  <si>
    <t xml:space="preserve">Some bronchial patterns may mimic pulmonary soft tissue nodules due to bronchial plugging, or granuloma from prior disease.   Some alveolar patterns may mimic pulmonary soft tissue nodules or masses.  If a lesion is producing a mass effect, with mediastinal displacement contralateral to the lesion, a mass is prioritized.  If the patient is young, and/or a mediastinal shift is present ipsilateral to the lesion, an alveolar pattern is prioritized. This may be exacerbated if technical errors/artifacts (obliquity, motion, etc.) are present in the image.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Granulomatous/fungal disease (such as blastomycosis spp.) is unlikely, unless the patient has an appropriate travel/exposure history.  Differential diagnoses for an alveolar pattern include: atelectasis or bronchial plugging such as from concurrent infectious/inflammatory lower airway disease (i.e. feline asthma) or evolving neoplasia, less likely bronchopneumonia, or unlikely other. Differential diagnoses for a bronchial and interstitial pulmonary pattern include: infectious/immune-mediated lower airway disease (such as mycoplasma spp., parasitism, or feline asthma), atypical metastatic/multicentric neoplasia, or unlikely other. Differential diagnoses for minimal pleural fluid include: tangential beam artifact, pleural thickening/fold, malignant effusion, chylous, idiopathic, or unlikely hemorrhage or other. Differential diagnoses for cardiomegaly include: phase of the cardiopulmonary cycle, patient positioning/technique, individual variation of normal (especially in younger patients), or evolving cardiomyopathy (such as hypertrophic or thyrotoxic cardiomyopathy). </t>
  </si>
  <si>
    <t xml:space="preserve">
If the patient has clinical signs consistent with bronchopneumonia or active infectious/inflammatory lower airway disease, then consider empirical therapy and supportive care in the interim as needed._x000D_
Consider computed tomography of the thorax for further evaluation of pulmonary soft tissue nodules/masses.  Consider tissue sampling if lesions are confirmed, and oncologist consultation depending on results._x000D_
Consider respiratory PCR panel, fecal analysis/empirical deworming, and airway sampling (such as with broncho-alveolar lavage, BAL) for further evaluation._x000D_
Consider echocardiography, ECG and blood pressure._x000D_
Consider routine blood work and urinalysis, if not recently performed._x000D_
If your clinical impression of this patient does not match the content of this result, consider submitting the radiographs for a formal radiologist report.</t>
  </si>
  <si>
    <t>Three radiographs of the thorax/abdomen are provided. The cardiac silhouette and pulmonary vessels are normal size and shape. The lungs are clear. No pleural effusion or esophageal abnormalities. In the abdomen there is moderate volume formed soft tissue density stippled with gas filling the stomach. Small bowel are mildly filled with fluid and gas. Punctate metal density overlying the mid ventral abdomen is likely incidental. Small volume formed feces in the colon. No effusion. Normal size liver, spleen, kidneys. No radiopaque urolithiasis. Osseous structures are unremarkable.</t>
  </si>
  <si>
    <t>1. Gastric contents appears to be normal ingesta. I cannot rule out the possibility that all or a portion of gastric contents is foreign material. No other intra-abdominal abnormalities._x000D_
2. Normal thorax.</t>
  </si>
  <si>
    <t>Routine blood work, supportive care, and repeat fasted abdominal radiographs +/- positive contrast gastrogram should be considered to rule out gastric foreign material.</t>
  </si>
  <si>
    <t>THORAX (2 radiographs for review). No previous examinations for comparison._x000D_
_x000D_
- Excessive body habitus._x000D_
- Mild diffuse bronchial pattern._x000D_
- Mild pulmonary hyperinflation._x000D_
- Prominent aortic root._x000D_
- Remainder of the cardiac silhouette, pulmonary vasculature, pulmonary parenchyma normal._x000D_
- Trachea, pleural space, esophagus, mediastinum normal._x000D_
- Stomach contains mild gas stippled soft-tissue opaque material and gas._x000D_
- Small intestine mild multifocal gas and soft-tissue opaque material._x000D_
- Colon contains gas and formed fecal material._x000D_
- Liver, spleen and kidneys normal._x000D_
- Minimal mid-thoracic spondylosis deformans.</t>
  </si>
  <si>
    <t>1. A discrete cause for the reported episode is not clearly identified._x000D_
_x000D_
2. Prominent aortic root can be an incidental finding in older cats, however does have an association with systemic hypertension, which can lead to concentric cardiac remodeling which is not distinctly appreciated here however radiographs have poor sensitivity for detection). Systemic blood pressure measurement might be considered._x000D_
_x000D_
3.  Mild diffuse bronchial pattern with pulmonary hyperinflation. Most compatible with chronic lower airway disease with secondary air-trapping. The primary differential diagnosis is feline asthma. Chronic bronchitis of infectious (e.g. parasitic, bacterial) vs. inhaled irritant or allergic etiologies may also be possible._x000D_
_x000D_
4. Recent meal._x000D_
_x000D_
5. Excessive body habitus.</t>
  </si>
  <si>
    <t xml:space="preserve">Patient Name : Harley Hart, Date of study: Apr 15, 2024
3 images are provided for review
Feline Thorax (3 Images) - 2 Lateral, 1 Vd
There are no previous radiographs for comparison.
Pulmonary parenchyma: A mild interstitial pattern is present in the left lungs in the ventrodorsal image, and in the cranioventral lungs in the lateral images.  A minimal diffuse interstitial and bronchial pattern are also present.
Pulmonary vasculature: The pulmonary vasculature are equivocally prominent in the caudodorsal lungs.  
Cardiac silhouette: The cardiac silhouette is equivocally tall in the lateral images.  The cardiac silhouette is rounded in the ventrodorsal image, but this is exacerbated by pericardial fat.
Mediastinum: The cranial mediastinum is normal.
Trachea: The trachea is normal.
Esophagus: The esophagus is not well-identified.
Pleural space: The pleural space is normal.
Musculoskeletal: The patient is obese.  The remaining included musculoskeletal structures are normal.
</t>
  </si>
  <si>
    <t>1. Equivocal generalized cardiomegaly and pulmonary vasculature enlargement versus artifact from positioning/technique and phase of the cardiac cycle.
- If present, this may be due to early/evolving left-sided congestive heart failure.  
2. Mild focal interstitial pulmonary pattern may be due to evolving left-sided congestive heart failure, pneumonia/bronchopneumonia, or unlikely other, versus artifact from atelectasis/hypoinflation or a combination of these.
3. Minimal diffuse interstitial bronchial pulmonary patterns.  
- Differential diagnoses include Infectious/immune-mediated chronic lower airway disease such as from feline asthma versus other, fibrosis from prior disease, age-related changes, or a combination of these. 
4. Obesity.</t>
  </si>
  <si>
    <t xml:space="preserve">Rule out underlying/evolving cardiac disease as an etiology of reported clinical signs. If dyspnea manifests in the interim, consider diuretic trial, oxygen therapy and repeat thoracic radiographs after 4-6 hours to monitor the pulmonary pattern for progression/resolution.  If cardiac disease is ruled out, consider instead underlying immune-mediated/infectious lower airway disease such as from asthma and/or mycoplasma spp. or unlikely parasitism/other as etiologies of coughing/sneezing.  Respiratory PCR panel and airway sampling may be beneficial for further evaluation in this case.  Empirical therapy and supportive care for cough in the interim as needed.  Monitoring as directed, or sooner if signs acutely change or worsen in the face of empirical therapy.  
</t>
  </si>
  <si>
    <t>Right lateral and dorsoventral whole body radiographs (2 images) dated April 15, 2024._x000D_
_x000D_
_x000D_
There is a fairly large amount of amorphous soft-tissue/fluid in the pleural space that is bilaterally symmetrical and resulting in partial border effacement of the cardiac silhouette and diaphragm and border effacement of the caudal vena cava and cranial mediastinum. With that limitation, no obvious cardiomegaly is appreciable. The caudal pulmonary lobar vessels are prominent in diameter, the VD view. There is significant rounding and retraction of the lung lobes and atelectasis of the right cranial lung lobe and cranial segment of the left cranial lung lobe. No obvious abnormalities are appreciable in the aerated lungs._x000D_
The abdomen contains wispy soft-tissue striations that represents peritoneal effusion. The stomach is fairly distended with gas contains a small amount of heterogeneous soft-tissue content. The small intestine is mostly empty and unremarkable and course. The colon contains a large money gas and has formed stool. The left kidney is small and irregular in shape. The right kidney measures borderline small in size and appears unremarkable in shape. The urinary bladder is mildly distended with homogeneous fluid opacity, and there is a pinpoint mineral focus measuring 2 mm in diameter superimposed with the cranial central bladder on lateral view. No abnormalities are appreciated in the liver or spleen. There is a focal area of irregular mineralization and just lateral and to the right of L1-L2 on the VD view. This is potentially residing dorsally on the lateral view, and may represent mineralization of the right adrenal gland. No aggressive or clinically significant osseous pathology is identified.</t>
  </si>
  <si>
    <t>1. Bicavitary effusion (pleural and peritoneal). Primary differentials are round cell neoplasia vs. right congestive heart failure vs. hemorrhage/coagulopathy vs. less likely vasculitis or hypoproteinemia._x000D_
2. Small and irregularly shaped kidneys are features consistent with chronic renal disease._x000D_
3. Suspect nonobstructive cystolith. Rule out calcium oxalate vs. struvite vs. mixed stone type. Superimposed external debris is considered less likely._x000D_
4. Right dorsal abdominal focus of mineralization is suspected to represent right adrenal mineralization. This is typically an incidental finding in cats. An adrenal tumor is less likely._x000D_
5. Enlarged caudal lobar pulmonary vessels. This could be artifactual on the DV projection vs. represent subclinical cardiac disease vs. less likely heartworm.</t>
  </si>
  <si>
    <t>Bilateral thoracocentesis to drain as much fluid as possible, followed by recheck radiographs or thoracic CT. Fluid analysis and cytology +/- culture of the fluid. Abdominal ultrasound, cardiac proBNP, systemic blood pressure evaluation. Echocardiogram could be considered if there is highly concerning for right heart failure.</t>
  </si>
  <si>
    <t xml:space="preserve">
1.This result detects moderate to severe, or less commonly mild cardiomegaly._x000D_
2.This result detects a mild to moderate bronchial pulmonary pattern._x000D_
3.Uncommonly, this result detects a minimal to severe alveolar pulmonary pattern._x000D_
4.Rarely, this result detects minimal pulmonary vasculature enlargement._x000D_
5.This result commonly detects minimal to moderate, or rarely severe pleural fissure lines/fluid._x000D_
6.This result detects a mild to moderate, or rarely severe interstitial pulmonary pattern.  </t>
  </si>
  <si>
    <t>Three radiographs of the thorax and three views of the abdomen are provided. Images dated 2/16/22 are available for comparison. The cardiac silhouette is normal size and shape. Pulmonary vessels are normal size. There is a mild bronchial pattern throughout the lungs, similar to the previous study. No pleural effusion or intrathoracic lymphadenomegaly. Tracheal diameter and position are normal. No esophageal dilation. The abdomen the liver is upper normal size with smooth margins. There is no effusion. Moderate volume soft tissue opaque ingesta fills the stomach. Normal-sized spleen and kidneys. The gastrointestinal tract is moderately filled. No radiopaque urolithiasis. Osseous structures are unremarkable.</t>
  </si>
  <si>
    <t>Unchanged mild bronchial pattern suggestive of chronic airway inflammation such as asthma. No other abnormalities are identified to explain the respiratory signs. A reason for lethargy and weight loss is not identified. Otherwise normal thorax and abdomen.</t>
  </si>
  <si>
    <t xml:space="preserve">
1.Rarely, this result detects minimal pleural fissure lines/fluid.  _x000D_
2.This result detects equivocal/borderline to mild, or rarely moderate cardiomegaly. _x000D_
3.This result does not detect pulmonary vasculature enlargement._x000D_
4.This result detects none, or a minimal to mild interstitial pulmonary pattern.  _x000D_
5.This result detects none, or a minimal to mild bronchial pulmonary pattern._x000D_
6.Rarely, this result detects a minimal to mild alveolar pulmonary pattern._x000D_
7.This result does not detect pulmonary soft tissue nodules.</t>
  </si>
  <si>
    <t>Opposite lateral and ventrodorsal thoracic radiographs (3 images) dated April 15, 2024._x000D_
_x000D_
_x000D_
The cardiac silhouette, pulmonary vasculature, and great vessels are within normal limits. The pulmonary parenchyma has a moderate-severe diffuse bronchial pattern with wall thickening and peribronchial unstructured interstitial cuffing. No pulmonary nodules or other pathology is detected. The pleural space and diaphragm are normal. No mediastinal abnormalities are appreciated. The trachea is normal in diameter and course with gas filling its lumen. No intrathoracic lymphadenopathy is evident._x000D_
The liver is mildly enlarged. The remainder of the included abdomen is unremarkable._x000D_
No aggressive or clinically significant osseous pathology is identified.</t>
  </si>
  <si>
    <t>1. Moderate diffuse bronchial pattern. In this clinical context infectious bronchitis is prioritized over allergic/inflammatory bronchitis or chronic inhaled irritants._x000D_
2.Mild hepatomegaly. Rule out a benign metabolic/vacuolar hepatopathy vs. unlikely inflammatory and infiltrative conditions (ex: FIP).</t>
  </si>
  <si>
    <t>Airway sampling may be needed for definitive diagnosis (bronchoalveolar lavage or transtracheal wash).  Heartworm testing and fecal parasite screening (float and Baermann).  Empirical antibiotic therapy is reasonable to consider.  Internal medicine consultation if the patient remains clinical despite treatment and the cause remains unknown.</t>
  </si>
  <si>
    <t>Study:_x000D_
Thoracic radiography: three images dated April 15,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amount of unstructured heterogeneous soft tissue material presumed to be ingesta. The included abdomen is otherwise unremarkable. No skeletal abnormalities are present.</t>
  </si>
  <si>
    <t>Normal thorax. There is no radiographic evidence of cardiopulmonary disease. A cause of coughing is not evident. Lack of a bronchial pulmonary pattern does not exclude the possibility of allergic/inflammatory, infectious, inhaled irritant or parasitic bronchitis.</t>
  </si>
  <si>
    <t>Airway sampling plus/minus heartworm testing and Baermann fecal flotation can be considered to further evaluate for possible lower airway disease.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</si>
  <si>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 tubular soft tissue structure in the caudal ventral abdomen is persistently dilated.  The definitive small intestines are normal in size.  Gas and feces are present in the colon.  The urinary bladder is small.  The remaining abdominal organs are normal.</t>
  </si>
  <si>
    <t>Suspect focal intestinal dilation concerning for a mass in this region based on the history provided and signalment.  Other origin such as lymph node enlargement or small intestinal obstruction cannot be completely excluded.  Radiographically normal thorax for patient of this age.</t>
  </si>
  <si>
    <t xml:space="preserve">
1.This result detects equivocal/borderline to mild cardiomegaly. _x000D_
2.This result does not detect pulmonary vasculature enlargement._x000D_
3.This result does not detect pleural fissure lines/fluid.  _x000D_
4.This result detects a minimal to mild interstitial pulmonary pattern.  _x000D_
5.This result detects a minimal to mild, or rarely moderate bronchial pulmonary pattern._x000D_
6.Rarely, this result detects a minimal alveolar pulmonary pattern.</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</si>
  <si>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reduced and the abdomen is distended.  The stomach contains a small amount of gas.  The small intestines are normal in size.  Gas and feces are present in the colon.  The kidneys are small with mildly irregular margins.  The remaining abdominal organs are not fully visualized.</t>
  </si>
  <si>
    <t>Free peritoneal fluid.  Abdominal ultrasound may be helpful.  Chronic renal changes.  Radiographically normal thorax for patient of this age.</t>
  </si>
  <si>
    <t>WHOLE-BODY (2 radiographs for review). No previous examinations for comparison._x000D_
_x000D_
- Peritoneal serosal detail is mildly limited._x000D_
- Liver is  moderately enlarged, with rounded margins._x000D_
- Spleen is moderately enlarged, with rounded margins._x000D_
- Stomach contains mild gas stippled soft-tissue opaque material and gas._x000D_
- Small intestine contains mild multifocal soft-tissue/fluid and gas._x000D_
- Colon contains mildly desiccated formed fecal material and gas._x000D_
- Kidneys appear prominent but not distinctly abnormally marginated bilaterally._x000D_
- Urinary bladder normal._x000D_
- Subtle unstructured interstitial pattern in the left cranial lung lobe on the VD projection does not persist orthogonally, however a right lateral projection is not provided._x000D_
- Cardiac silhouette, pulmonary vasculature, pleural space, trachea, esophagus, mediastinum and remaining included intrathoracic structures are normal.</t>
  </si>
  <si>
    <t>1. This is a challenging case. There is nonspecific hepatosplenomegaly present as well as prominent kidneys that given the patient is younger would be more consistent with benign etiologies such as metabolic hepatopathy and splenic extramedullary hematopoiesis (given the reported non-regenerative anemia). Cholangiohepatitis/splenitis or neoplasia such as lymphoma are possible but seem less likely. I would consider abdominal ultrasonography in this patient and fine needle aspiration of the hepatic and splenic parenchyma, particularly if there are biochemical abnormalities indicating their dysfunction._x000D_
_x000D_
2. Mild constipation. Otherwise unremarkable gastrointestinal tract. Radiographic sensitivity for gastrointestinal functional ileus (e.g. gastroenteritis, such as from parasitism, dietary indiscretion, etc) might be limited, and ultrasonography be considered for further assessment._x000D_
_x000D_
3. Unstructured interstitial pattern in the left cranial lung lobe most likely representing incidental pulmonary atelectasis. A component of pneumonia is not to be excluded as the region is not included orthogonally. It may be worthwhile to perform a right lateral radiograph, particularly if the patient has/develops coughing or respiratory signs.</t>
  </si>
  <si>
    <t>WHOLE-BODY (3 radiographs for review). No previous examinations for comparison._x000D_
_x000D_
- Peritoneal serosal detail is normal._x000D_
- The stomach is mildly distended with gas and contains mild gas stippled soft-tissue opaque material._x000D_
- The small intestine contains mild multifocal gas and soft-tissue/fluid._x000D_
- The colon contains gas and gas stippled formed fecal material._x000D_
- The liver is moderately enlarged, with rounded margins._x000D_
- Spleen, kidneys, urinary bladder and remaining abdominal structures are normal._x000D_
- Cardiac silhouette, pulmonary vasculature, pulmonary parenchyma, pleural space normal._x000D_
- Mild widening of the cranial mediastinum most likely due to excessive fat deposition._x000D_
- No obvious musculoskeletal abnormalities identified.</t>
  </si>
  <si>
    <t>1. Moderate hepatomegaly. DDx metabolic (vacuolar) hepatopathy secondary to the clinically suspected diabetes and/or chronic corticosteroid administration, less likely cholangiohepatitis, congestion or neoplasia. Sonographic assessment of the liver +/- FNA may be considered._x000D_
_x000D_
2. Otherwise radiographically unremarkable abdomen without discrete cause for the reported weight loss. _x000D_
_x000D_
3. Excessive cranial mediastinal fat deposition. Otherwise normal thorax.</t>
  </si>
  <si>
    <t>THORAX (three radiographs for review). Most recent previous examination from 2022._x000D_
_x000D_
- Progressively excessive body habitus, with increased pericardiac fat deposition_x000D_
- The previously described mild diffuse bronchial pattern is similar, characterized again by multiple thickened end-on lower airways and mild pulmonary hyperinflation._x000D_
- Cardiac silhouette, pulmonary vasculature, pleural space, trachea, mediastinum and remaining included intrathoracic structures normal._x000D_
- Stomach contains mild gas and soft-tissue/fluid._x000D_
- Colon contains mildly desiccated formed fecal material._x000D_
- Liver, spleen, kidneys, urinary bladder and remaining included abdominal structures normal._x000D_
- Thin/hypoplastic ribs originating from T13. No additional musculoskeletal abdominal is identified.</t>
  </si>
  <si>
    <t>1. Similar diffuse bronchial pulmonary pattern with mild pulmonary hyperinflation, likely representing chronic lower airway disease such as the clinically suspected feline asthma (vs. bronchitis). Continued medical management for chronic lower airway disease is advisable in this case._x000D_
_x000D_
2. Progressively increased body condition with progressive pericardiac fat deposition._x000D_
_x000D_
3. Mild constipation._x000D_
_x000D_
4. Transitional thoracolumbar vertebral segment.</t>
  </si>
  <si>
    <t xml:space="preserve">
1.This result does not detect pulmonary vasculature enlargement._x000D_
2.Rarely, this result detects a minimal alveolar pulmonary pattern._x000D_
3.This result does not detect pleural fissure lines/fluid.  _x000D_
4.This result detects equivocal/borderline to mild, or rarely moderate cardiomegaly. _x000D_
5.This result detects a minimal to mild interstitial pulmonary pattern.  _x000D_
6.This result detects a minimal to mild bronchial pulmonary pattern.</t>
  </si>
  <si>
    <t>WHOLE-BODY (6 radiographs for review). No previous examinations for comparison._x000D_
_x000D_
- Peritoneal serosal detail is normal._x000D_
- The stomach is nondistended and contains mild homogenous soft-tissue/fluid._x000D_
- The small intestine contains soft-tissue/fluid and a small volume of gas._x000D_
- The colon contains gas and mildly desiccated formed fecal material._x000D_
- The spleen is moderately enlarged, with rounded margins._x000D_
- On the VD projection, there is increased soft-tissue opacity caudal to the spleen and cranial to the left kidney._x000D_
- The urinary bladder is moderately distended with soft-tissue/fluid._x000D_
- The kidneys and liver are normal._x000D_
- Cardiac silhouette, pulmonary vasculature, pulmonary parenchyma, pleural space, trachea, esophagus mediastinum and remaining included intrathoracic structures are normal._x000D_
- No discrete musculoskeletal abnormalities are identified.</t>
  </si>
  <si>
    <t>1. The poorly distinct mass effect caudal to the spleen and cranial to the left kidney most likely represents the left limb of the pancreas, which can be visualized radiographically in cats. Admittedly this is quite prominent, and pancreatic enlargement such as from acute pancreatitis is possible, however no obvious regional steatitis/peritonitis is observed. Otherwise, a clear cause for the patient=ZZ91=s reported hyporexia is not distinctly identified. Consider abdominal ultrasonography for further assessment._x000D_
_x000D_
2. Moderate splenomegaly. DDx congestion from sedation, lymphoid hyperplasia, EMH, less likely neoplasia._x000D_
_x000D_
3. Impending urination._x000D_
_x000D_
4. Normal thorax._x000D_
_x000D_
5. Excessive body habitus.</t>
  </si>
  <si>
    <t xml:space="preserve">
1.This result detects a minimal to mild interstitial pulmonary pattern._x000D_
2.This result detects a minimal to mild bronchial pulmonary pattern._x000D_
3.This result does NOT detect an alveolar pulmonary pattern. _x000D_
4.This result detects equivocal/borderline to mild cardiomegaly.  _x000D_
5.This result does NOT detect pleural fissure lines.  </t>
  </si>
  <si>
    <t>THORAX (4 radiographs for review). _x000D_
_x000D_
- Excessive body habitus. Fat deposition is causing a mild widening of the cranial mediastinum and prominent appearance of the cardiac silhouette._x000D_
- Mild, diffuse, mixed bronchial and unstructured interstitial pulmonary pattern._x000D_
- Cardiac silhouette, pulmonary vasculature, pleural space, trachea and remaining included intrathoracic structures are normal._x000D_
- Stomach contains moderate gas-stippled soft-tissue opaque material_x000D_
- Remaining cranial abdominal structures normal._x000D_
- Included skeletal structures unremarkable.</t>
  </si>
  <si>
    <t>1. Mild, nonspecific mixed bronchial and unstructured interstitial pulmonary pattern present which could be secondary to lower airway/airspace disease (e.g. bronchopneumonia) however is fairly mild and could be within normal variation, especially since there is superimposed excessive body wall fat. Clinical decision/considerations in this case will most likely be more fruitful if based off the patient=ZZ91=s symptoms, as the appearance of the lungs is relatively non-specific._x000D_
_x000D_
2. Recent meal._x000D_
_x000D_
3. Excessive body habitus.</t>
  </si>
  <si>
    <t xml:space="preserve">
1.This result detects a minimal to mild interstitial pulmonary pattern.  _x000D_
2.This result detects a minimal to mild bronchial pulmonary pattern._x000D_
3.Rarely, this result detects a minimal alveolar pulmonary pattern._x000D_
4.This result does not detect pulmonary vasculature enlargement._x000D_
5.This result does not detect pleural fissure lines/fluid.  _x000D_
6.This result detects equivocal/borderline to mild, or rarely moderate cardiomegaly. </t>
  </si>
  <si>
    <t>WHOLE-BODY (6 radiographs for review). No previous examinations for comparison._x000D_
_x000D_
- Peritoneal serosal detail is normal._x000D_
- The stomach contains a small volume of gas stippled soft-tissue opaque material and gas._x000D_
- Best appreciated on the left lateral projection, there is a segment of small intestine in the cranioventral abdomen that has a mildly plicated appearance. The loop is mildly distended by amorphous mineral opaque material._x000D_
- The remainder of the small intestine contains mild multifocal gas and soft-tissue opaque material._x000D_
- The colon contains gas and formed fecal material._x000D_
- Mildly irregular margins of the left kidney, which appears mildly small as compared to the right._x000D_
- The liver, spleen, urinary bladder and remaining abdominal structures are normal._x000D_
- moderate-to-severe cardiomegaly, characterized by dorsal displacement of the caudal aspect of the thoracic trachea and generalized cardiac widening. Pulmonary vasculature moderately distended._x000D_
- Mild left-sided mediastinal shift._x000D_
- Amorphous mineralized nodule in the right caudal or right accessory lung lobe superimposed over the diaphragm._x000D_
- Small volume of gas in the thoracic esophagus._x000D_
- Excessive body habitus._x000D_
- Pectus carinatum thoracic body wall deformity.</t>
  </si>
  <si>
    <t>1. There is some concern for mild small intestinal plication in the cranial abdomen secondary to linear foreign material, potentially causing a partial mechanical obstruction. Although the appearance is subtle, there may be foreign material, which could be anchored in the pylorus (especially since there is material in the stomach, which should be correlated to when the patient most recently ate prior to this examination). I would recommend abdominal ultrasonography for further assessment, as the lack of continued vomiting is atypical however nevertheless the appearance is suspicious and might be further investigated._x000D_
_x000D_
2. Chronic left nephropathy._x000D_
_x000D_
3. Consistent with the reported history there is severe left-sided cardiomegaly with pulmonary vascular congestion compatible with hypertrophic cardiomyopathy. There is no evidence of left-sided congestive heart failure._x000D_
_x000D_
4. No discrete evidence of aspiration or bronchopneumonia. Mild left-sided pulmonary atelectasis._x000D_
_x000D_
5. Likely benign mineralized nodule in the right caudal or right accessory lung lobe, potentially a pulmonary granuloma.</t>
  </si>
  <si>
    <t xml:space="preserve">Patient Name : Snowy Chiv, Date of study: Apr 12, 2024
3 images are provided for review
Feline Thorax (3 Images) - 1 Vd, 2 Lateral
There are no previous radiographs for comparison.
Pulmonary parenchyma: A mild diffuse bronchial pattern is present.
Pulmonary vasculature: The pulmonary vasculature is normal in size and tapers in the periphery of the lungs.
Cardiac silhouette: The cardiac silhouette is mildly tall in the lateral images.  The cardiac silhouette is subjectively normal in size in the ventrodorsal image.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</si>
  <si>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pulmonary pattern.  
- Differential diagnoses include infectious/inflammatory lower airway disease (mycoplasma spp. bordetella spp. parasitism or immune-mediated disease/asthma) and/or  fibrosis from prior disease, or unlikely other.  
2. Equivocal generalized cardiomegaly versus artifact due to phase of the cardiac cycle and patient positioning.
- If present, consider congenital cardiac anomaly versus acquired cardiomyopathy given patient age.
- There is no evidence of left-sided congestive heart failure.  
</t>
  </si>
  <si>
    <t>Consider airway sampling and respiratory PCR panel, with/without fecal analysis/empirical deworming.  Empirical therapy and supportive care in the interim as needed.  Monitoring with repeat radiographs, especially if clinical signs fail to improve, change or worsen in the interim.  Consider echocardiography if a murmur is latera identified, or if cardiomegaly is progressive/persistent in future imaging.</t>
  </si>
  <si>
    <t xml:space="preserve">
1.Rarely, this result detects a minimal alveolar pulmonary pattern._x000D_
2.This result detects none, or a minimal to mild bronchial pulmonary pattern._x000D_
3.This result detects none, or a minimal to mild interstitial pulmonary pattern.  _x000D_
4.This result does not detect pulmonary vasculature enlargement._x000D_
5.This result does not detect pleural fissure lines/fluid.  _x000D_
6.This result does not detect pulmonary soft tissue nodules._x000D_
7.This result detects equivocal/borderline to mild, or rarely moderate cardiomegaly. </t>
  </si>
  <si>
    <t>Three radiographs of the thorax, three views of the abdomen, and orthogonal views of the distal left pelvic limb are provided. The cardiac silhouette and pulmonary vessels are normal size and shape. The lungs are clear. No pleural effusion. In the abdomen the stomach is severely distended with soft tissue density and moderate accumulation of punctate mineral opaque debris. Small bowel are mildly filled. Gas and formed feces fills the cecum and colon. Serosal detail is adequate. Size liver, left kidney. The spleen and right kidney are obscured. No radiopaque urolithiasis. There is severe soft tissue swelling encircling the left metatarsus and phalanges. The 3rd phalanx of the 4th digit is absent. No fracture, subluxation, or osseous lysis is appreciated.</t>
  </si>
  <si>
    <t>Normal thorax and postprandial abdomen. Severe left pes soft tissue swelling consistent with soft tissue insult. Absent distal 4th digit, unknown if due to prior/chronic insult, or recent traumatic amputation.</t>
  </si>
  <si>
    <t>Other than evidence of the patient recently ingested a very large meal, there is no contraindication for general anesthesia.</t>
  </si>
  <si>
    <t>A three view study of the thorax including the neck is provided for interpretation._x000D_
_x000D_
No tracheal abnormalities are identified. The pulmonary vessels and parenchyma appear normal. The heart appears mildly enlarged, with a convex bulge at the right side of the cardiac silhouette in the VD view. The appearance of the cardiac silhouette is normal in both lateral views. The cranial abdomen is unremarkable.</t>
  </si>
  <si>
    <t>No tracheal or pulmonary abnormalities are identified. Asthma or allergic lung disease could still be present without significant radiographic changes._x000D_
_x000D_
The appearance of the cardiac silhouette is unusual in the VD view, but this is not corroborated in the other views and is likely a benign variant.</t>
  </si>
  <si>
    <t>Symptomatic therapy is recommended as needed._x000D_
_x000D_
The appearance of a bulge at the right side of the cardiac silhouette in the VD view is suspected to be a benign variant or artifact associated with the phase of cardiac cycle, especially considering no murmur was ausculted. If a heart murmur appears echocardiography should still be considered._x000D_
Recheck radiograph of the thorax are recommended in six months.</t>
  </si>
  <si>
    <t>Three radiographs of the thorax are provided. The cardiac silhouette is mild to moderately enlarged with rounded caudal margin. There is increased opacity extending from the caudal heart to the diaphragm, ventral to the caudal vena cava. Pulmonary vessels are normal size. There are no abnormalities in the pulmonary parenchyma. No pleural effusion or intrathoracic lymphadenomegaly. The cranial abdomen is unremarkable.</t>
  </si>
  <si>
    <t>Cardiomegaly with mesothelial remnant, most consistent with peritoneal pericardial diaphragmatic hernia. Extension of a portion of the liver or less likely fat into the pericardial sac is most likely. Cardiomyopathy may also be present.</t>
  </si>
  <si>
    <t>Ultrasound evaluation of the heart, diaphragm, and liver is recommended, along with an echocardiogram.</t>
  </si>
  <si>
    <t>Patient Name : Joey Pyle, Date of study: Apr 12, 2024
3 images are provided for review
Feline Thorax (3 Images) - 2 Vd, 1 Lateral
There are no previous radiographs for comparison.
Pulmonary parenchyma: A mild diffuse bronchial pattern is present.  The lungs are minimally hyperinflated in the lateral image.
Pulmonary vasculature: The pulmonary vasculature is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t>
  </si>
  <si>
    <t xml:space="preserve">1. Mild diffuse bronchial pulmonary pattern. 
 - Differential diagnoses include chronic/chronic-active lower airway disease such as from infectious/immune-mediated etiologies, fibrosis from prior disease, age-related changes, a combination of these, or unlikely other.
2. No pulmonary nodules or intra-thoracic lymphadenomegaly is identified.  </t>
  </si>
  <si>
    <t xml:space="preserve">Consider airway sampling and respiratory PCR panel for further evaluation.  Fecal analysis/deworming may be contributory.  Consider routine blood work and abdominal imaging to screen for occult systemic disease if not recently performed.  Empirical therapy and supportive care in the interim as needed.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</si>
  <si>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Rounded mineral is seen in the right ventral liver in the area of the gallbladder.  The stomach contains a moderate amount of gas.  The small intestines are normal in size.  Gas and feces are present in the colon.  The urinary bladder is small.  The remaining abdominal organs are normal.</t>
  </si>
  <si>
    <t>Cholelithiasis.  Radiographically normal thorax for patient of this age.</t>
  </si>
  <si>
    <t>Patient Name: Lucky Low, Date of study: Apr 11, 2024. 3 images are provided for review. There are no previous radiographs for comparison. Thoracic and abdominal review has been requested._x000D_
_x000D_
Thorax:_x000D_
Airway/pulmonary parenchyma: A mild, diffuse bronchial pattern without pulmonary hyperinflation is noted. A focal triangular opacity is noted laterally over the right 8th intercostal space on the VD projection. This opacity cannot be confirmed on the lateral projections. _x000D_
_x000D_
Cardiovascular: Atrial enlargement is present on the VD projection. Caudal pulmonary vessel enlargement is also present on the VD projection. Enlargement to the caudal pulmonary vasculature is not confirmed on the lateral projections. _x000D_
_x000D_
Mediastinum: A diffuse increase in soft tissue opacity overlies the cranial mediastinum on the lateral projections. Mild widening of the cranial mediastinum is present on the VD projection. _x000D_
_x000D_
Pleural space: Thin pleural fissure lines are present. No pneumothorax is noted. _x000D_
_x000D_
Abdomen:_x000D_
Liver: Normal_x000D_
_x000D_
Spleen: Normal on the VD projection but displaced axially by a soft tissue structure in the left lateral abdomen, presumed uterine horn. _x000D_
_x000D_
Kidneys and urinary bladder: The kidneys are partially obscured by the overlying bowel. On the VD projection, the left renal margin appears normal. The visible portion of the urinary bladder appears normal on the lateral projections. The intra-abdominal urethra is not visualized due to an overall increase in soft tissue opacity in this region. _x000D_
_x000D_
GI: Only on the right lateral projection, a thin lucent line contours along the caudal margin of the stomach. This could represent fat within the gastric wall or gas tracking within the gastric wall._x000D_
_x000D_
Abdominal detail: On all projections, several fluid/soft tissue opaque viscus structures are present in the mid-ventral and caudal abdomen. These viscus structures are compatible with distended uterine horns. Faint mineral densities are present within these viscus structures compatible with early fetal mineralization. _x000D_
_x000D_
On the lateral projections, focal gas opacities around the stomach and caudal to the diaphragm are identified and cannot be placed within the GI tract.  On the left lateral projection, thin wispy opacities overlie the falciform fat. _x000D_
_x000D_
The confluence of the soft tissue structures in the mid-abdomen is resulting in an overall increase in abdominal opacity and the ventral abdominal margin is pendulous._x000D_
_x000D_
Msk: On the VD projection, a thin lucent line overlies the left femoral neck in the capital physeal region. Continuation of this lucent line through the lateral margin of the left femoral neck is also present on the VD projection. On the lateral projections, small mineral dense fragments are noted dorsal to the T8 and T9 dorsal spinous processes. A lucent region is also present in the caudal portion of the T9 spinous process. _x000D_
_x000D_
The ventral abdominal wall is poorly defined on the left lateral projection. The caudal portion of the rectus abdominus is well defined and appears attached to the pubis. _x000D_
_x000D_
An oval soft tissue structure overlies the inguinal region consistent with an inguinal lymph node. The thigh musculature appears enlarged bilaterally.</t>
  </si>
  <si>
    <t>Pertaining to the recent trauma:_x000D_
1) Scant free abdominal air. DDx: secondary to abdominal wall penetrating injury associated with recent trauma and/or small intestinal perforation due to trauma. _x000D_
2) Poor visualization of the left ventral abdominal wall. Rule out an abdominal wall tear and hernia._x000D_
3) Enlarged thigh musculature bilaterally. DDx: soft tissue swelling due to trauma vs. other cause including urine leakage into the tissue due to a urethral rupture. _x000D_
4) Potential non-displaced left femoral neck fracture. Avulsion fractures of T8 and T9 vs. overlying skin debris._x000D_
5) Focal pulmonary contusion. Scant pleural fluid due to hemorrhage or cardiac disease. No pneumothorax noted._x000D_
6) Widened cranial mediastinum with increased soft tissue. DDx: mediastinal hemorrhage vs. cervical hemorrhage with extension into the mediastinum vs. thymic enlargement associated with pregnancy._x000D_
_x000D_
Pertaining to the pregnancy:_x000D_
7) Distended uterine horns. Partially mineralized fetal structures. No overt evidence of uterine horn rupture at this time._x000D_
8) Cardiomegaly with pulmonary vessel enlargement. The vessel size on the VD projection is consistent with pulmonary overcirculation. DDx: secondary to pregnancy vs. secondary to primary cardiac disease and left to right shunt. _x000D_
_x000D_
Other:_x000D_
9) Diffuse bronchial pattern. No pulmonary hyperinflation noted. DDx: allergic vs. bacterial vs. less suspected, parasitic disease (including feline heartworm). Lack of hyperinflation at this time indicates no evidence of bronchoconstriction.</t>
  </si>
  <si>
    <t>Evaluate for abdominal wall hernia and penetrating abdominal wall injury. Abdominal ultrasound to assess for free abdominal air and fetal viability. Exploratory laparotomy if free abdominal air is identified. _x000D_
_x000D_
Further evaluation of the thigh musculature to confirm soft tissue swelling and determine cause. _x000D_
_x000D_
Palpation of the left hip to assess for pain. Also assess for pelvic instability. _x000D_
_x000D_
Cardiac ultrasound. Cranial mediastinal ultrasound. Cervical evaluation is also recommended to assess for soft tissue swelling/hemorrhage that could extend into the cranial mediastinum._x000D_
_x000D_
Repeat thoracic radiographs in 24 hours to assess for progressive pulmonary contusion.</t>
  </si>
  <si>
    <t>Raphael Benavides. Date of study: 04/11/24. Thoracic radiography (3 view, 3 images. 1 VD, 2 Lateral). This is compared to a thoracic study dated 3/29/24, which was suspicious for cranioventral pneumonia._x000D_
_x000D_
Airway/pulmonary findings: The trachea is severely narrowed at the thoracic inlet on both lateral images. The intrathoracic trachea is normal. There is a mild diffuse bronchointerstitial opacification. The previously reported cranial ventral opacification is visible, however a the thoracic limbs are insufficiently protracted, causing tricep musculature overlap. There is mild opacification of the left cranial lung lobe, however obliquity is present in the ventral dorsal image._x000D_
_x000D_
Cardiovascular findings: The cardiac silhouette is normal in size. The cranial and caudal pulmonary vasculature are normal. The caudal vena cava is normal in size._x000D_
_x000D_
Mediastinum: No intrathoracic lymphadenomegaly is noted. The remainder of the mediastinum is normal._x000D_
_x000D_
Pleural space: Pleural fissure lines are noted overlying the cardiac silhouette on bone lateral projections._x000D_
_x000D_
Musculoskeletal: The included musculoskeletal structures are normal.</t>
  </si>
  <si>
    <t>1. The severe tracheal narrowing may be due to a moderate to severe tracheitis/tracheobronchitis. Tracheal collapse is less likely considering age and species. A diffuse mixed lower airway infectious-inflammatory disease (viral, bacterial, parasitic) should be excluded. The cranial ventral opacification is at least partially artifactual due to triceps superimposition.</t>
  </si>
  <si>
    <t>Respiratory workup including CBC, serum chemistry, urinalysis, Baermann faecal testing, 4DX, +/- respiratory panel or fungal testing as indicated is advised.  _x000D_
Recommend lower airway sampling and culture with sensitivity to guide antibiotic therapy, given lack of response to current antibiotic treatments. Consider anti-inflammatory medication as well. Instruct owner to pursue steam nebulization and coupage in the bathroom with a hot shower.</t>
  </si>
  <si>
    <t>THORAX and SKULL (7 radiographs for review). No previous examinations for comparison._x000D_
_x000D_
- Marked collapse of the pharynx is noted  dynamically between the lateral projections. Caudal displacement of the hyoid apparatus._x000D_
- Moderate increase in soft-tissue opacity is superimposed over the nasal cavity. On the left there appears to be loss of nasal turbinate distinction._x000D_
- Increased soft-tissue opacity within the tympanic bullae bilaterally. Mild thickening and irregularity of the bullous walls._x000D_
- Mild diffuse bronchial pattern. Mild pulmonary hyperinflation._x000D_
- Cardiac silhouette, pleural space and remaining included intrathoracic structures normal._x000D_
- Stomach moderately distended with gas and contains gas stippled soft-tissue opaque material.</t>
  </si>
  <si>
    <t>1. There is evidence of increased soft-tissue opacity and nasal turbinate loss (L =ZZ93= R) within the nasal cavity, which likely indicates chronic destructive rhinitis given the history (e.g. viral, bacterial, immune-mediated). Nasal lymphoma is less likely but remains possible. Consider further assessment of the head and cervical region with CT examination. Dynamic CT acquisition can capture and characterize the degree of pharyngeal collapse (see next)._x000D_
_x000D_
2. Severe dynamic collapse of the pharynx between inspiration and expiration is likely associated with partial/recurrent upper airway obstruction (which may be principally related to #1)._x000D_
_x000D_
3. Impression of increased soft-tissue opacity within the tympanic bullae bilaterally and mild thickening of the bullous walls likely compatible with chronic otitis media._x000D_
_x000D_
4. Mild diffuse bronchial pulmonary pattern pulmonary hyperinflation. The primary consideration would be chronic lower airway disease such as feline asthma. Bronchitis of infectious, allergic or inhaled irritant etiologies are possible but less likely._x000D_
_x000D_
5. Aerophagia.</t>
  </si>
  <si>
    <t>Internal medicine consultation might be preferable for this patient given the complex, multifocal and severe changes noted. Rhinoscopic evaluation may be indicated.</t>
  </si>
  <si>
    <t>A three view thoracoabdominal study is provided for interpretation._x000D_
_x000D_
There is a mild bronchial pulmonary pattern. The cardiovascular structures are within normal limits. There is ill defined increased opacity in the ventral thorax which is suspected to be an artifact caused by a mediastinal fat accumulation._x000D_
_x000D_
The spleen is slightly prominent but still felt to be within normal size and shape limits. The other organs are within normal limits._x000D_
No foreign bodies are seen in the GI tract. No dilation of the stomach or intestine is identified. Serosal detail is normal.</t>
  </si>
  <si>
    <t>No significant thoracic or abdominal abnormalities are identified.</t>
  </si>
  <si>
    <t>Supportive care and symptomatic therapy for gastroenteritis/pancreatitis is recommended.</t>
  </si>
  <si>
    <t>Consider abdominal US with FNAs of the liver and spleen to rule out MCT infiltration.</t>
  </si>
  <si>
    <t>Three radiographs of the thorax/abdomen are provided. The cardiac silhouette is prominent. Pulmonary vessels are normal size. There are no abnormalities in the pulmonary parenchyma. No pleural effusion. Normal thoracic spine and proximal thoracic limbs. In the abdomen there is no effusion or organomegaly. Moderate volume soft tissue opaque ingesta and gas in the stomach. Small bowel are mildly fluid-filled. Formed feces in the colon. Smoothly contoured ovoid soft tissue opaque 1.7 cm structure with focal mineralization to the right of the urinary bladder. No radiopaque urolithiasis. No lumbar spinal abnormalities.</t>
  </si>
  <si>
    <t>1. Prominent heart, concerning for cardiomyopathy. In the absence of a murmur or arrhythmia, significance is uncertain. Otherwise normal thorax._x000D_
2. Partially mineralized nodule lateral to the urinary bladder is most likely incidental early Bates body formation. A neoplastic mass lesion is given lesser consideration. No other abdominal abnormalities.</t>
  </si>
  <si>
    <t>Cardiac proBNP evaluation and consultation with a neurologist should be considered.</t>
  </si>
  <si>
    <t>4 images of the thorax are provided for review.  The cardiovascular structures are normal.  Patchy alveolar opacity is present in all lung lobes, worse on the right.  The mediastinal and pleural structures are normal.  Cranial abdominal detail is adequate.</t>
  </si>
  <si>
    <t>Alveolar pulmonary pattern concerning for pneumonia.  Underlying viral pneumonitis could be considered.  Other considerations include hemorrhage, noncardiogenic edema, ARDS/SIRS.</t>
  </si>
  <si>
    <t>Airway sampling may be helpful in further evaluation.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</si>
  <si>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moderately distended.  The remaining abdominal organs are normal.</t>
  </si>
  <si>
    <t>THORAX (4 radiographs for review). No previous examinations for comparison._x000D_
_x000D_
- In the caudal portion of the right caudal lung lobe, there is a small rounded soft-tissue opaque mass (2 x 2 cm). _x000D_
- On the lateral projections superimposed dorsal to the descending aorta and ventral to the mid-thoracic vertebrae, I have the concern for at least one, potentially multiple, small (3 mm) soft-tissue opaque nodules._x000D_
- Right-sided mediastinal shift._x000D_
- Cardiac silhouette, pulmonary vasculature, bronchi normal._x000D_
- Mild gas stippled soft-tissue opaque material in the stomach. _x000D_
- Remaining cranial abdominal structures normal._x000D_
- Excessive body habitus.</t>
  </si>
  <si>
    <t>1. Small right caudal lung lobe mass, with at least one additional suspected small pulmonary nodule. DDx neoplasia is most likely (e.g. primary pulmonary carcinoma with locoregional metastasis, or less likely all representing metastatic disease from an unseen primary tumor). Nonneoplastic etiologies such as pulmonary granuloma or abscess are less likely. Consider thoracic CT for screening/staging and oncologic consultation for further assessment. Recheck thoracic radiographs to evaluate for progression of the identified nodules and manifestation of the nodules may be pursued in this case._x000D_
_x000D_
2. Right-sided pulmonary atelectasis, likely related to recumbency._x000D_
_x000D_
3. Excessive body habitus.</t>
  </si>
  <si>
    <t>Study:_x000D_
Thoracic radiography: right lateral and VD views dated April 10, 2024_x000D_
_x000D_
Findings:_x000D_
The cardiac silhouette and pulmonary vasculature are normal in size. There is a mild generalized bronchial pulmonary pattern. There is platelike atelectasis superimposed with the caudal trachea on the right lateral view. There is a mild focal interstitial pattern in the right fifth intercostal space on the VD view The pleural space is normal. There is no intrathoracic lymphadenopathy. The trachea is normal in diameter and course. The stomach contains heterogeneous soft tissue material presumed to be ingesta. The osseous structures are unremarkable. The patient is of overweight body condition._x000D_
_x000D_
Human digits are present in the primary beam on the right lateral view.</t>
  </si>
  <si>
    <t>The generalized bronchial pulmonary pattern may indicate allergic/inflammatory bronchitis (asthma). Infectious, parasitic and irritant bronchitis are also possible. The mild focal interstitial pattern in the right cranial lung lobe may represent a region of atelectasis. Pneumonia is less likely. Airway sampling, heartworm testing and Baermann fecal flotation can be considered for further evaluation. Alternatively, a treatment trial for asthma can be considered.</t>
  </si>
  <si>
    <t>Three radiographs of the abdomen are provided. Peritoneal and retroperitoneal detail is adequate. There is large volume of gas, scant mineral opaque debris, and small volume soft tissue density in the stomach. Small bowel are mildly fluid-filled. Small volume of formed feces fills the colon. Normal-sized liver, kidneys, and spleen. Small renal cortical indentations on the left consistent with previous infarcts, likely incidental. No radiopaque cystic calculi. Punctate mineral density caudal to the right ischiatic table is likely incidental debris/granuloma. In the visible thorax, cardiac silhouette and pulmonary vessels are normal size. There is increased opacity overlying the cranial right thorax on the VD projection, however there is also superimposed scapula at this level. This area is not included on the edge of the left lateral view.</t>
  </si>
  <si>
    <t>1. Gas-filled stomach consistent with aerophagia. Otherwise normal abdomen._x000D_
2. Suspect severe interstitial pattern in the right cranial lung lobe is concerning for pneumonia. This could be artifact caused by summating normal anatomy.</t>
  </si>
  <si>
    <t>A CBC, blood chemistry profile, and thoracic radiographs should be considered.</t>
  </si>
  <si>
    <t xml:space="preserve">
1.This result does not detect pulmonary vasculature enlargement._x000D_
2.This result does not detect pleural fissure lines/fluid.  _x000D_
3.This result detects equivocal/borderline to mild cardiomegaly. _x000D_
4.This result detects a minimal to mild, or rarely moderate interstitial pulmonary pattern.  _x000D_
5.This result detects a minimal to mild, or rarely moderate bronchial pulmonary pattern._x000D_
6.Rarely, this result detects a minimal to mild alveolar pulmonary pattern.</t>
  </si>
  <si>
    <t>Three radiographs of the thorax, and orthogonal views of the abdomen are provided. Images dated 10/5/23 were reviewed. The cranioventral soft tissue opaque mass is again identified, measuring 4.5 x 2.8 cm. The right caudal lung mass measures 2.8 cm. No additional nodules or masses. No pleural effusion. Cardiovascular structures are normal. In the abdomen there is no effusion or organomegaly. The left kidney is slightly smaller than the right as before. No radiopaque renolithiasis or cystic calculi. The gastrointestinal tract is moderately filled. Spondylosis deformans, degenerative change in the coxofemoral joints, and meniscal mineralization are all incidental findings.</t>
  </si>
  <si>
    <t>Progressive pulmonary masses consistent with malignant neoplasia. Primary pulmonary neoplasia is most likely. Metastatic disease from a distant site is next on the differential list. The abdomen is normal.</t>
  </si>
  <si>
    <t>If a definitive diagnosis is desired for type of lung neoplasia, ultrasound-guided sampling of the cranioventral right thoracic mass could be considered.</t>
  </si>
  <si>
    <t>Study:_x000D_
Thoracic radiography: three images dated April 10, 2024_x000D_
_x000D_
Findings:_x000D_
The cardiac silhouette is normal in size and shape (VHS approximately 7.25). The pulmonary vasculature is normal in size. The pulmonary parenchyma is unremarkable. The pleural space is normal. There is no intrathoracic lymphadenopathy. The trachea is normal in diameter and course. The included abdomen is unremarkable. No skeletal abnormalities present. The patient is of overweight body condition.</t>
  </si>
  <si>
    <t>Unremarkable thorax.  There is no radiographic evidence of heart disease. Consider echocardiography for further evaluation of the reported heart murmur.</t>
  </si>
  <si>
    <t>Three orthogonal survey radiographs of the thorax and abdomen dated 10th April 2024 are available for review. There are no previous radiographs available for comparison. _x000D_
_x000D_
Thorax: _x000D_
Airway findings: The cervical and thoracic trachea have a normal size, outline and position. The carina, tracheal bifurcation and mainstem bronchi are normal. In the caudal dorsal and cranioventral lung fields there is a marked increase bronchointerstitial to mild alveolar opacification. No nodules or masses are seen._x000D_
_x000D_
Cardiovascular findings: There is partial border effacement of the cardiac silhouette. The overall size is within normal limits. The pulmonary vasculature is normal. The mainstem vessels are normal._x000D_
_x000D_
Mediastinum and pleural space: The stomach is mainly empty with a normal axis. The small intestines are distributed evenly and are within normal limits for shape, size and contents. The ascending, transverse and descending colon have an increased amount of gas, with some formed faeces. The urinary bladder is normal. The hepatic silhouette is normal in size with smooth borders. The spleen is normal in shape, size and position. The kidneys are partially obscured by gastrointestinal contents, but the visible aspect are normal. There is mild loss of serosal detail in the cranial right aspect of the abdomen._x000D_
_x000D_
Musculoskeletal findings: No significant abnormalities are detected.</t>
  </si>
  <si>
    <t>1. The bronchointerstitial opacification is consistent with infectious-inflammatory lower airway disease (viral-bacterial, parasitic, fungal). Aspiration is unlikely considering distribution. Heart worm should be considered. Pulmonary oedema is considered unlikely._x000D_
2. The gas dilated colon with formed faeces is suspicious of a colonic ileus. This may be secondary to peripheral neuropathy, idiopathic megacolon, lymphocytic, plasmacytic or eosinophilic colitis, ulcerative colitis or due to abrasive dietary materials._x000D_
3. The cranial loss of serosal detail may be due to superimposition artefact, however would support the laboratory findings of pancreatitis.</t>
  </si>
  <si>
    <t>Respiratory workup including CBC, serum chemistry, urinalysis, Baermann faecal testing, 4DX, +/- respiratory panel or fungal testing as indicated is advised.  Alternatively, empirical therapy for lower airway disease, empirical deworming, and can be considered. If the patient=ZZ91=s signs continue despite supportive care, bronchoscopy/BAL vs. endotracheal wash +/- consultation with an Internist should be considered. _x000D_
_x000D_
Consider empiric management of suspect pancreatitis and colitis, repeat radiographs as clinically indicated, consider further workup for megacolon depending on clinical progression.</t>
  </si>
  <si>
    <t xml:space="preserve">
1.Rarely, this result detects minimal pleural fissure lines/fluid.  _x000D_
2.This result detects equivocal/borderline to mild cardiomegaly. _x000D_
3.This result detects a minimal to mild, or uncommonly moderate interstitial pulmonary pattern.  _x000D_
4.This result detects a moderate to severe bronchial pulmonary pattern._x000D_
5.Uncommonly, this result detects a minimal to mild alveolar pulmonary pattern._x000D_
6.Uncommonly, this result detects pulmonary soft tissue or cavitary nodules._x000D_
7.This result does not detect pulmonary vasculature enlargement.</t>
  </si>
  <si>
    <t>Three orthogonal thoracic radiographs dated 10th April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</si>
  <si>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1. Normal thorax. This does not preclude the presence of an acute viral pneumonia, or acute lower airway allergic reaction. An upper airway rhinitis or laryngitis should also be considered.</t>
  </si>
  <si>
    <t>Empiric therapy as reported may be considered. If the patient=ZZ91=s signs continue despite supportive care, bronchoscopy/BAL vs. endotracheal wash +/- consultation with an Internist should be considered. Evaluate for upper airway disease as clinically indicated.</t>
  </si>
  <si>
    <t>Thorax: There is a moderate diffuse peribronchial pattern.  The cardiac silhouette and pulmonary vasculature are unremarkable.  There is no evidence of pleural effusion or lymphadenopathy.  T12 is shortened and misshapened with the cranial endplate having a wedgelike appearance and there appears to be narrowing of the vertebral canal at this level.  There are several spinous processes of the thoracic vertebral column that appear to have circular lucent regions._x000D_
_x000D_
Abdomen: There are no abnormalities identified.</t>
  </si>
  <si>
    <t>Diffuse peribronchial pattern.  Primary differential consideration is a lower airway inflammatory process._x000D_
_x000D_
The appearance of T12 may be congenital or secondary to previous trauma/compression fracture._x000D_
_x000D_
The lucent regions associated with the thoracic spinous processes may be artifactual however true lysis from neoplasia cannot be ruled out</t>
  </si>
  <si>
    <t xml:space="preserve">
1.This result detects mild to severe cardiomegaly._x000D_
2.This result detects a minimal to moderate bronchial pulmonary pattern._x000D_
3.This result detects a mild to moderate interstitial pulmonary pattern._x000D_
4.Rarely, this result detects a minimal alveolar pulmonary pattern._x000D_
5.Rarely, this result detects minimal to mild pulmonary vasculature enlargement._x000D_
6.This result detects minimal to moderate pleural fissure lines/fluid. </t>
  </si>
  <si>
    <t>Five orthogonal thoracic radiographs dated 10th April 2024 are available for review. There are no previous radiographs available for comparison. _x000D_
_x000D_
Airway findings: The cervical and thoracic trachea have a normal size, outline and position. The carina, tracheal bifurcation and mainstem bronchi are normal. There is mild bronchointerstitial opacification of the lung parenchyma. The thorax is hypoinflated._x000D_
_x000D_
Cardiovascular findings: There is increased pericardial fat, limiting interpretation. The cardiac axis is rotated cranially. There is mild globoid appearance of the cardiac silhouette. No clear Valentine shape is seen in the ventral dorsal image. The pulmonary vasculature is prominent. The mainstem vessels are normal._x000D_
_x000D_
Mediastinum and pleural space: There is increased ventral pleural and pericardial and cranial mediastinal fat._x000D_
_x000D_
Musculoskeletal findings: The patient is overweight._x000D_
_x000D_
Included abdomen: No significant abnormalities are detected.</t>
  </si>
  <si>
    <t>1. The bronchointerstitial opacification is at least partially attributable to hypoinflation and body habitus. Pulmonary fibrosis, lower airway infectious-inflammatory disease (viral-bacterial bronchitis, parasitic bronchitis, heart worm, less likely fungal disease) is considered less likely. Early cardiogenic pulmonary oedema is considered unlikely._x000D_
2. The cardiac appearance is most likely due to pericardial fat. Hypertrophic cardiomyopathy cannot be excluded. The prominent pulmonary vasculature may be due to phase of contraction, or secondary to increased central venous pressures (pulmonary fibrosis).</t>
  </si>
  <si>
    <t>Radiography is insensitive for early cardiac insufficiency, therefore ECG, blood pressure measurements, and echocardiography may be considered for further evaluation, or baseline measurements. No imaging findings can explain the pelvic limb lameness.</t>
  </si>
  <si>
    <t>Opposite lateral and ventrodorsal thoracic radiographs (3 images) dated April 9, 2024 and compared to a prior study from April 2, 2024._x000D_
_x000D_
The patient is intubated and endotracheal tube terminates at the level of the 1st rib set. The remainder of the trachea is unremarkable. The cardiac silhouette, pulmonary vasculature, and great vessels are within normal limits. The pulmonary parenchyma as a moderate diffuse bronchial pattern with wall thickening and peribronchial unstructured interstitial cuffing that is static since the prior study. No pulmonary nodules or masses are identified. The pleural space and diaphragm are normal. No mediastinal abnormalities are appreciated. The trachea is normal in diameter and course with gas filling its lumen. No intrathoracic lymphadenopathy is evident._x000D_
A small my gas buildup in the intrathoracic esophagus is unremarkable in an anesthetized patient._x000D_
No aggressive or clinically significant osseous pathology is identified._x000D_
The liver, empty stomach, and cranial peritoneal detail are normal.</t>
  </si>
  <si>
    <t>Moderate and static bronchitis. Rule out eosinophilic/feline asthma vs. infectious (bacterial or parasitic [including heartworm]) vs. chronic inhaled irritants.</t>
  </si>
  <si>
    <t>Study:_x000D_
Thoracic radiography: three images dated April 9, 2024_x000D_
_x000D_
Findings:_x000D_
The cardiac silhouette and pulmonary vasculature are normal in size. There is a moderate generalized bronchial pulmonary pattern. The pleural space is normal. There is no intrathoracic lymphadenopathy. The trachea is normal in diameter and course. The stomach contains unstructured heterogeneous/granular soft tissue material presumed to be ingesta. The included abdomen is otherwise unremarkable. There is ventral subluxation of the xiphoid. The osseous structures are otherwise age appropriate/unremarkable.</t>
  </si>
  <si>
    <t>The moderate bronchial pulmonary pattern may indicate allergic/inflammatory bronchitis (asthma). Infectious, parasitic and inhaled irritant bronchitis are also possible.</t>
  </si>
  <si>
    <t>Airway sampling, infectious respiratory disease PCR testing plus/minus heartworm testing and Baermann fecal flotation can be considered for further evaluation.</t>
  </si>
  <si>
    <t xml:space="preserve">
1.Rarely,  this result detects minimal pleural fissure lines/fluid.  _x000D_
2.This result detects minimal to mild, mixed interstitial and bronchial pulmonary patterns._x000D_
3.This result detects mild to moderate, or less commonly equivocal/borderline cardiomegaly._x000D_
4.This result does NOT detect an alveolar pulmonary pattern.  </t>
  </si>
  <si>
    <t>A three view study of the thorax is provided for interpretation. Previous radiographs dated 4-7-21 are compared._x000D_
_x000D_
The heart is at the upper end of normal size range, with normal shape. Pulmonary vessels are normal. There is a mild bronchial pattern and mild bronchial mineralization. The appearance is similar to the previous radiographs. No new abnormalities are identified. There is a very small quantity of gas in the cranial thoracic esophagus, which is not expected to be clinically significant. The cranial abdomen is unremarkable. No musculoskeletal abnormalities are identified.</t>
  </si>
  <si>
    <t>There is a mild bronchial pattern, which is unchanged relative to the previous radiographs three years ago._x000D_
_x000D_
No evidence of infectious disease, cardiac disease, or neoplasia is seen._x000D_
Asthma or allergic lung disease could still be present.</t>
  </si>
  <si>
    <t>Symptomatic therapy is recommended as needed.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</si>
  <si>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filled with small volume of food._x000D_
Small intestines are mildly gas and fluid filled, not overtly distended. _x000D_
Serosal detail is preserved._x000D_
Liver and spleen are within normal limits of size and smoothly marginated._x000D_
The right kidney is markedly small, whereas the left kidney is normal sized. Urinary bladder WNL.</t>
  </si>
  <si>
    <t>Consider CBC and abdominal US to further evaluate causes of lethargy._x000D_
Evaluate the need/convenience of a laryngeal exam under sedation to further evaluate the change in voice.</t>
  </si>
  <si>
    <t xml:space="preserve">Patient Name : cheese harper, Date of study: Apr 9, 2024
3 images are provided for review
There are no previous radiographs for comparison.
N.B. The listed age of the patient is "1y, 11m".
Findings:
Pulmonary parenchyma:  A mild diffuse bronchial pulmonary pattern is present.  Best identified in the left lateral image, an ovoid soft tissue nodule is superimposed over the dorsal lungs at the level of T9.    A second ill-defined opacity is suspected over the caudodorsal lungs at the level of T11, also in the left lateral image.
Pulmonary vasculature:  the pulmonary vasculature are subjectively normal in size and taper as expected in the periphery of the lungs.
Cardiac silhouette:  The cardiac silhouette is mildly generally enlarged and rounded.  The cardiac silhouette is widened at the level of the atria in the ventrodorsal image.
Mediastinum:  The cranial mediastinum is normal.
Trachea:  The trachea is normal.
Esophagus:  The esophagus contains minimal gas in its cranial thoracic segment.
Pleural space:  The pleural space is normal.  
Musculoskeletal:  The included musculoskeletal structures are normal.  
</t>
  </si>
  <si>
    <t xml:space="preserve">1. Suspected pulmonary soft tissue nodules in the caudodorsal lungs.
- Differential diagnoses include primary versus metastatic neoplasia, or least likely granulomatous disease (such as from fungal agents such as blastomycosis spp.), or other.  
2. Mild generalized cardiomegaly such as from hypertrophic or thyrotoxic versus other cardiomyopathy.
- There is no current evidence of left-sided congestive heart failure.
3. Mild diffuse bronchial pattern due to fibrosis from prior disease/age-related changes, chronic infectious/inflammatory lower airway disease, or unlikely atypical metastatic neoplasia or other.
</t>
  </si>
  <si>
    <t xml:space="preserve">Consider a dorsoventral thoracic radiographs and/or thoracic computed tomography for further evaluation of suspected pulmonary nodule(s) in the caudodorsal lungs.  Echocardiography, ECG, blood pressure and thyroid function testing may be contributory if not recently performed.  Consider empirical therapy/supportive care for asthma/lower airway disease versus airway sampling/respiratory PCR panel for further evaluation.  Empirical therapy and supportive care in the interim as needed.  Monitoring as directed, or sooner if clinical signs acutely change or worsen.  </t>
  </si>
  <si>
    <t xml:space="preserve">
1.This result does NOT detect soft tissue pulmonary nodules.  _x000D_
2.This result detects mild to moderate cardiomegaly._x000D_
3.This result does NOT detect pleural fissure lines. _x000D_
4.This result detects a minimal to mild bronchial pulmonary pattern._x000D_
5.This result detects a minimal to mild interstitial pulmonary pattern._x000D_
6.This result does NOT detect  an alveolar pulmonary pattern.</t>
  </si>
  <si>
    <t>Study:_x000D_
Thoracic radiography: three images dated April 9, 2024_x000D_
_x000D_
Findings:_x000D_
Motion artifact is present on both lateral projections. The cardiac silhouette and pulmonary vasculature are normal in size. There is a mild generalized bronchial pulmonary pattern. The pleural space is normal. There is no intrathoracic lymphadenopathy. The trachea is normal in diameter and course. The included abdomen is unremarkable. No skeletal abnormalities are present.</t>
  </si>
  <si>
    <t>Study:_x000D_
Thoracic/abdominal radiography: three images dated April 9, 2024_x000D_
_x000D_
Findings:_x000D_
The cardiac silhouette and pulmonary vasculature are normal in size. The pulmonary parenchyma is unremarkable. The pleural space is normal. There is no intrathoracic lymphadenopathy. The trachea is normal in diameter and course.The stomach is empty. The small intestines are normal in size, course and content. The colon contains formed fecal material. The liver and spleen are normal in size and margin. The kidneys are normal in size and contour. The urinary bladder is normal in size and opacity. There is narrowing of the L5-L6 through L7-S1 intervertebral disc spaces. There is moderate to severe spondylosis deformans and sclerotic endplates at L6-L7 and L7-S1. There is mild T 12-T 13 spondylosis deformans without intervertebral disc space narrowing. There is a small amount of smooth and continuous new bone formation at the cranioproximal aspect of the right tibial crest. The patient is of obese body condition.</t>
  </si>
  <si>
    <t>1.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thorax._x000D_
3. L5-L6, L6-L7 and L7-S1 intervertebral disc disease._x000D_
4. Right patellar enthesopathy.</t>
  </si>
  <si>
    <t xml:space="preserve">
1.Rarely, this result detects a minimal alveolar pulmonary pattern._x000D_
2.This result detects a minimal to mild interstitial pulmonary pattern.  _x000D_
3.This result detects a minimal to mild, or rarely moderate bronchial pulmonary pattern._x000D_
4.This result detects none, or equivocal/borderline to moderate cardiomegaly. _x000D_
5.This result does not detect pulmonary vasculature enlargement._x000D_
6.Rarely, this result detects minimal pleural fissure lines/fluid.  </t>
  </si>
  <si>
    <t>WHOLE-BODY (3 radiographs for review). No previous examinations for comparison._x000D_
_x000D_
- Excessive body habitus._x000D_
- Peritoneal serosal detail is normal._x000D_
- Stomach contains mild gas and soft-tissue opaque material._x000D_
- Small intestine contains mild multifocal gas and soft-tissue opaque material._x000D_
- Colon contains minimal formed fecal material and gas._x000D_
- Liver, spleen, kidneys, urinary bladder and remaining abdominal structures normal._x000D_
- Cardiac silhouette, pulmonary vasculature, pulmonary parenchyma and pleural space normal._x000D_
- Small volume of gas in the thoracic esophagus._x000D_
- Included musculoskeletal structures unremarkable.</t>
  </si>
  <si>
    <t>1. Unremarkable abdominal radiographs without distinct cause for the reported clinical signs. Radiographic sensitivity for determination of nonspecific gastrointestinal functional ileus may be limited, and if clinically indicated, abdominal ultrasonography might be considered for further assessment._x000D_
_x000D_
2. Excessive body habitus._x000D_
_x000D_
3. Mild aerophagia.</t>
  </si>
  <si>
    <t>Consider laryngeal exam under sedation.</t>
  </si>
  <si>
    <t>Three radiographs of the thorax are provided. The cardiac silhouette is normal size on the lateral view. Fat deposition encircles the heart on the 2nd VD view, causing the cardiac silhouette to appear larger on this projection. Pulmonary vessels are normal size. There are no abnormalities in the pulmonary parenchyma. No pleural effusion. No enlarged intrathoracic lymph nodes. Tracheal diameter and position is normal.</t>
  </si>
  <si>
    <t>Recommend routine blood work to rule out a metabolic abnormality. If there is no improvement with treatment for upper airway infection/inflammation, additional nasal imaging such as computed tomography may be necessary.</t>
  </si>
  <si>
    <t>Four orthogonal survey radiographs of the thorax and abdomen dated 8th April 2024 are available for review. There are no previous radiographs available for comparison. These images are submitted for assessment of the abdomen._x000D_
_x000D_
Abdomen: The hepatic silhouette is normal in size with smooth borders. The spleen is normal in shape, size and position. The kidneys are partially obscured by gastrointestinal contents, but the visible aspect are normal. The stomach contains some gas and soft tissue opaque material and has a normal axis. The small intestines are homogenously filled with mainly fluid/soft tissue opaque material and are within normal limits for shape and size. The descending colon contains mainly gas. The urinary bladder is intact. The serosal detail is normal._x000D_
_x000D_
Musculoskeletal findings: There is slight malpositioning of the C6 vertebral body relative to the C7 vertebral body with the C7 vertebral body slightly dorsally displaced._x000D_
_x000D_
Included thorax: There is interstitial to faint alveolar opacification of the cranial lung fields.</t>
  </si>
  <si>
    <t>1. Unremarkable abdomen. No signs of trauma abdominal effusion or free abdominal gas._x000D_
2. The interstitial opacification of the cranial lungs is most likely due to lung contusion._x000D_
3. Potential traumatic subluxation of C6-C7. Positional artefact should also be considered.</t>
  </si>
  <si>
    <t>Careful monitoring for onset of any respiratory signs, and repeat radiographs is advised. Correlate with any signs of cervical trauma. Supportive management in the meantime.</t>
  </si>
  <si>
    <t xml:space="preserve">
1.This result detects a minimal to mild interstitial pulmonary pattern._x000D_
2.This result does NOT detect an alveolar pulmonary pattern._x000D_
3.This result detects a minimal to moderate bronchial pulmonary pattern._x000D_
4.This result detects equivocal/borderline to moderate cardiomegaly._x000D_
5.This result does NOT detect pleural fissure lines.</t>
  </si>
  <si>
    <t>Herman Leutzenheiser. Date of study: 04/8/24. Full body radiographs are submitted for thoracic evaluation (3 view, 3 images. 1 VD, 2 Lateral). No prior radiographs are available for comparison. 
Thorax:
The cardiovascular structures are normal.
The lungs are normal.
The pleural space is normal.
The musculoskeletal structures are normal.
The cranial abdomen is normal.
Abdomen: 
The liver and spleen are enlarged and have rounded margins.
The stomach contains gas and some heterogeneous soft tissue.  The small intestines are normal and uniform in size and contain gas and homogeneous soft tissue.  The colon contains gas and feces.
The kidneys and urinary bladder are normal.
The serosal detail is normal.
Musculoskeletal:
The osseous and soft tissue structures are normal.</t>
  </si>
  <si>
    <t>1. Hepatosplenomegaly.  Consider infectious disease or neoplasia such as lymphoma.
2. Normal thorax.</t>
  </si>
  <si>
    <t>Abdominal ultrasonography for further evaluation of the liver/spleen may be useful for further assessment.</t>
  </si>
  <si>
    <t>Daniel Lantz</t>
  </si>
  <si>
    <t>Patient name:  Mew Granados
THORACOABDOMEN (3 images, [2 Lateral, 1 VD]) 
Images are dated April 8, 2024.
There are no previous radiographs for comparison. 
THORAX:
Airway/Pulmonary: The lungs and airways are normal.  
Cardiovascular: The cardiac silhouette and pulmonary vessels are normal. 
Mediastinum: Normal.
Pleural space: Normal.
ABDOMEN:
GI: The stomach contains a small volume of gas.  The small intestines are normal and uniform in size and contain predominantly homogeneous soft tissue. The colon contains gas and feces.
Liver: The liver is normal in size and shape with smooth margins.
Spleen: The spleen is normal in size and shape with smooth margins. 
Kidneys and Urinary Bladder: Both kidneys are normal in size and shape with smooth margins. The urinary bladder is mildly fluid distended. No radiopaque urinary calculi are detected. 
Abdominal detail: Serosal detail is adequate. 
MUSCULOSKELETAL: 
Subcutaneous gas bubbles are seen in the dorsal thoracic subcutaneous space.  The skeletal structures are normal.</t>
  </si>
  <si>
    <t xml:space="preserve">1. Normal thorax and abdomen.  
2. Dorsal subcutaneous gas is most likely from recent subcutaneous fluid administration.  A subcutaneous abscess cannot be ruled out, particularly considering the reported fever. </t>
  </si>
  <si>
    <t>A fever as high as reported should be treated urgently.  Laboratory testing (blood/urine) may be useful in determining the cause of the fever; and an abdominal ultrasound may also be useful.  As fever workups may be arduous, and in some cases an underlying cause is not found even with exhaustive diagnostic testing, consultation with an Internal Medicine specialist may also be useful.</t>
  </si>
  <si>
    <t>WHOLE-BODY (5 radiographs for review). No previous examinations for comparison._x000D_
_x000D_
- Mild cardiomegaly, characterized by a generalized rounding of the cardiac margins and mildly increased cardiothoracic width._x000D_
- Pulmonary vasculature remains within normal limits._x000D_
- Mild diffuse bronchial pattern._x000D_
- Mild pulmonary hyperinflation, resulting in a flattening of the diaphragm._x000D_
- Mild gas in the thoracic esophagus._x000D_
- Remaining included intrathoracic structures normal._x000D_
- Stomach contains mild gas and soft-tissue/fluid._x000D_
- Small intestine contains mild soft-tissue/fluid and gas._x000D_
- Colon contains gas and formed fecal material._x000D_
- Liver, spleen, kidneys, urinary bladder normal._x000D_
- Small sutures in the region of the ovarian pedicles and ventral abdominal body wall._x000D_
- Included musculoskeletal structures unremarkable._x000D_
- Mildly excessive body habitus.</t>
  </si>
  <si>
    <t>1. A discrete radiographic cause for the reported decreased appetite and lethargy is not clearly identified. The appearance of the gastrointestinal tract is nonspecific and can be compatible with a combination of aerophagia and generalized functional ileus such as gastroenteritis or infiltrative bowel disease such as IBD or lymphoma._x000D_
_x000D_
2. Radiographically unremarkable kidneys and urinary system. Given the reported history, consider abdominal ultrasound for improved assessment._x000D_
_x000D_
3. Mild generalized cardiomegaly, without pulmonary vascular congestion or congestive heart failure. Most likely compatible with cardiomyopathy (e.g. hypertrophic, restrictive, unclassified). Consider echocardiography/ECG for further assessment._x000D_
_x000D_
4.  Moderate diffuse bronchial pattern with pulmonary hyperinflation. Most compatible with chronic lower airway disease with secondary air-trapping. Considerations would include feline asthma or bronchitis of infectious, allergic or inhaled irritant etiologies._x000D_
_x000D_
5. Excessive body habitus.</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</si>
  <si>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
(amended on 04/07/2024 01:23)
Bilateral mildly irregular kindyes._x000D_
Unremarkable spine other than chronic IVDD at L7-S1.</t>
  </si>
  <si>
    <t>1) Unremarkable thorax without signs of pulmonary metastases nor signs of thoracic lymphadenopathy._x000D_
2) Unremarkable abdomen.
(amended on 04/07/2024 01:23)
Bilateral chronic renal changes.</t>
  </si>
  <si>
    <t>Underlying causes for breathing hard include upper airway obstruction, pain, acid-base imbalance, spinal cord compression, intracranial disease, hyperthermia and PTE._x000D_
Consider CBC and work up for breathing hard with CBC, biochemistry, abdominal US (to also evaluate causes of anorexia and weight loss), neuro exam and upper airway exam.
(amended on 04/07/2024 01:23)
While performing the abdominal US, also evaluate the urinary tract with renal function test, urinalysis, UPC and urine culture.</t>
  </si>
  <si>
    <t xml:space="preserve">
1.This result detects minimal to mild, mixed interstitial and bronchial pulmonary patterns._x000D_
2.This result does NOT detect soft tissue pulmonary nodules._x000D_
3.Rarely, this result detects minimal to mild pleural fissure lines/fluid._x000D_
4.This result detects minimal/equivocal to moderate cardiomegaly._x000D_
5.This result does NOT detect an alveolar pulmonary pattern.  </t>
  </si>
  <si>
    <t>3 views of the entire body are provided for review. The cardiovascular and pulmonary structures are normal. No pleural or mediastinal abnormalities are seen. Abdominal serosal detail is adequate. The stomach contains a moderate amount of soft tissue material. The small intestines are normal in size. Gas and feces are present in the colon. The remaining abdominal organs are normal.</t>
  </si>
  <si>
    <t>Radiographically normal thorax. Gastric contents may represent normal ingesta or foreign material.</t>
  </si>
  <si>
    <t>Consider repeat radiographs following fasting to determine if gastric contents persist.</t>
  </si>
  <si>
    <t>1) Unremarkable lungs do not exclude a lower airway disease such as  parasitic bronchitis vs asthma._x000D_
2) Unremarkable abdomen.</t>
  </si>
  <si>
    <t>Consider empirical treatment for parasitic bronchitis vs asthma with deworming evaluating response to treatment. If clinical signs persist, consider a bronchoscopy with BAL, culture, cytology, Baermann test and deworming.</t>
  </si>
  <si>
    <t xml:space="preserve">
1.Rarely, this result detects a minimal to mild alveolar pulmonary pattern._x000D_
2.This result detects a minimal to mild or rarely moderate interstitial pulmonary pattern._x000D_
3.This result detects a minimal to mild or rarely moderate bronchial pulmonary pattern._x000D_
4.Rarely, this result detects minimal pleural fissure lines._x000D_
5.This result detects mild to moderate, or rarely severe cardiomegaly.</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</si>
  <si>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A large amount of fat is present within the peritoneum.  The stomach contains a moderate amount of soft tissue material.  The small intestines are normal in size.  Gas and feces are present in the colon.  The urinary bladder is small.  The remaining abdominal organs are normal.</t>
  </si>
  <si>
    <t>Material within the stomach may represent residual ingesta or foreign material.  Radiographically normal thorax for patient of this age.</t>
  </si>
  <si>
    <t>Orthogonal views of the thorax and abdomen are provided:_x000D_
_x000D_
Thorax:_x000D_
_x000D_
Cardiac silhouette has a normal shape and size._x000D_
Pulmonary vessels are within normal limits of size and shape._x000D_
Pulmonary parenchyma shows a poorly defined pulmonary mass caudodorsally located in the lateral views, larger in the. RL view when compared to the LL view, therefore most likely located in the left caudal lung lobe,._x000D_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</si>
  <si>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Findings very suspicious of a left caudal lung lobe mass such as a primary pulmonary neoplasia. A pulmonary granuloma, abscess or metastatic lesion is far lesss likely._x000D_
2) Unremarkable abdomen.</t>
  </si>
  <si>
    <t>Consider US guided FNAs after a CT of the thorax to completely rule out concomitant metastases.</t>
  </si>
  <si>
    <t>THORAX:_x000D_
Images are dated April 5, 2024._x000D_
_x000D_
Pulmonary parenchyma:  A minimal diffuse bronchial pattern is present._x000D_
Pulmonary vasculature:  The pulmonary vasculature are subjectively normal in size and taper as expected in the periphery of the lungs.  _x000D_
Cardiac silhouette:  The cardiac silhouette is normal in size and shape._x000D_
Mediastinum:  The cranial mediastinum is normal._x000D_
Pleural space:  THe pleural space is normal._x000D_
Trachea:  The trachea is normal._x000D_
Esophagus:  The esophagus is normal.  _x000D_
_x000D_
Musculoskeletal:  The patient is obese.  The remaining included thoracic musculoskeletal structures are normal.</t>
  </si>
  <si>
    <t>1. Minimal diffuse bronchial pulmonary pattern._x000D_
- Differential diagnoses include infectious/immune-mediated lower airway disease (mycoplasma spp., bordetella spp., inhaled allergen/irritant or asthma, or parasitism, or a combination of these), and/or fibrosis from prior disease, age-related changes, or unlikely other._x000D_
2. Obesity.</t>
  </si>
  <si>
    <t>Consider respiratory PCR panel with/without airway sampling and fecal analysis/empirical deworming.  Empirical therapy and supportive care in the interim as needed.  Monitoring as directed, or sooner if clinical signs acutely change, fail to improve or worsen in the face of empirical therapy.</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</si>
  <si>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gas.  The small intestines are diffusely gas dilated.  Gas and feces are present in the colon.  The urinary bladder is small.  The remaining abdominal organs are normal.</t>
  </si>
  <si>
    <t>Diffuse gastrointestinal dilation may be related to previously suspected inflammatory bowel disease or infiltrative neoplasia.  Radiographically normal thorax for patient of this age.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</si>
  <si>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A rounded soft tissue mass is seen in the cranioventral thorax, silhouetting with the cranial aspect of the heart.  This is more caudal than expected for sternal lymph nodes.  The pleural structures are normal.  Abdominal serosal detail is adequate in all quadrants.  The stomach contains a large amount of soft tissue material.  The small intestines are normal in size.  Gas and feces are present in the colon.  The urinary bladder is small.  The kidneys are small.  The remaining abdominal organs are normal.</t>
  </si>
  <si>
    <t>Small kidneys consistent with chronic renal disease.  Material within the stomach may represent residual ingesta or foreign material.  Consider repeat radiographs following strict fasting to determine if gastric contents persist.  Outflow obstruction secondary to infiltrative neoplasia or delayed gastric emptying secondary to pancreatitis cannot be excluded.  Abdominal ultrasound could also be considered.  Cranioventral thoracic mass.  Consider lymphadenopathy, bronchial arch cyst, other origin neoplasia.  CT or ultrasound could be considered in further evaluation and sampling.</t>
  </si>
  <si>
    <t>Orthogonal views of the thorax and abdomen are provided:_x000D_
_x000D_
Thorax:_x000D_
_x000D_
Cardiac silhouette has a normal shape and size._x000D_
Pulmonary vessels are within normal limits of size and shape._x000D_
Pulmonary parenchyma shows a questionable bronchial pattern. Pleural space, mediastinum, diaphragm and thoracic wall within normal limits._x000D_
_x000D_
Abdomen:_x000D_
_x000D_
The stomach is filled with small volume of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Bilateral hip dysplasia with moderate periarticular osteophytosis worse on the right side.</t>
  </si>
  <si>
    <t>1) Rule out bronchial pattern secondary to a chronic lower airway disease such as asthma vs feline chronic bronchitis vs bronchitis of parasitic origin._x000D_
2) Unremarkable abdomen.</t>
  </si>
  <si>
    <t xml:space="preserve">
1.This result does not detect an alveolar pulmonary pattern._x000D_
2.This result does not detect pulmonary vasculature enlargement._x000D_
3.Rarely, this result detects minimal pleural fissure lines/fluid.  _x000D_
4.This result detects mild cardiomegaly. _x000D_
5.This result detects a minimal, or rarely mild interstitial pulmonary pattern.  _x000D_
6.This result detects a minimal to mild, or rarely moderate bronchial pulmonary pattern.</t>
  </si>
  <si>
    <t>3 views of the entire body are provided for review. There is a severe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moderately distended.  The kidneys are small with mildly irregular margins.  The remaining abdominal organs are normal.</t>
  </si>
  <si>
    <t>Chronic renal changes.  Severe bronchial pulmonary pattern.  Considerations include asthma, heartworm, lungworm, atypical infection, bronchitis.</t>
  </si>
  <si>
    <t>Consider empiric therapy versus further diagnostics such as Baermann fecal, airway sampling.</t>
  </si>
  <si>
    <t>Opposite lateral and ventrodorsal whole body radiographs open these 4 images) dated April 4, 2024._x000D_
_x000D_
There is a large amount of amorphous pleural effusion that is bilateral and resulting in border effacement of the cardiac silhouette, diaphragmatic cupula, caudal vena cava, and cranial mediastinum. The effusion is also resulting in rounding and retraction of the lung lobes. Based on the visible portions of the cardiac silhouette, there is concern for cardiac enlargement with dorsal deviation the trachea and suspected widening on the VD projection. Caudal pulmonary vessels are enlarged, and there is an unstructured interstitial pattern in the caudal lung field._x000D_
The liver is enlarged. The stomach contains normal ingesta. The colon contains normal stool. Both kidneys are obscured from visualization. Urinary bladder is small and fluid opaque. Peritoneal detail is mildly reduced. There is partial in situ disc mineralization affecting the lumbar disc spaces. No aggressive osseous lesions are identified.</t>
  </si>
  <si>
    <t>Left and right congestive heart failure, resulting in pleural effusion and pulmonary edema. The hepatomegaly can represent hepatic venous congestion from heart failure vs. a benign metabolic/vacuolar hepatopathy vs. infiltrative neoplasia or hepatitis._x000D_
Questionable peritoneal effusion.</t>
  </si>
  <si>
    <t>Thoracocentesis. _x000D_
Initiate diuretic therapy (at least 2 injectable doses at 3-4 mg/kg IV or IM q 4hrs before transitioning the oral therapy) and oral pimobendan therapy once safe to administer. Oxygen therapy as clinically indicated._x000D_
Recheck thoracic radiographs could be performed in 24 hours to assess pulmonary clearance._x000D_
Schedule an echocardiogram.</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</si>
  <si>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_x000D_
Multifocal signs of chronic IVDD, especially at L7-S1._x000D_
Bilateral hip dysplasia with mild DJD.</t>
  </si>
  <si>
    <t>Consider abdominal US to further evaluate potential causes of pain as well as a full neuro exam with MRI if necessary.</t>
  </si>
  <si>
    <t xml:space="preserve">
1.This result detects a minimal to mild interstitial pulmonary pattern.  _x000D_
2.This result does not detect pulmonary vasculature enlargement._x000D_
3.This result does not detect pleural fissure lines/fluid.  _x000D_
4.This result detects equivocal/borderline to mild cardiomegaly. _x000D_
5.This result detects a minimal to mild bronchial pulmonary pattern._x000D_
6.This result does not detect an alveolar pulmonary pattern._x000D_
7.This result does not detect pulmonary soft tissue nodules.</t>
  </si>
  <si>
    <t>Patient name: Helly Leon. Date of study: 4/3/24. Three whole body radiographs, 1 VD and 2 Laterals, are available for interpretation. Whole body evaluation has been requested._x000D_
_x000D_
Thorax:_x000D_
Airway/pulmonary parenchyma: The ventral half of the lungs cannot be assessed on the lateral projection due to pleural fluid. An interstitial pattern is present in the accessory lung lobe region. Caudodorsally, the pulmonary vasculature is distended causing a mild increase in opacity. The caudal lung lobes are hyperinflated. On the VD projection, there is opacification of the left cranial thorax, an alveolar infiltrate affecting the left caudal lung lobe and an interstitial pattern affecting the right lung. _x000D_
_x000D_
Cardiovascular: The cardiac silhouette is partially obscured by overlying fluid however based on tracheal elevation and the visible portion of the cardiac silhouette, mild cardiomegaly is present. The visible pulmonary vasculature is distended._x000D_
_x000D_
Mediastinum: The cranial mediastinum is obscured by pleural fluid. No overt caudal mediastinal lesions are noted. _x000D_
_x000D_
Pleural space: Moderate pleural fluid is present. _x000D_
_x000D_
Abdomen:_x000D_
Liver: The liver is enlarged resulting in caudal displacement to the stomach. _x000D_
_x000D_
Spleen: The visible spleen is moderately enlarged on the lateral projection. _x000D_
_x000D_
Kidneys and urinary bladder: The kidneys are partially obscured by an overlying wispy decrease in retroperitoneal detail. The renal silhouettes appear enlarged on the lateral projection but asymmetrically enlarged on the VD projection. A normal urinary bladder silhouette is NOT identified.  _x000D_
_x000D_
GI: The stomach is gas distended. The small bowel is displaced into the caudal abdomen and is fluid and gas filled but without segmental bowel dilation. The colon contains a minimal quantity of formed feces. _x000D_
_x000D_
Abdominal detail: Abdominal and retroperitoneal detail are decreased. There is a mass effect in the mid-abdomen, caudal to the stomach resulting in caudal displacement of the small bowel. _x000D_
_x000D_
Msk: The cat is diffusely muscle wasted. S7 is short and misshapen but has a congenitally abnormal appearance.</t>
  </si>
  <si>
    <t>1) Hepatosplenomegaly and mid-abdominal mass effect. Bilateral renomegaly. Rule out lymphoma. _x000D_
2) Smal urinary bladder. DDx: recent micturition vs. anuria or oliguria._x000D_
3) Cardiomegaly, pulmonary venous distention and pleural effusion. DDx: overhydration secondary to treatment for renal disease vs. primary cardiac disease. _x000D_
4) Cachexia consistent with chronic weight loss.</t>
  </si>
  <si>
    <t>Thoracic and abdominal ultrasounds. Thoracentesis, abdominocentesis. Monitor urine production. Coagulation profile, platelet count and PCV prior to abdominal tissue sampling.
(amended on 04/04/2024 10:36)
Cardiac ultrasound along with thoracic ultrasound. ECG and systemic blood pressure evaluation.</t>
  </si>
  <si>
    <t xml:space="preserve">
1.This result detects equivocal/borderline to severe cardiomegaly._x000D_
2.This result detects a mild to moderate interstitial pulmonary pattern._x000D_
3.Rarely, this result detects a minimal to mild alveolar pulmonary pattern._x000D_
4.This result detect minimal to mild, or rarely moderate pleural fissure lines/fluid. _x000D_
5.Rarely, this result detects minimal to mild pulmonary vasculature enlargement._x000D_
6.This result detects a minimal to moderate bronchial pulmonary pattern.</t>
  </si>
  <si>
    <t>A three view thoracoabdominal study is provided for interpretation._x000D_
_x000D_
There is a focal area of dependent alveolar infiltrates in the caudal subsegment of the left cranial lung lobe. Mild alveolar infiltrates are also suspected in the cranial subsegment of the right cranial lobe. The other lung fields are within normal limits for patient age. The cardiovascular structures are within normal limits. No tracheal or esophageal abnormalities are seen._x000D_
_x000D_
There is granular appearing mineral density distributed through the right side of the liver that was not present in the previous radiographs dated 6-26-23. There is also a focal round mineral density compatible with a cholelith that was present previously but is more prominent in the current study and increased in size. The right lateral liver lobe is moderately enlarged, which is not unexpected for diabetic but is significantly more prominent than what was seen in the previous study nine months ago._x000D_
Most of the GI tract appears normal, but there is one short segment of small intestine that is moderately gas dilated in the right caudal abdomen. The other abdominal organs are within normal limits. Abdominal serosal detail is normal.</t>
  </si>
  <si>
    <t>There are mild alveolar infiltrates in the ventral aspect of both cranial lung lobes. This likely represents regional pneumonia as a cause of the neutrophilia. Relevance to the other presenting complaint is unknown._x000D_
_x000D_
There is one loop of small intestine that is moderately gas dilated in the right caudal abdomen. Considering the rest of the intestinal tract appears normal this is probably a transient incidental finding. Partial small intestinal obstruction with radiolucent for material still cannot be excluded._x000D_
_x000D_
The mineral density in the liver is presumed to be in the biliary tree, possibly including a cholelith in the bile duct. This is abnormal but probably incidental considering the normal chemistry profile reported in the labwork._x000D_
_x000D_
The liver enlargement is most likely secondary to the diabetes, but considering the presenting clinical signs hepatitis or hepatic lymphoma should also be ruled out.</t>
  </si>
  <si>
    <t>Antibiotic therapy for suspected pneumonia is recommended._x000D_
_x000D_
Ultrasound evaluation of the abdomen should be considered.</t>
  </si>
  <si>
    <t>3 views centered over the thorax are submitted for review.  The cardiac silhouette and pulmonary vasculature are within normal limits.  A moderate generalized bronchial pattern is noted throughout the lung fields.  No pleural effusion or intrathoracic lymphadenopathy is seen.  The trachea is normal in diameter._x000D_
In the abdomen, the stomach contains a moderate amount of ingesta.  The small bowel and colon contain mild amount of gas.  No organomegaly is seen._x000D_
Moderate degenerative changes are noted in the thoracolumbar spine and caudal lumbar spine.</t>
  </si>
  <si>
    <t>The appearance of the lung fields is nonspecific and could be associated with chronic bronchitis or feline asthma._x000D_
Radiographically normal postprandial abdomen.</t>
  </si>
  <si>
    <t>Given the lack of response to empirical therapy, lower airway sampling with transtracheal wash or BAL could be considered.  Fungal testing could also be considered.  This is otherwise, broad-spectrum antibiotic therapy could be considered.</t>
  </si>
  <si>
    <t>Opposite lateral and ventrodorsal whole body radiographs (3 images) dated April 3, 2024._x000D_
_x000D_
The cardiac silhouette is unremarkable in size and shape on the lateral views. On the VD projection there is some degree of widening at the cranial cardiac base. The caudal pulmonary arteries are slightly larger than the paired veins. The cranial pulmonary vessels are normal. The great vessels are unremarkable. The lungs have a mild diffuse bronchial pattern. No pulmonary nodules or masses are identified. No intrathoracic lymphadenopathy is evident. The trachea is normal in diameter and course with gas filling its lumen. The pleural space, mediastinum, and diaphragm are normal. The liver and spleen are normal in size and shape. The left kidney is normal in size and shape. The right kidney is only visible on the lateral views and appears similarly unremarkable in size and shape. The urinary bladder is mildly fluid-filled. The stomach contains a mild amount of heterogeneous soft-tissue content mixed with a small amount of gas. The small intestine has a mild and unremarkable variation in diameter with most segments containing soft-tissue/fluid content and a minority containing gas. The colon contains unremarkable appearing stool and has a normal course. Retroperitoneal and peritoneal detail are normal. No regional lymphadenopathy is evident._x000D_
No aggressive or clinically significant osseous pathology is identified.</t>
  </si>
  <si>
    <t>1. Pulmonary arterial enlargement raises concern for either cardiac disease or pulmonary hypertension. There is no evidence of left congestive heart failure._x000D_
2. Cardiac widening appreciable on the VD projection. This can represent cardiac disease or potentially pericardial fat creating the artifactual impression of cardiomegaly._x000D_
3. Mild bronchial pattern is concerning for bronchitis. Rule out eosinophilic/feline asthma vs. infectious (bacterial or parasitic [including heartworm]) vs. chronic inhaled irritants._x000D_
4. Unremarkable abdomen.</t>
  </si>
  <si>
    <t>CBC, chemistry, UA, T4, systemic blood pressure evaluation, and cardiac proBNP testing. Echocardiogram based on initial results._x000D_
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</si>
  <si>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Opposite lateral and ventrodorsal thoracic and abdominal radiographs (6 images) dated April 2,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A small volume of gas is visible in the trachea at the level of the thoracic inlet on the right lateral view, and in the midthoracic esophagus on the left lateral view. No intrathoracic lymphadenopathy is evident._x000D_
The liver and spleen are normal in size and shape. The stomach is moderately and atypically gas distended. The small intestine is uniformly normal in diameter, soft-tissue opaque, and has a normal course. The colon contains normal appearing stool and has a normal course. Both kidneys are normal in size and shape. The urinary bladder is small and fluid opaque. Retroperitoneal and peritoneal detail are normal. No regional lymphadenopathy is evident._x000D_
No aggressive or clinically significant osseous pathology is identified.</t>
  </si>
  <si>
    <t>1. Unremarkable thorax aside from a small amount of gas in the esophagus. It is unclear if this represents an incidental finding vs. esophagitis._x000D_
2. Moderate gastric distention with gas. This can be seen with gastritis, aerophagia, and less likely incidental from sedation. The remainder of the abdomen is unremarkable, and there is no evidence of a gastrointestinal mechanical obstruction.</t>
  </si>
  <si>
    <t>CBC, Chem, UA, T4, fecal, systemic blood pressure, FeLV/FIV, fPLI, and abdominal ultrasound.</t>
  </si>
  <si>
    <t>Opposite lateral and ventrodorsal whole body radiographs (3 images) dated April 3, 2024. _x000D_
_x000D_
_x000D_
The cardiac silhouette is enlarged with dorsal deviation the trachea and excessive widening on the VD projection. The caudal vena cava is severely enlarged. The pulmonary vessels are mildly enlarged, particularly the arteries. The caudal dorsolateral aspect of the right caudal lung lobe has a patchy poorly marginated but somewhat structured alveolar infiltrate/soft-tissue infiltrate measures approximately 3.1 x 2.2 x 1.5 cm. The remainder of the pulmonary parenchyma has a mild bronchointerstitial pulmonary pattern. The trachea is unremarkable in diameter and contains gas. No intrathoracic lymphadenopathy is evident. There are conspicuous pleural fissure lines on multiple views. The Steinem and diaphragm are normal._x000D_
The liver is moderately enlarged. The stomach contains a small volume of gas. The spleen is unremarkable in size and shape. Both kidneys are normal in size and shape. The urinary bladder is moderately fluid-filled. The small intestine has a moderate variation in diameter with the more distended segments containing gas. The small bowel is more spread out distribution than is typical for the cat. The colon contains normal stool proximally and gas distally. Retroperitoneal detail is normal. Peritoneal detail immediately surrounding some of the small bowel is mildly reduced. The remainder the peritoneal space has adequate detail. No regional lymphadenopathy is evident._x000D_
No aggressive or clinically significant osseous pathology is identified.</t>
  </si>
  <si>
    <t>1. Cardiomegaly is consistent with a primary or thyrotoxic cardiomyopathy. The severe caudal vena cava enlargement with scant pleural effusion and hepatomegaly is consistent with right congestive heart failure. Left congestive heart failure is considered unlikely at this time._x000D_
2. Somewhat structured alveolar/soft-tissue infiltrate in the lateral aspect of the right caudal lung lobe. This is concerning for pulmonary mass (such as pulmonary carcinoma) vs. less likely a granuloma or abscess vs. atypical distribution of pulmonary edema from heart failure is less likely._x000D_
3. Moderate-severe hepatomegaly is suspected to be secondary to hepatic venous congestion. Alternative or concurrent causes, such as infiltrative round cell neoplasia or FIP cannot be ruled out._x000D_
4. Atypical appearance the small intestine and subtle reduction and peritoneal detail surrounding the small bowel is concerning for enteritis or flareup of a chronic enteropathy.</t>
  </si>
  <si>
    <t>Initiate diuretic therapy for right congestive heart failure. Recheck thoracic radiographs after 72 hours on furosemide to reassess the right caudal pulmonary lesion=ZZ90= if it persists, ultrasound-guided fine needle aspirates could be considered intercostally for attempted cytologic diagnosis._x000D_
Cardiac proBNP testing, T4, systemic blood pressure evaluation, and schedule an echocardiogram._x000D_
Abdominal ultrasound.</t>
  </si>
  <si>
    <t xml:space="preserve">
1.This result does not detect pleural fissure lines/fluid.  _x000D_
2.This result detects a minimal to mild interstitial pulmonary pattern.  _x000D_
3.This result detects a minimal to mild, or rarely moderate bronchial pulmonary pattern._x000D_
4.Rarely, this result detects a minimal to mild alveolar pulmonary pattern._x000D_
5.This result detects equivocal/borderline to mild, or rarely moderate cardiomegaly. _x000D_
6.This result does not detect pulmonary vasculature enlargement.</t>
  </si>
  <si>
    <t>If the patient has respiratory clinical signs, then differential diagnoses for mixed bronchial and interstitial pulmonary patterns include: immune-mediated lower airway disease (i.e. feline asthma) or infectious lower airway disease (such as mycoplasma spp., parasitism, viral, or other).  Additional differential diagnoses include inhaled allergen/irritant, or unlikely other.  Left-sided congestive heart failure is not suspected.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less likely bronchopneumonia, or unlikely other.  Consider bronchopneumonia more likely especially if in a younger patient that has signs of vomiting, or is febrile.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</si>
  <si>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distended.  The kidneys are small with mineral in the diverticula.  The remaining abdominal organs are normal.</t>
  </si>
  <si>
    <t>WHOLE-BODY (3 radiographs for review). No previous examinations for comparison._x000D_
_x000D_
- Generalized reduction in peritoneal serosal detail with mottled/wispy soft-tissue opacities within the peritoneal cavity particularly visible cranioventrally._x000D_
- Stomach, small intestine and colon are relatively empty, containing a mild volume of gas and mild gas stippled soft-tissue opaque material._x000D_
- Liver, spleen, kidneys, urinary bladder normal._x000D_
- Multiple sutures in the region of the ovarian pedicles and uterine stump._x000D_
- Cardiac silhouette, pulmonary vasculature, pulmonary parenchyma normal._x000D_
- Remaining included intrathoracic structures unremarkable._x000D_
- No discrete musculoskeletal abnormalities identified.</t>
  </si>
  <si>
    <t>1. There is moderate peritoneal effusion/peritonitis in the cranial abdomen in this case. In itself, the finding is nonspecific, however prioritized differentials for a four-year-old cat might include peritonitis secondary to inflammatory abdominal condition such as pancreatitis or gastroenterocolitis, systemic infectious etiologies such as feline infectious peritonitis or less likely neoplasia/carcinomatosis. Acute abdominal hemorrhage (hemoabdomen) and septic peritonitis are possible in this case and not ruled out. I would recommend considering A-FAST/complete abdominal ultrasound and diagnostic abdominocentesis if able.</t>
  </si>
  <si>
    <t>Study:_x000D_
Thoracic/abdominal radiography: four images dated April 2, 2024_x000D_
_x000D_
Findings:_x000D_
The cardiac silhouette and pulmonary vasculature are normal in size. The pulmonary parenchyma is unremarkable. The pleural space is normal. There is no intrathoracic lymphadenopathy. The larynx is unremarkable. The trachea is normal in diameter and course. There is no esophageal dilation The stomach contains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t>
  </si>
  <si>
    <t>1. Normal thorax and cervical region._x000D_
2. Unremarkable abdomen.</t>
  </si>
  <si>
    <t>Sedated oropharyngeal exam and an esophagogram can be considered for further evaluation if clinical signs persist or worsen.</t>
  </si>
  <si>
    <t>Three orthogonal survey radiographs of the thorax and abdomen dated 2nd April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is moderately filled with granular food material and has a normal axis. Within the gastric contents there is some linear gas lucencies. The small intestines are variably filled with fluid/soft tissue opaque material and some gas. The transverse and descending colon contain gas and poorly formed faeces. The urinary bladder is normal. The hepatic silhouette is normal in size with smooth borders. The spleen is normal in shape, size and position. The kidneys are partially obscured by gastrointestinal contents, but the visible aspect are normal. Cranial to the urinary bladder there is an incidental Bates body._x000D_
_x000D_
Musculoskeletal findings: No significant abnormalities are detected.</t>
  </si>
  <si>
    <t>1. The overall impression is one of enteritis/colitis.  This may be due to dietary indiscretion, or infectious-inflammatory causes. There is no evidence of a mineral opaque foreign body, or complete mechanical obstruction. The linear lucency is within the gastric content may be due to folding of the rugal folds, or potentially a textile foreign body. Pancreatitis cannot be excluded.</t>
  </si>
  <si>
    <t>Supportive management including rehydration, gastroprotectants,  full blood work, faecal analysis if clinically indicated is advised, if not already performed. Repeat 3-view post fasting radiographs depending on clinical progression or consider an abdominal ultrasound. An upper GI contrast study may also be considered depending on results of post fasting radiographs.</t>
  </si>
  <si>
    <t>Patient name: Jade Anderson. Date of study: 4/2/24. Three whole body radiographs are available for interpretation. No prior radiographs are available for comparison._x000D_
_x000D_
Abdominal evaluation has been requested._x000D_
_x000D_
Abdomen:_x000D_
Liver: Liver size is at the lower limits of normal but retains a smooth. Liver size is decreased on both the left and right but less liver is present on the left based on the VD projection. A soft tissue opacity is noted in the caudodorsal thorax on the lateral projections and along midline, overlying the liver on the VD projection. _x000D_
_x000D_
Spleen: Normal_x000D_
_x000D_
Kidneys and urinary bladder: Both kidneys are slightly small but retain a smooth margin. The urinary bladder is small. No radiopaque calculi are noted._x000D_
_x000D_
GI: The stomach is empty with minimal gas in the lumen centrally. There is questionable thickening to the gastric mucosa vs. adhered mucus. The small bowel in the cranial abdomen is gas filled and has a rigid appearance while the small bowel in the caudal abdomen is empty and uniformly soft tissue opaque. The intra-abdominal colon contains semiformed feces while the quantity of fecal material in the perineal region is increased suggestive of distal colonic distention or a perineal hernia on the lateral projection.  This region of the distal colon is not included on the VD projection. In the mid-abdomen, the proximal portion of the descending colon appears displaced to the right secondary to increased soft tissue and a mass effect in the left cranial abdomen.  _x000D_
_x000D_
Abdominal detail: Left cranial abdominal detail is decreased and there is increased soft tissue opacity in this region. This decrease in abdominal detail is positioned dorsal to the kidneys on the lateral projections. No sublumbar lymph node enlargement is noted however, an oval soft tissue opacity resides dorsal to the colon consistent with a mildly enlarged pericolic lymph node._x000D_
_x000D_
Caudal thorax: As mentioned above, an increase in soft tissue opacity is noted in the caudodorsal thorax with this soft tissue opacity overlying the liver on the VD projection. _x000D_
_x000D_
Msk: Soft tissue swelling with a wispy appearance and discrete soft tissue nodules are associated with the caudoventral abdominal wall. The more cranial soft tissue nodules have a discrete margin suggestive of a cutaneous location while the soft tissue nodule further caudal is less defined indicative of a subcutaneous location. No overt inguinal lymph node enlargement is noted. _x000D_
_x000D_
Subcutaneous emphysema is dorsal to the thoracic spine and overlies the left distal thigh musculature on the VD projection.</t>
  </si>
  <si>
    <t>Dear Dr. Ukili. Because there are findings that may pertain to the mammary cancer and other findings that likely do not pertain to the mammary cancer, I=ZZ91=m including this note in the report. I think the soft tissue structure in the caudodorsal thorax represents herniated liver or a hiatal hernia and not a pulmonary mass. This should be confirmed via ultrasound. I don=ZZ91=t see evidence of inguinal or sublumbar lymph node enlargement. The other conclusions below do require additional diagnostics to further assess. _x000D_
_x000D_
Pertaining to the mammary cancer:_x000D_
1) Caudoventral cutaneous and subcutaneous nodules consistent with mammary carcinoma and regional lymph node enlargement, respectively._x000D_
2) No overt inguinal or sublumbar lymph node enlargement noted._x000D_
3) Soft tissue structure in the caudodorsal thorax. The midline location and confluent caudal margin makes a liver lobe herniation through the esophageal hiatus or hiatal hernia with primary microhepatia the primary considerations. Either may be secondary to vomiting. A pulmonary mass is considered unlikely. _x000D_
_x000D_
3) Decreased left cranial abdominal detail. Active pancreatitis is most likely._x000D_
4) Bilaterally small kidneys. DDx: chronic renal disease vs. congenital renal hypoplasia. _x000D_
5) Potential gastric wall thickening with enteritis affecting a portion of the small bowel. Pancreatitis and/or renal disease could explain the GI changes._x000D_
6)  Colonic lumen distention vs. perineal hernia based on the lateral projections. No constipation noted.</t>
  </si>
  <si>
    <t>Abdominal ultrasound to further assess the above findings along with confirmation that the caudodorsal mediastinal/thoracic structure represents liver or stomach and is not pulmonary in origin. Blood work and urinalysis are also recommended.</t>
  </si>
  <si>
    <t>Orthogonal views of the thorax are provided:_x000D_
_x000D_
Thorax:_x000D_
_x000D_
Cardiac silhouette has a normal shape and size. VHS measured in the LL view is 7.2_x000D_
Pulmonary vessels are within normal limits of size and shape._x000D_
Pulmonary parenchyma is within normal limits. No evidence of pulmonary nodules/masses._x000D_
Pleural space, mediastinum, diaphragm and thoracic wall within normal limits.</t>
  </si>
  <si>
    <t>Given the lack of cardiomegaly but audible murmur, consider a cardiology consultation with ECG and echocardiogram prior to general anesthesia.</t>
  </si>
  <si>
    <t>THORAX (four radiographs for review). No priors._x000D_
_x000D_
- Cardiac silhouette, pulmonary vasculature, pulmonary parenchyma, pleural space, trachea normal._x000D_
- Small volume of gas in the thoracic esophagus._x000D_
- Stomach moderately distended with gas_x000D_
- Small intestine and colon mild gas and soft-tissue/fluid._x000D_
- Pharynx moderately distended with gas._x000D_
- Remaining cervical structures normal._x000D_
- No obvious musculoskeletal abnormalities identified.</t>
  </si>
  <si>
    <t>1. A discrete radiographic cause for the reported clinical signs is not clearly identified. There is no obvious bronchial pattern noted, however there is mild pulmonary hyperinflation and dilation of the pharynx which can be compatible with some degree of air-trapping from chronic lower airway disease such as feline asthma. It may be reasonable to consider empirical treatment for chronic lower airway disease and if the patient does not improve or worsens. Consider cervical/thoracic CT_x000D_
_x000D_
2. The appearance of the esophagus and remainder of the gastrointestinal tract is likely compatible with aerophagia.</t>
  </si>
  <si>
    <t>Orthogonal views of the thorax are provided for interpretation._x000D_
_x000D_
There is a moderate diffuse bronchial pulmonary pattern. No alveolar infiltrates or pleural effusion are seen. The trachea appears narrowed in the cervical region, but this is not entirely included in the radiographs. The intrathoracic trachea is normal. The cardiovascular structures are within normal limits. There is a small quantity of granular mineral density in the stomach, presumed incidental. The rest of the cranial abdominal structures are unremarkable.</t>
  </si>
  <si>
    <t>There is a moderate bronchial pattern, the appearance is typical of chronic lower airway disease such as asthma. Less likely differentials would include lungworms or heartworm disease. Infectious bronchitis cannot be entirely excluded but is considered unlikely._x000D_
_x000D_
The cervical trachea appears narrowed, this is only partly visible at the edge of one view. It could be a transient finding or artifact.</t>
  </si>
  <si>
    <t>If the cough is worsening lately, a lateral view of the neck should be considered to rule out tracheal or laryngeal pathology._x000D_
If the clinical signs are chronic intermittent, asthma is likely responsible. Heartworm testing and Baermann fecal exam for lungworms is recommended.</t>
  </si>
  <si>
    <t xml:space="preserve">
1.This result does not detect pleural fissure lines/fluid.  _x000D_
2.This result does not detect pulmonary vasculature enlargement._x000D_
3.This result detects a minimal, or rarely mild interstitial pulmonary pattern.  _x000D_
4.This result detects a minimal to mild, or rarely moderate bronchial pulmonary pattern._x000D_
5.This result does not detect an alveolar pulmonary pattern._x000D_
6.This result detects equivocal/borderline to mild cardiomegaly. </t>
  </si>
  <si>
    <t>Teddy Reed. Date of study: 04/4/24. Thorax/abdominal radiography (2 view, 5 images. 3 VD, 2 Lateral). No prior radiographs are available for comparison. _x000D_
_x000D_
Lungs: The pulmonary parenchyma is normal, with no metastatic pulmonary nodules. _x000D_
_x000D_
Cardiovascular: The cardiac silhouette is normal in size and shape. The pulmonary vessels are normal in size. _x000D_
_x000D_
Mediastinum/pleural space: There is no pleural effusion. The mediastinum is unremarkable, with no evidence of lymphadenopathy. _x000D_
_x000D_
Liver: The liver is normal in size and shape. The caudoventral margins are normal._x000D_
_x000D_
Spleen: The spleen is normal in size and shape with well-defined margins._x000D_
_x000D_
Kidneys: The kidneys are within normal limits in size and have smooth margins and normal shape. The kidneys displace the stomach cranially and the bowel caudoventrally. No mineral is identified._x000D_
_x000D_
Urinary bladder: The urinary bladder is empty with smooth, well-defined margins and homogeneous soft tissue opacity. No mineral is identified._x000D_
_x000D_
Gastrointestinal: The stomach is empty. The small intestine are mostly empty with a few segments containing a mild amount of gas, and is overall uniform in size. The colon contains a moderate amount of desiccated fecal material and gas. There is no segmental dilation or evidence of mechanical obstruction. _x000D_
_x000D_
Peritoneum: The serosal detail is normal._x000D_
_x000D_
Musculoskeletal: The musculoskeletal structures are unremarkable.</t>
  </si>
  <si>
    <t>1. Normal thorax. There are no metastatic pulmonary nodules identified. _x000D_
2. Unremarkable abdomen.</t>
  </si>
  <si>
    <t>Histopathology of the removed mass is recommended for a definitive diagnosis and if indicated, to guide follow-up treatment (e.g. chemotherapy, radiation).</t>
  </si>
  <si>
    <t>A lateral thorax view and VD views of the thorax and abdomen are provided (four images)._x000D_
_x000D_
The cardiovascular structures are within normal limits. No pulmonary there is a mild increase in overall bronchial markings, small areas of bronchial thickening seen interspersed with areas of normal appearing lung. No pulmonary nodules or alveolar infiltrates are identified. The trachea is normal._x000D_
_x000D_
There is a marked increase in overall intestinal gas volume. There are a few loops of small intestine that are mildly gas dilated. The stomach contains a small to moderate quantity of semi formed ingesta. The appearance is compatible with food, although for material cannot be excluded. The other abdominal organs are unremarkable.</t>
  </si>
  <si>
    <t>There are a few areas of the lung were some bronchial thickening seen, but most of the lung appears normal. The overall appearance is within the limits of what might seen as age related change, but reactive lower airway disease such as asthma could still be present._x000D_
_x000D_
Considering the minimal pulmonary changes, upper airway pathology should still be ruled out._x000D_
_x000D_
The gassy appearance of the intestinal tract is most likely the result of aerophagia secondary to the respiratory abnormalities. This could be seen with asthma but is also common with upper airway pathology.</t>
  </si>
  <si>
    <t>If the reported wheezing is definitely from the lungs, asthma or allergic lung disease is likely. If there is concern for referred upper airway sounds, visual examination or radiography of the larynx and pharynx should be considered.</t>
  </si>
  <si>
    <t>THORAX (three radiographs for review). No priors._x000D_
_x000D_
- Cardiac silhouette is within normal for size, shape and margins._x000D_
- Pulmonary vasculature unremarkable._x000D_
- Pulmonary parenchyma, pleural space, mediastinum normal._x000D_
- Stomach contains a small volume of gas and mild gas stippled soft-tissue opaque material._x000D_
- Small intestine mild multifocal gas and soft-tissue/fluid._x000D_
- Remaining cranial abdominal structures normal._x000D_
- No discrete musculoskeletal abnormalities identified.</t>
  </si>
  <si>
    <t>1. Although there is no convincing cardiomegaly, radiographic sensitivity for diseases causing concentric cardiac hypertrophy (such as hypertrophic cardiomyopathy) may be limited, and if a persistent audible cardiac murmur is auscultated, echocardiography/ECG may be considered regardless._x000D_
_x000D_
2. Otherwise unremarkable thorax and cranial abdomen.</t>
  </si>
  <si>
    <t>THORAX (four radiographs for review). No priors._x000D_
_x000D_
- Moderate pulmonary hyperinflation._x000D_
- Moderate diffuse bronchial pattern._x000D_
- Cardiac silhouette, pulmonary vasculature pleural space normal._x000D_
- Remaining included thoracic structures normal._x000D_
- No cranial abdominal abnormalities in the phone._x000D_
- Included musculoskeletal structures normal.</t>
  </si>
  <si>
    <t>1.  Moderate diffuse bronchial pattern with pulmonary hyperinflation. Most compatible with chronic lower airway disease with secondary air-trapping.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t>
  </si>
  <si>
    <t>Three orthogonal survey radiographs of the thorax and abdomen dated 1st April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has a mildly rounded appearance on the lateral images. The ventrodorsal image is hypoinflated, therefore a relatively increasing the size of the cardiac silhouette.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normal. The stomach has a moderate amount of granular food material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findings: No significant abnormalities are detected.</t>
  </si>
  <si>
    <t>Unremarkable thorax and abdomen. The mildly globoid shape of the cardiac silhouette is likely due to phase of contraction. Early hypertrophic cardiomyopathy (idiopathic, thyrotoxic) is considered unlikely but cannot be excluded.</t>
  </si>
  <si>
    <t>Consider T4 testing, and full bloodwork if not already performed. Depending on auscultation findings, and thyroid testing, consider ECG, blood pressure measurements and echocardiography.</t>
  </si>
  <si>
    <t>A three view thoracoabdominal study is provided for interpretation. Previous radiographs dated 12-6-23 are also provided for comparison._x000D_
_x000D_
The previous study shows a moderate bronchial pulmonary pattern, and diffuse gas throughout the intestinal tract. A few bowel loops are mildly to moderately gas dilated, and some bowel loops in the caudal abdomen have a thickened appearance._x000D_
_x000D_
In the current study, the moderate bronchial pattern is unchanged. The cardiovascular structures are within normal limits._x000D_
_x000D_
The stomach is mildly gas dilated, and most of the small intestine is gas filled, with mild dilation of a few short segments. The overall appearance is similar to the previous study with slightly less prominent bowel dilation. The bowel thickening seen previously also is not appreciated in the current study. The liver appears slightly larger than it did in the previous radiographs. The shape and margination of the liver still normal. The other abdominal organs are unremarkable._x000D_
_x000D_
There is severe narrowing and sclerosis of the endplates at the lumbosacral junction. The narrowing was seen previously, but in the current radiographs there is irregular contour of the vertebral endplates that was not appreciated in the previous study. There is slight chronic remodeling of both hip joints.</t>
  </si>
  <si>
    <t>There is a moderate bronchial pattern. The appearance would be most compatible with chronic lower airway disease such as asthma. Parasitic infection such as lungworms or heartworm disease should also be ruled out._x000D_
_x000D_
The small intestine is gassy, which can be seen secondary to aerophagia, physiologic ileus, or enteritis. Considering the bronchial pattern and history of upper respiratory infection in this patient, aerophagia is probably more likely._x000D_
_x000D_
There was an appearance of intestinal thickening in the previous radiographs which is less prominent in the current study. This is not reliable radiographic finding in any case. Infiltrative intestinal disease should still be ruled out._x000D_
_x000D_
The liver appears slightly larger than it did previously. Clinical relevance should be correlated with associated labwork abnormalities.</t>
  </si>
  <si>
    <t>Significance of the gassy appearance of the GI tract with regard to a definitive diagnosis for the clinical signs is limited. More advanced imaging such as ultrasound or endoscopy is recommended.</t>
  </si>
  <si>
    <t xml:space="preserve">
1.This result detects equivocal/borderline to mild cardiomegaly. _x000D_
2.This result detects a minimal, or rarely mild interstitial pulmonary pattern.  _x000D_
3.This result detects a minimal to moderate bronchial pulmonary pattern._x000D_
4.This result does not detect an alveolar pulmonary pattern._x000D_
5.This result does not detect pulmonary vasculature enlargement._x000D_
6.This result does not detect pleural fissure lines/fluid.  </t>
  </si>
  <si>
    <t>Study:_x000D_
Thoracic/abdominal radiography: three images dated March 1, 2024_x000D_
_x000D_
Findings:_x000D_
The cardiac silhouette and pulmonary vasculature are normal in size. There is a mild generalized bronchial pulmonary pattern. The pleural space is normal. There is no intrathoracic lymphadenopathy. The trachea is normal in diameter and course. There is dilation and retraction of the larynx on the right lateral projection. The stomach contains unstructured heterogeneous/granular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present._x000D_
_x000D_
A human digit is present in the primary beam on the right lateral projection.</t>
  </si>
  <si>
    <t>1. 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The laryngeal dilation and retraction is a nonspecific finding. While this finding can be an indicator of nasal disease, it can also occur secondary to chronic lower airway disease._x000D_
3. Postprandial stomach=ZZ90= otherwise, unremarkable abdomen.</t>
  </si>
  <si>
    <t xml:space="preserve">
1.This result detects equivocal/borderline to moderate cardiomegaly._x000D_
2.Rarely, this result detects minimal pleural fissure lines/fluid._x000D_
3.This result detects a  minimal to mild interstitial pulmonary pattern._x000D_
4.This result does NOT detect an alveolar pulmonary pattern. _x000D_
5.This result detects a minimal or mild bronchial pulmonary pattern.</t>
  </si>
  <si>
    <t>Study:_x000D_
Thoracic/abdominal radiography: three images dated April 1,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heterogeneous/granular soft tissue material presumed to be ingesta. The small intestines are normal in size, course and content. The colon contains formed fecal material. The liver and spleen are normal in size and margin. The right kidney is small and mildly irregular. The left kidney is normal in size but has a slightly irregular cortical margin. Both kidneys contain punctate mineral foci. The urinary bladder is normal in size and opacity. The osseous structures are unremarkable.</t>
  </si>
  <si>
    <t>1. The small irregular appearance of the right kidney and mildly irregular cortical margin of the left kidney may indicate chronic kidney disease. The mineral foci in the kidneys may indicate nephrolithiasis and/or nephrocalcinosis. Consider SDMA testing and urinalysis for further evaluation._x000D_
2. Postprandial stomach. There is no radiographic evidence of gastrointestinal foreign material or small intestinal mechanical obstruction. Abdominal sonography can be considered for further evaluation if clinical signs persist or worsen in spite of medical management._x000D_
3. Normal thorax.</t>
  </si>
  <si>
    <t>Four radiographs of the thorax and three views of the abdomen are provided. The cardiac silhouette and pulmonary vessels are normal size and shape. There are no abnormalities in the pulmonary parenchyma. There is hazy 2.1 x 0.7 cm increased opacity dorsal to the cranial sternum on both of the lateral views but may be superimposed thoracic limb tissue. No pleural effusion._x000D_
_x000D_
In the abdomen there is poor detail in the mid peritoneal space. Small volume gas and fluid in the stomach. Small bowel are poorly delineated. There is gas and small volume formed feces in the colon. There is a cluster of small gas lucencies overlying poorly delineated soft tissue density in the caudal left abdomen on the VD projection. There are also a few small gas lucencies in the cranial lateral abdomen on each side of the VD projection which do not appear to be located within bowel. Normal size kidneys, liver, spleen. No radiopaque cystic calculi.</t>
  </si>
  <si>
    <t>1. Peritoneal effusion with probable small volume peritoneal gas, most consistent with septic peritonitis, with caudal left mass-effect. A viscus rupture due to an intestinal mass is most likely. Foreign material causing perforation is next on the differential list._x000D_
2. Normal thorax.</t>
  </si>
  <si>
    <t>Recommend peritoneocentesis to rule in/out septic peritonitis. Ultrasound guidance may be necessary, as the fluid volume appears to be minimal. Exploratory surgery is likely necessary.</t>
  </si>
  <si>
    <t xml:space="preserve">
1.This result does not detect pulmonary vasculature enlargement._x000D_
2.This result does not detect pleural fissure lines/fluid.  _x000D_
3.This result detects none to equivocal/borderline to moderate cardiomegaly. _x000D_
4.This result detects a minimal to mild interstitial pulmonary pattern.  _x000D_
5.This result detects a minimal to mild, or rarely moderate bronchial pulmonary pattern._x000D_
6.This result does not detect an alveolar pulmonary pattern.</t>
  </si>
  <si>
    <t>Three radiographs of the thorax/abdomen are provided. The cardiac silhouette and pulmonary vessels are normal size. There are no abnormalities in the pulmonary parenchyma or pleural space. Punctate soft tissue density overlying the lateral aspect of the right 8th intercostal space on the VD projection is superimposed nipple. Normal tracheal diameter._x000D_
_x000D_
In the abdomen there is small volume amorphous soft tissue density in the stomach. Small intestines are moderately filled with a mixture of fluid and gas. Moderate volume formed feces in the colon. No effusion. Normal size kidneys, spleen, liver. No radiopaque cystic calculi. Small round lucency in the L6 spinous process is likely incidental.</t>
  </si>
  <si>
    <t>1. Gastric contents appears to be normal ingesta. All or a portion of this could be foreign material causing gastritis and pyloric outflow obstruction, however vomiting is typically present. No other definitive abdominal abnormalities._x000D_
2. Normal thorax.</t>
  </si>
  <si>
    <t>Recommend fasted abdominal radiographs +/- positive contrast gastrogram to rule out gastric foreign material. Strictly fasted abdominal ultrasound is another option, as long as there is minimal gas in the stomach at the time of imaging.</t>
  </si>
  <si>
    <t>Thorax:_x000D_
The cardiovascular structures are normal._x000D_
The lungs are normal._x000D_
The pleural space is normal._x000D_
_x000D_
Abdomen:_x000D_
The right kidney is mildly smaller than the left.  The left kidney is normal in size, there is a small mineral structure in the center of the left kidney._x000D_
The liver, spleen, gastrointestinal tract, and urinary bladder are normal._x000D_
There is a ~1.5 cm diameter fat opaque structure with a thin mineral opaque rim in the left caudal peritoneum._x000D_
The serosal detail is normal._x000D_
_x000D_
Other:_x000D_
There are osteophytes/enthesophytes along the elbow joints._x000D_
There is mild T6-7 spondylosis deformans.</t>
  </si>
  <si>
    <t>1.  Mild chronic right renal disease with probable cortical infarcts._x000D_
2.  Left renal dystrophic mineral or small calculus._x000D_
3.  Unremarkable thorax, no pulmonary metastasis._x000D_
4.  Incidental peritoneal Bates body._x000D_
5.  Moderate bilateral elbow degenerative joint disease.</t>
  </si>
  <si>
    <t>Sampling of the wound may be useful for culture and cytology, which can assist in guidance of treatment._x000D_
The reported radiographic kidney changes may not have any significance regarding the reported creatinine elevation.  Creatinine elevation (particularly if there is no corresponding elevation in BUN) may be due to muscular injury related to the reported neck wound.  Measuring USG may additionally assist in differentiating an elevated creatinine from muscular injury or due to renal disease.</t>
  </si>
  <si>
    <t>HEAD and THORAX (four radiographs for review). No priors._x000D_
_x000D_
- Excessive body habitus._x000D_
- Nasal cavity mild subjective increase in soft-tissue opacity._x000D_
- Nasopharynx well-defined by gas and within normal._x000D_
- Impression of thickened/enlarged soft palate, which border effaces the margins of the epiglottis._x000D_
- Hyoid apparatus unremarkable._x000D_
- Cervical region and remainder of trachea normal._x000D_
- Cardiac silhouette, pulmonary vasculature, pulmonary parenchyma, pleural space and remaining included thoracic structures normal._x000D_
- No discrete cranial abdominal abnormalities identified._x000D_
- Included musculoskeletal structures within normal limits.</t>
  </si>
  <si>
    <t>1. I have minimal radiographic suspicion for evidence of an oropharyngeal polyp as the nasopharynx remains fairly visible on multiple projections and is well outlined by gas. The patient appears to have an enlarged and thickened soft palate, which may be contributing to primary partial upper airway obstruction and for this reason sedated oral examination may be considered._x000D_
_x000D_
2. There is a mild subjective increase in soft-tissue opacity in the nasal cavity that admittedly is difficult to determine if it represents true pathology (e.g. rhinitis) or due to superimposition of the nasal soft-tissue structures such as the turbinates. _x000D_
_x000D_
3. Normal thorax._x000D_
_x000D_
4. Excessive body habitus.</t>
  </si>
  <si>
    <t>Ultimately, head/cervical and potentially thoracic CT might be high diagnostic yield examinations in this patient particularly for assessment of the nasopharyngeal structures as are of primary clinical concern in this case.</t>
  </si>
  <si>
    <t>Thorax: There is a mild diffuse peribronchial pattern.  The cardiac silhouette and pulmonary vasculature are unremarkable.  There is no evidence of pleural effusion or lymphadenopathy._x000D_
_x000D_
Abdomen: There is mild amount of fluid and gas within the gastric lumen without evidence of an obstruction.  There is no evidence of a small intestinal foreign body or obstruction.  The left kidney is small with slightly irregular margins.  The liver and spleen are unremarkable.  Spondylosis deformans is noted at the lumbosacral junction.</t>
  </si>
  <si>
    <t>Mild peribronchial pattern which may reflect a lower airway inflammatory process._x000D_
_x000D_
Suspect degenerative changes involving the left kidney.</t>
  </si>
  <si>
    <t>Abdomen: The ascending colon is displaced ventrally.  There are no abnormalities involving the gastrointestinal tract.  The liver and spleen are unremarkable.  The urinary tract is unremarkable.  Serosal detail is normal._x000D_
_x000D_
Thorax: There is a mild to moderate diffuse peribronchial pattern.  The cardiac silhouette and pulmonary vasculature are unremarkable.  There is no evidence of pleural effusion or lymphadenopathy.</t>
  </si>
  <si>
    <t>Displacement of the ascending colon.  This most likely represents variation of normal however enlarged colonic lymph nodes (at level of ileocecal colonic junction) cannot be ruled out._x000D_
_x000D_
Diffuse peribronchial pattern.  Primary differential consideration is a lower airway inflammatory process.</t>
  </si>
  <si>
    <t>Study:_x000D_
Thoracic radiography: three images dated March 30, 2024_x000D_
_x000D_
Findings:_x000D_
The cardiac silhouette and pulmonary vasculature are normal in size. There is a mild generalized bronchial pulmonic pattern. The pleural space is normal. There is no intrathoracic lymphadenopathy. The trachea is normal in diameter and course. The larynx is unremarkable. There is no esophageal dilation. The stomach contains a small amount of heterogeneous soft tissue material presumed to be ingesta. The liver extends beyond the costal arch with smooth and sharp margins. There is moderate T 13-L1 and L1-out to spondylosis deformans.</t>
  </si>
  <si>
    <t>1. 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The mild hepatomegaly is nonspecific. Rule out individual normal variant, metabolic/vacuolar hepatopathy, hepatitis, congestion or, less likely, lipidosis or infiltrative neoplasia. Correlate with any liver enzyme abnormalities. Abdominal sonography can be considered for further evaluation if clinically relevant.</t>
  </si>
  <si>
    <t>Four radiographs of the abdomen are provided. The thorax is included on two views. The urinary bladder is markedly distended and soft tissue opaque. No abnormalities along the plane of the urethra or in the region of the medial iliac lymph nodes. The colon contains small to moderate volume formed feces. Small intestines and stomach are minimally filled. The kidneys, spleen, and liver are normal size. Punctate nephroliths are likely incidental. There is severe degenerative change in both coxofemoral joints. In the caudal thorax, there are at least two fairly well delineated partially cavitary pulmonary nodules in the caudal lungs measuring up to 1.1 cm. No pleural effusion. The cardiac silhouette is mildly enlarged, with indented caudal heart waist on the right lateral views.</t>
  </si>
  <si>
    <t>1. Pulmonary nodules, most likely metastatic disease. A primary lesion is not definitively seen. Pulmonary abscesses or parasitism such as lung worms is given secondary consideration._x000D_
2. Mild cardiomegaly suggestive of cardiomyopathy. There is no evidence of heart failure._x000D_
3. No intra-abdominal abnormalities.</t>
  </si>
  <si>
    <t>If no external/oral lesions are present, abdominal ultrasound could be considered in an effort to locate a primary lesion for guided sampling purposes. An echocardiogram should also be considered, particularly if the patient has a murmur or arrhythmia.</t>
  </si>
  <si>
    <t>Study:_x000D_
Thoracic/abdominal radiography: right lateral and VD views dated March 30, 2024_x000D_
_x000D_
Findings:_x000D_
The cardiac silhouette and pulmonary vasculature are normal in size. There is a mild generalized bronchial pulmonic pattern. The pleural space is normal. There is no intrathoracic lymphadenopathy. The trachea is normal in diameter and course. The stomach contains gas and a small amount of granular mineral. A small amount of similar granular mineral is present in the small intestines. The small intestines are normal in size and course. The colon contains poorly formed fecal material with a small amount of interspersed granular mineral. The liver and spleen are normal in size and margin. The kidneys are normal in size and contour. The urinary bladder is normal in size and opacity. The osseous structures are unremarkable.</t>
  </si>
  <si>
    <t>1.  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The granular mineral throughout the gastrointestinal tract may indicate dietary indiscretion or may be an incidental finding depending on the contents of the patient=ZZ91=s normal diet and treats. There is no evidence of small intestinal mechanical obstruction. Abdominal sonography can be considered for further evaluation of the reported vomiting persists or worsens in spite of medical management.</t>
  </si>
  <si>
    <t>Study:_x000D_
Thoracic radiography: four images dated March 29, 2024_x000D_
_x000D_
Findings:_x000D_
The cardiac silhouette is normal in size and shape. The pulmonary vasculature is normal in size. The pulmonic parenchyma is unremarkable. The pleural space is normal. There is no intrathoracic lymphadenopathy. The trachea is normal in diameter and course. The included abdomen is unremarkable. There is mild T 12-T 13 spondylosis deformans.</t>
  </si>
  <si>
    <t>Normal thorax. There is no radiographic evidence of cardiopulmonary disease. A cause of wheezing is not evident. Lack of a definitive bronchial pulmonary pattern does not exclude the possibility of allergic/inflammatory, infectious, inhaled irritant or parasitic bronchitis.</t>
  </si>
  <si>
    <t>Airway sampling plus/minus heartworm testing and Baermann fecal flotation can be considered to further evaluate for lower disease if clinical signs persist or worsen.</t>
  </si>
  <si>
    <t>Three radiographs of the thorax are provided. The cardiac silhouette is normal size and shape. There are a few faint peripheral bronchial markings. No pleural effusion. Scant gas in the esophagus is incidental. Tracheal diameter and position are normal. The cranial abdomen is unremarkable.</t>
  </si>
  <si>
    <t>Faint bronchial markings suggestive of airway inflammation. This may be due to infectious airway disease or inhaled irritants/allergens. Otherwise normal thorax.</t>
  </si>
  <si>
    <t>Study:_x000D_
Thoracic/abdominal radiography: three images dated March 29, 2024_x000D_
_x000D_
Findings:_x000D_
There is severe bilateral pleural effusion. There is consolidation of the right cranial, left cranial and right middle lung lobes. The left caudal lung lobes are reduced in volume with a mild generalized unstructured interstitial pulmonary pattern throughout. The severity of the effusion limits evaluation of the cardiac silhouette=ZZ90= however, there is the impression of moderate to severe cardiomegaly. Pooling of the pleural effusion the cranial thorax also limits evaluation of the cranial mediastinum. The trachea is normal in diameter. There is moderate to severe peritoneal effusion. The stomach contains a small volume of gas. The small intestines are normal in size, course and content. The colon contains gas and formed fecal material. The liver extends mildly beyond the costal arch with smooth and sharp margins. The spleen is normal in size and margin. The renal silhouettes are normal in size and contour. The urinary bladder is normal in size and opacity. The osseous structures are unremarkable.</t>
  </si>
  <si>
    <t>1. Non-specific bicavitary effusion. Given the suspected cardiomegaly (suspicious for hypertrophic cardiomyopathy), congestive heart failure is considered. Other differentials include infection, inflammation, bile peritonitis and pleuritis, pancreatitis, cardiac disease, neoplasia, hypoproteinemia, coagulopathy and nonneoplastic liver disease. Recommend echocardiography for further evaluation. Therapeutic thoracocentesis plus/minus include analysis should also be considered._x000D_
2. The consolidation of the right cranial, right middle and left cranial lung lobes likely indicates relaxation atelectasis secondary to the pleural effusion. Similarly, the interstitial pattern in the caudal lung lobes likely indicates atelectasis secondary to the pleural effusion._x000D_
3. Mild nonspecific hepatomegaly. Rule out congestion, metabolic/vacuolar hepatopathy, hepatitis, lipidosis or infiltrative neoplasia. Correlate with any liver enzyme abnormalities.</t>
  </si>
  <si>
    <t xml:space="preserve">
1.This result detects a mild to moderate, or rarely severe interstitial pulmonary pattern.  _x000D_
2.This result detects a mild to moderate bronchial pulmonary pattern._x000D_
3.Uncommonly, this result detects a minimal to severe alveolar pulmonary pattern._x000D_
4.Rarely, this result detects minimal pulmonary vasculature enlargement._x000D_
5.This result commonly detects minimal to moderate, or rarely severe pleural fissure lines/fluid._x000D_
6.This result detects moderate to severe, or less commonly mild cardiomegaly.</t>
  </si>
  <si>
    <t>Thorax and abdomen. Three radiographs (2 lateral, 1 VD) dated March 29, 2024 are provided. _x000D_
_x000D_
There is a large soft tissue opaque mass in the axial aspect of the left caudal lung lobe. The mass is 5.7 x 2 x 3.2cm LWH in size. The pulmonary parenchyma is otherwise normal. The cardiac silhouette is normal in size and shape. The pulmonary vessels are normal. There is a metal BB adjacent to the right 9th rib. A second BB is in the right thigh. _x000D_
_x000D_
The gastrointestinal tract is unremarkable. The liver and spleen are normal in size and margination. The kidneys are normal in size and contour. The urinary bladder is normal in size and opacity. There is normal serosal detail. _x000D_
_x000D_
There is moderate spondylosis deformans of L7-S1. L7 is transitional (right transverse process articulates with the ilium) causing mild scoliosis. There is mild spondylosis deformans of the mid thoracic spine.</t>
  </si>
  <si>
    <t>1. Large pulmonary mass in the left caudal lung lobe. A primary pulmonary neoplasm such as adenocarcinoma is prioritized. A pulmonary granuloma, abscess, or hematocele cannot be excluded but are considered less likely. _x000D_
2. Degenerative lumbosacral disease. _x000D_
3. Metal BBs adjacent to the right 9th rib and in the right thigh.</t>
  </si>
  <si>
    <t>-A thoracic CT (pre- and post-contrast) could be considered for additional anatomic information. _x000D_
-Ultrasound guided fine needle aspirates may be possible from the left-dorsal aspect of the caudal thorax.</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</si>
  <si>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t>
  </si>
  <si>
    <t>1) Unremarkable lungs do not exclude a chronic lower airway disease such as parasitic bronchitis, asthma or chronic bronchitis.</t>
  </si>
  <si>
    <t>Consider empirical treatment for parasitic bronchitis vs asthma with deworming evaluating response to treatment.</t>
  </si>
  <si>
    <t xml:space="preserve">
1.This result detects a minimal to mild interstitial pulmonary pattern._x000D_
2.This result does NOT detect an alveolar pulmonary pattern._x000D_
3.This result does NOT detect pulmonary soft tissue nodules._x000D_
4.This result detects equivocal/borderline to moderate cardiomegaly._x000D_
5.This result does NOT detect pleural fissure lines._x000D_
6.This result detects a minimal to mild bronchial pulmonary pattern.</t>
  </si>
  <si>
    <t>THORAX (2 radiographs for review). No previous for comparison._x000D_
_x000D_
- Left-sided mediastinal shift._x000D_
- Unstructured interstitial pattern in the caudal subsegment of the left cranial lung lobe._x000D_
- Prominent cardiac silhouette. Excessive pericardiac fat deposition. Pulmonary vasculature normal._x000D_
- Mild diffuse bronchial pulmonary pattern._x000D_
- Trachea, pleural space, mediastinum normal._x000D_
- Stomach mildly distended with gas._x000D_
- Remaining cranial abdominal structures normal._x000D_
- No musculoskeletal abnormalities identified.</t>
  </si>
  <si>
    <t>1. While the cardiac silhouette appears prominent, it is difficult to determine whether or not the enlargement is artefactual as a result of excessive pericardiac fat deposition or true cardiac pathology (e.g. thyrotropic cardiomyopathy). If there is a heart murmur present, then the latter would be prioritized. Given the reported history of hyperthyroidism, echocardiogram/ECG may be a diagnostic to consider regardless. _x000D_
_x000D_
2. Mild diffuse bronchial pattern. Compatible with chronic lower airway disease (e.g. feline asthma, bronchitis of allergic, inhaled irritant or infectious etiologies)._x000D_
_x000D_
3. Aerophagia._x000D_
_x000D_
4. Excessive body habitus.</t>
  </si>
  <si>
    <t>Three radiographs of the thorax/abdomen are provided. The urinary bladder is mild to moderately distended and soft tissue opaque. No radiopaque cystic calculi are present, and the visible plane of the urethra is normal. No evidence of medial iliac lymphadenomegaly. Peritoneal and retroperitoneal detail is normal. Small volume of formed feces is present in the colon. Small bowel are minimally filled with fluid and gas. Gas and moderate volume soft tissue opaque ingesta in the stomach. Normal-sized liver, spleen, kidneys. The uterus is not identified. Normal lumbar spine. There is mild degenerative change in both coxofemoral joints. Within the thorax the cardiac silhouette is normal size on the lateral views. Fat deposition is seen along the right side of the heart on the VD view. The lungs are clear. No pleural effusion.</t>
  </si>
  <si>
    <t>Normal abdomen and thorax. There is no evidence of radiopaque urolithiasis. Cystitis is most likely. There is bilateral coxofemoral osteoarthrosis, which may be causing discomfort when positioning to urinate.
(amended on 03/29/2024 13:17)
The urinary bladder measures 5.7 x 2.6 cm. The bladder is not significantly dilated, and is not consistent with a urethral obstruction.</t>
  </si>
  <si>
    <t>Urinalysis with culture is recommended.</t>
  </si>
  <si>
    <t xml:space="preserve">
1.This result detects none, or equivocal/borderline to moderate cardiomegaly. _x000D_
2.This result detects a minimal to mild interstitial pulmonary pattern.  _x000D_
3.This result does not detect pulmonary vasculature enlargement._x000D_
4.Rarely, this result detects a minimal alveolar pulmonary pattern._x000D_
5.This result detects a minimal to mild, or rarely moderate bronchial pulmonary pattern._x000D_
6.Rarely, this result detects minimal pleural fissure lines/fluid.  </t>
  </si>
  <si>
    <t>Opposite lateral and ventrodorsal thoracic radiographs (4 images) dated March 29, 2024._x000D_
_x000D_
The cardiac silhouette is tall in height. The pulmonary vasculature and great vessels are within normal limits. The pulmonary parenchyma has mild conspicuous bronchial markings. No pulmonary nodules, infiltrates, or other pathology is detected. The pleural space and diaphragm are normal. No mediastinal abnormalities are appreciated. The trachea is normal in diameter and course with gas filling its lumen. No intrathoracic lymphadenopathy is evident._x000D_
The liver is mildly enlarged. The stomach contains a large amount of ingesta. Cranial peritoneal detail is normal._x000D_
No aggressive or clinically significant osseous pathology is identified.</t>
  </si>
  <si>
    <t>1. Mild bronchial pattern is suspicious for bronchitis. Rule out infectious (bacterial, viral, or parasitic [including heartworm]) vs. chronic inhaled irritants. The respiratory clinical signs also suggest and upper airway component._x000D_
2. Tall cardiac silhouette/mild cardiomegaly is concerning for a congenital cardiac disorder or incidental due to physiologic causes (sedation, anemia).</t>
  </si>
  <si>
    <t>Pharyngeal PCR swab infectious panel._x000D_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unknown._x000D_
Consider echocardiogram if the murmur is detected, or submit cardiac proBNP testing.</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</si>
  <si>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No evidence of pneumonia._x000D_
Pleural space, mediastinum, diaphragm and thoracic wall within normal limits.</t>
  </si>
  <si>
    <t>THORAX (three radiographs for review). Previous radiographs from 01/26/22._x000D_
_x000D_
- Moderate diffuse bronchial pattern._x000D_
- Moderate pulmonary hyperinflation._x000D_
- On the left lateral projection in the ventral portion of the right caudal lung lobe there are a few ill-defined, soft-tissue opaque nodular regions._x000D_
- Cardiac silhouette and pulmonary vasculature normal._x000D_
- Trachea, esophagus, mediastinum and remaining included intrathoracic structures normal._x000D_
- Liver mildly enlarged with rounded margins._x000D_
- Remaining cranial abdominal structures normal._x000D_
- Widespread multifocal spondylosis deformans._x000D_
- Cubital osteoarthritis (limited assessment).</t>
  </si>
  <si>
    <t>1.  Moderate diffuse bronchial pattern with pulmonary hyperinflation. Most compatible with chronic lower airway disease with secondary air-trapping. Again compatible with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The nodular opacities in the ventral portion of the right caudal lung lobe are thought most likely to represent =ZZ91=tree-in bud=ZZ91= phenomenon of bronchial plugging with mucoid/inflammatory debris secondary to chronic lower airway disease. The possibility of pulmonary nodules secondary to metastatic neoplasia is not excluded but thought less likely. For further characterization, recheck radiographs and/or CT might be considered for further evaluation. _x000D_
_x000D_
3. Hepatomegaly. DDx metabolic (vacuolar) hepatopathy, less likely cholangiohepatitis, congestion or neoplasia. If there is a history of hepatic enzyme elevation, sonographic assessment of the liver +/- FNA may be considered.</t>
  </si>
  <si>
    <t>Three radiographs of the thorax/abdomen are provided. The cardiac silhouette is upper normal size to mildly enlarged, with questionable indentation in the caudal heart waist on the lateral views. There is a moderate amount of fat deposition encircling the heart on the VD projection. Pulmonary vessels are normal size. Increased opacity cranioventral to the heart on the 1st lateral view is likely superimposed thoracic Linda tissue. There is no pleural effusion. In the abdomen there is cystic scanned mid peritoneal effusion. The stomach is minimally distended. There is a moderate to severely dilated loop of bowel in the mid-ventral right abdomen. Remaining small bowel are minimally filled. The colon is minimally distended. No radiopaque foreign material. Normal-sized liver, kidneys, and spleen. No radiopaque cystic calculi.</t>
  </si>
  <si>
    <t>1. Dilated loop of small bowel is significantly concerning for partial to near complete obstruction. Questionable scant effusion versus inflammation._x000D_
2. Probable mild cardiomegaly concerning for cardiomyopathy. Artifact caused by adjacent fat deposition is next on the differential list. In the absence of a murmur or arrhythmia, significance is uncertain.</t>
  </si>
  <si>
    <t>Abdominal ultrasound is recommended. If vomiting persists and the patient is painful/lethargic, exploratory surgery may be necessary.</t>
  </si>
  <si>
    <t>Thorax and abdomen. Four radiographs (2 lateral, 2 VD) dated March 28, 2024 are provided. _x000D_
_x000D_
The cardiac silhouette is normal in size and shape. The pulmonary vessels are normal is size and are symmetrical. The pulmonary parenchyma is normal with no abnormal patterns, nodules, or masses. The trachea and region of the esophagus is unremarkable. The mediastinum is normal. The pleural space is within normal limits. _x000D_
_x000D_
The stomach is mildly distended with gas. The small intestines are normal in diameter and distribution. The colon is filled with gas and formed feces. There is normal detail in the peritoneal and retroperitoneal spaces. The kidneys and urinary bladder are normal in size, margination, and opacity. The liver and spleen are normal in size and margination. _x000D_
_x000D_
There is moderate bridging spondylosis deformans of L7-S1=ZZ90= non-bridging at L1-2 and T12-13. Mild spondylosis deformans is present in the caudal thoracic spine. There is mild osteoarthritis of the elbows.</t>
  </si>
  <si>
    <t>1. Normal thorax. _x000D_
2. Unremarkable gastrointestinal tract. _x000D_
3. Degenerative changes of the spine as described, worst at L7-S1.</t>
  </si>
  <si>
    <t>-If not already performed, CBC, biochemical panel, T4 and urinalysis are recommended to screen for systemic disease which may be contributing to clinical signs. _x000D_
-An abdominal ultrasound could be considered to further evaluate the abdominal structures for parenchymal/structural changes.</t>
  </si>
  <si>
    <t>Study:_x000D_
Thoracic/abdominal radiography: right lateral and VD views dated March 28, 2024_x000D_
_x000D_
Findings:_x000D_
There is incidental cranioventral rotation of the cardiac silhouette and redundancy of the aorta. The cardiac silhouette and pulmonary vasculature are normal in size. The pulmonary parenchyma is unremarkable. The pleural space is normal. There is no intrathoracic lymphadenopathy. The trachea is normal in diameter and course. The abdominal serosal detail is adequate. The stomach is empty. The small intestines are gas and fluid-filled and normal in size and course. The colon contains gas and poorly formed fecal material. The liver and spleen are normal in size and margin. The renal silhouettes are normal in size and contour. The urinary bladder is normal in size and opacity. There is narrowing of the T9-T 10 and L7-S1 intervertebral disc spaces with sclerotic endplates and moderate to severe spondylosis deformans. There is also spondylosis deformans at T8-T9 without intervertebral disc space narrowing.</t>
  </si>
  <si>
    <t>1. Unremarkable abdomen. Abdominal sonography and a G.I. panel can be considered to further evaluate for an enteropathy to explain the reported weight loss._x000D_
2. Unremarkable thorax. There is no radiographic evidence of cardiopulmonary disease._x000D_
3. Chronic T9-T 10 and L7-S1 intervertebral disc disease.</t>
  </si>
  <si>
    <t>Two views of the thorax are provided for review and compared with the study dated 2/29/2024. There is an unchanged moderate bronchial pattern in all lung lobes.  The previous alveolar pattern has resolved.  The cardiovascular structures are normal.  The mediastinal and pleural structures are normal.  Cranial abdominal detail is adequate.</t>
  </si>
  <si>
    <t>Resolution of alveolar pulmonary pattern.  Persistent bronchial pulmonary pattern.  Considerations include asthma, heartworm, lungworm, atypical infection, bronchitis.</t>
  </si>
  <si>
    <t xml:space="preserve">
1.This result does not detect pleural fissure lines/fluid.  _x000D_
2.This result detects a minimal to mild, or rarely moderate interstitial pulmonary pattern.  _x000D_
3.This result detects a minimal to mild, or rarely moderate bronchial pulmonary pattern._x000D_
4.Rarely, this result detects a minimal to mild alveolar pulmonary pattern._x000D_
5.This result detects equivocal/borderline to mild cardiomegaly. _x000D_
6.This result does not detect pulmonary vasculature enlargement.</t>
  </si>
  <si>
    <t>4 views of the torso are reviewed and compared to a previous study made March 27, 2024.  Both sets of films are interpreted in this report._x000D_
The left kidney is small in size and mildly misshapened.  Mild diverticular mineralization and small calculi are noted in both kidneys.  A medium to large nodule is seen associated with the tail of the spleen.  This appears subjectively, slightly more prominent in the films made on March 27.  The liver is normal in size and shape.  The stomach contains a mild amount of food-like material in the current study and is empty in the previous study.  Small bowel and colon are within normal limits.  The urinary bladder is moderately distended.  Serosal detail is normal._x000D_
In the thorax, the cardiovascular structures are within normal limits.  No definitive pulmonary parenchymal abnormalities are seen.  No pleural effusion or intra-thoracic of adenopathy is noted.  The trachea is normal._x000D_
No significant osseous abnormalities are noted.</t>
  </si>
  <si>
    <t>The small size of the left kidney and presence of mineralization is consistent with chronic renal cortical infarction remodeling and chronic nonspecific nephritis.  This is likely present to a lesser degree in the right kidney.  No changes noted between the 2 studies._x000D_
The findings in the spleen could be consistent with atypical benign changes with extramedullary hematopoiesis or lymphoid hyperplasia.  Malignant disease cannot be definitively excluded.  Correlation to previous ultrasound results is recommended._x000D_
Radiographically normal thorax.</t>
  </si>
  <si>
    <t>See above.</t>
  </si>
  <si>
    <t xml:space="preserve">
1.This result detects a minimal to mild interstitial pulmonary pattern.  _x000D_
2.This result detects none, or equivocal/borderline to moderate cardiomegaly. _x000D_
3.This result detects a minimal to mild, or rarely moderate bronchial pulmonary pattern._x000D_
4.Rarely, this result detects a minimal alveolar pulmonary pattern._x000D_
5.This result does not detect pulmonary vasculature enlargement._x000D_
6.Rarely, this result detects minimal pleural fissure lines/fluid.  </t>
  </si>
  <si>
    <t>Opposite lateral and ventrodorsal whole body radiographs (5 images) dated March 28,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unremarkable in size and shape, as is the spleen. Both kidneys are normal in size and shape. The urinary bladder is mildly fluid-filled. The stomach is fairly distended with heterogeneous granular soft-tissue content that most closely resembles normal ingesta. The small intestine is unremarkable in size and course with most segments empty/collapsed and others containing a small amount of gas. The colon contains normal appearing stool and has a normal course. Retroperitoneal and peritoneal detail are normal. No regional lymphadenopathy is evident._x000D_
No aggressive or clinically significant osseous pathology is identified.</t>
  </si>
  <si>
    <t>1. This study is negative for a small intestinal mechanical obstruction._x000D_
2. The gastric content most closely reflects normal ingesta. Clinically significant foreign material hidden with the ingesta is considered less likely but cannot be completely ruled out._x000D_
3. The remainder of the abdomen is unremarkable._x000D_
4. Normal thorax.</t>
  </si>
  <si>
    <t>Supportive care with fluid rehydration, antiemetics, gastroprotectants/omeprazole, and bland diet.  General health profile (CBC, chemistry, FeLV/FIV, UA, fecal) could be considered to screen for underlying causes.  _x000D_
Gastric ultrasound to further scrutinize the gastric content vs. single antiemetic injection, fluids, and recheck abdominal radiographs after 16 hours NPO food and 4 hours NPO water to assess appropriate gastric emptying.</t>
  </si>
  <si>
    <t xml:space="preserve">
1.This result detects equivocal/borderline to mild cardiomegaly._x000D_
2.Rarely, this result detects minimal to mild pulmonary vasculature enlargement._x000D_
3.Rarely,  this result detects minimal pleural fissure lines/fluid.  _x000D_
4.This result detects a minimal to mild bronchial pulmonary pattern._x000D_
5.This results detects a minimal to mild interstitial pulmonary pattern._x000D_
6.Rarely, this result detects a minimal alveolar pulmonary pattern. </t>
  </si>
  <si>
    <t>3 views of the thorax are submitted for review.  The cardiac silhouette is normal in size and shape.  The pulmonary vasculature is normal in size and tapers as it extends into the periphery.  Mild bronchial markings are noted in the lung fields.  No intrathoracic lymphadenopathy or pleural or effusion is seen.  No significant abnormalities are noted in the visible portion of the cranial abdomen or musculoskeletal structures._x000D_
A moderate amount of food-like material is noted in the stomach.  The right kidney appears mildly misshapened.  The visible cranial abdomen is otherwise unremarkable.</t>
  </si>
  <si>
    <t>The appearance of the lung fields is consistent with chronic inflammatory airway disease as with feline asthma or chronic bronchitis._x000D_
The appearance of the right kidney is nonspecific and could be artifact or consistent with renal cortical infarction remodeling.  The clinical significance is unknown.</t>
  </si>
  <si>
    <t>Empirical medical management for feline asthma could be considered._x000D_
An abdominal ultrasound could be considered to further evaluate the right kidney if there is sufficient clinical concern.</t>
  </si>
  <si>
    <t>Thorax: There is a mild diffuse peribronchial pattern.  The cardiac silhouette and pulmonary vasculature are unremarkable.  There is no evidence of pleural effusion or lymphadenopathy._x000D_
_x000D_
Abdomen: There is mild diffuse hepatomegaly.  Both kidneys have nephroliths.  The liver is unremarkable.  There are no abnormalities involving the gastrointestinal tract.  Serosal detail is normal.</t>
  </si>
  <si>
    <t>Diffuse peribronchial pattern primary differential consideration is a lower airway inflammatory process such as feline asthma._x000D_
_x000D_
Diffuse splenomegaly.  Differential considerations include a reactive process, extra medullary hematopoiesis, or possible diffuse neoplasia._x000D_
_x000D_
Bilateral nephroliths.</t>
  </si>
  <si>
    <t>3 views of the thorax are provided for review. There is a severe bronchial pattern in all lung lobes.  The cardiac silhouette is widened with rounding of the left ventricular border.  The mediastinal and pleural structures are normal.  Cranial abdominal detail is adequate.</t>
  </si>
  <si>
    <t xml:space="preserve">
1.This result detects a minimal to moderate bronchial pulmonary pattern._x000D_
2.This result detects a mild to moderate interstitial pulmonary pattern._x000D_
3.Rarely, this result detects a minimal alveolar pulmonary pattern._x000D_
4.This result detects mild to severe cardiomegaly._x000D_
5.Rarely, this result detects minimal to mild pulmonary vasculature enlargement._x000D_
6.This result detects minimal to moderate pleural fissure lines/fluid. </t>
  </si>
  <si>
    <t>THORAX (3 radiographs for review). Multiple priors are available for comparison, most recently from 2023._x000D_
_x000D_
- Pulmonary parenchyma normal._x000D_
- Cardiac silhouette within normal limits for size, shape and margins._x000D_
- Pulmonary vasculature normal._x000D_
- Trachea, pleural space, remaining thoracic structures normal. _x000D_
- Stomach moderately distended with gas and gas-stippled soft-tissue opaque material._x000D_
- Liver mildly enlarged, with rounded margins._x000D_
- Thoracolumbar and mid-lumbar bridging spondylosis deformans._x000D_
- Included musculoskeletal structures normal</t>
  </si>
  <si>
    <t>1. Negative examination for evidence of thoracic metastatic neoplasia. _x000D_
_x000D_
2. Despite lack of radiographic evidence of cardiomegaly or pulmonary vasculature changes, if a persistent audible murmur is present, an echocardiogram/ECG may still be considered for further assessment._x000D_
_x000D_
3. Mild hepatomegaly. DDx vacuolar (metabolic) hepatopathy, less likely cholangiohepatitis or neoplasia._x000D_
_x000D_
4. Fairly gas and fluid-distended stomach. This appearance can be compatible with gastritis/gastric functional ileus, and may be clinically correlated.</t>
  </si>
  <si>
    <t>Three orthogonal survey radiographs of the thorax and abdomen dated 27th March 2024 are available for review. There are no previous radiographs available for comparison. _x000D_
_x000D_
Thorax: _x000D_
Airway findings: No nodules, masses, or lymphadenomegaly is visible. The trachea has a normal position, shape and size. The pulmonary parenchyma is normal. _x000D_
_x000D_
Cardiovascular findings: The cardiac silhouette, and pulmonary vasculature is within normal limits._x000D_
_x000D_
Mediastinum and pleura: There is no evidence of pleural effusion, _x000D_
_x000D_
Abdomen: The hepatic silhouette is normal in size with smooth borders. The spleen is normal in shape, size and position. Axial to spleen there is some irregular soft tissue opacification.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an increased amount of faeces. The urinary bladder is filled. The serosal detail is normal._x000D_
_x000D_
Musculoskeletal system: No significant abnormalities are detected. _x000D_
_x000D_
_x000D_
_x000D_
 Airway findings:[ ]_x000D_
_x000D_
Cardiovascular findings:[ ]_x000D_
_x000D_
Mediastinum and pleural space:[ ]_x000D_
_x000D_
Abdomen: [ ]_x000D_
_x000D_
Musculoskeletal findings:  [ ]</t>
  </si>
  <si>
    <t>1. Negative metastasis check, normal thorax._x000D_
2. The soft tissue opacification axial to the spleen is most likely the left limb of the pancreas visible due to increased intra-abdominal fat. Splenic metastasis or lymphadomegaly is considered unlikely._x000D_
3. Mild constipation likely due to diet and inactivity.</t>
  </si>
  <si>
    <t>Orthogonal views of the thorax are provided:_x000D_
_x000D_
Thorax:_x000D_
_x000D_
Cardiac silhouette has a normal shape and size._x000D_
Pulmonary vessels are within normal limits of size and shape._x000D_
Pulmonary parenchyma shows a caudodorsal bronchial pattern. _x000D_
No signs of tracheobronchial lymphadenopathy._x000D_
Pleural space, mediastinum, diaphragm and thoracic wall within normal limits.</t>
  </si>
  <si>
    <t>1) Caudodorsal bronchial pattern is compatible with a chronic lower airway disease such as asthma vs feline chronic bronchitis vs bronchitis of parasitic origin.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</si>
  <si>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distended with soft tissue material (suspiciously organized in the pyloric antrum in the VD view) and mineral particles._x000D_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</si>
  <si>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thorax without signs of pulmonary metastases nor signs of thoracic lymphadenopathy._x000D_
2) Rule out gastric foreign material/body lodge in the pyloric antrum/proximal duodenum</t>
  </si>
  <si>
    <t>Consider abdominal US to further evaluate the upper GI tract (and entire abdomen) evaluating causes of daily vomition.</t>
  </si>
  <si>
    <t>WHOLE-BODY (five radiographs for review). No previous for comparison._x000D_
_x000D_
- Thin body condition._x000D_
- Consistent with the reported clinical history,marked, lobular increase in homogenous soft-tissue opacity along the ventral extraabdominal and extrathoracic regions extending into the region of the right forelimb._x000D_
- Generalized reduction in peritoneal detail with border effacement of the majority of the intestinal segments and remaining abdominal viscera._x000D_
- Moderate generalized cardiomegaly with rounding of the cardiac margins._x000D_
- Mild increase in soft-tissue opacity within the pleural space._x000D_
- Patchy unstructured interstitial to alveolar pattern most severe in the cranial lung lobes and the left caudal lung lobe._x000D_
- Diffuse bronchial pattern._x000D_
- A few small gas foci in the dorsal extrathoracic soft tissues.</t>
  </si>
  <si>
    <t>1. The presence of severe ventral subcutaneous edema, cardiomegaly, pleural effusion, pulmonary opacities and peritoneal effusion collectively raises concern for congestive heart failure (likely secondary to the clinically suspected hypervolemia. fluid overload). A component of pericardial effusion is possible, given the rounding of the cardiac margins. Emergency referral should be considered in this case as is reported in the history._x000D_
_x000D_
2. Thin body condition._x000D_
_x000D_
3. Recent dorsal extrathoracic subcutaneous injection._x000D_
_x000D_
4. Radiographically unremarkable osseous structures of the right thoracic limb.</t>
  </si>
  <si>
    <t>WHOLE BODY (3 images):_x000D_
Images are dated March 26, 2024._x000D_
_x000D_
Pulmonary parenchyma:  A minimal diffuse bronchial pattern is present.  _x000D_
Pulmonary vasculature:  The pulmonary vasculature are subjectively normal in size and taper as expected in the periphery of the lungs.  _x000D_
Cardiac silhouette:  The cardiac silhouette is mildly enlarged generally.  The cardiac silhouette is equivocally widened in the ventrodorsal image._x000D_
Mediastinum:  The cranial mediastinum is normal._x000D_
Trachea:  The trachea is normal._x000D_
Esophagus:  The esophagus is not well-identified._x000D_
_x000D_
Liver:  The liver is normal in size and smoothly marginated._x000D_
Spleen:  The spleen is normal in size and smoothly marginated._x000D_
Kidneys:  The kidneys are subjectively normal in size and homogeneous soft tissue._x000D_
Urinary bladder:  The uirinary bladder is subjectively normal in size and homogeneous soft tissue._x000D_
Retroperitoneum:  Retroperitoneal detail is adequate._x000D_
Peritoneum:  Peritoneal detail is adequate._x000D_
Gastrointestinal:  The stomach contains mild gas.  Gas is present in the pylorus in the left lateral image.  The small intestine contains moderate gas and mild fluid.  The small intestine is uniform in size.  The colon contains moderate well-defined soft tissue material admixed with gas.  The colon is normal in size.  _x000D_
_x000D_
Musculoskeletal:  The included musculoskeletal structures are normal.</t>
  </si>
  <si>
    <t>1. Mild generalized cardiomegaly, versus artifact from phase of the cardiopulmonary cycle/patient positioning._x000D_
- If present, consider underlying congenital anomaly such as atrial/ventricular septal defect or unlikely mitral valve dysplasia, or least likely acquired cardiomyopathy or other._x000D_
- No current evidence of left-sided congestive heart failure._x000D_
2. Minimal diffuse bronchial pulmonary pattern._x000D_
-Differential diagnoses include infectious/immune-mediated lower airway disease, fibrosis from prior disease, age-related changes, or unlikely other._x000D_
3. Non-specific gastrointestinal changes such as from aerophagia or unlikely non-specific enteritis or other.</t>
  </si>
  <si>
    <t>Etiology of the reported clinical signs is not definitively identified, but mild underlying cardiac disease is possible.  Consider echocardiography, especially if a murmur is identified.  Routine blood work, respiratory PCR panel, fecal analysis/deworming and therapy for underlying infectious/immune-mediated lower airway disease in the interim may be contributory.  given lack of reported tenesmus, constipation resulting in reported signs is considered unlikely.</t>
  </si>
  <si>
    <t>THORAX (three radiographs for review). No priors._x000D_
_x000D_
- Mild diffuse bronchial pattern._x000D_
- Cardiac silhouette, pulmonary vasculature, pleural space, trachea, mediastinum and remaining included thoracic structures normal._x000D_
- Excessive body habitus._x000D_
- Stomach contains mild gas stippled soft-tissue opaque material and gas._x000D_
- The visible small intestinal segments mild multifocal gas and homogenous soft-tissue/fluid._x000D_
- Remaining cranial abdominal structures normal._x000D_
- Mild cubital osteoarthritis (limited assessment).</t>
  </si>
  <si>
    <t>1. Mild diffuse bronchial pattern. Most compatible with chronic lower airway disease.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Excessive body habitus._x000D_
_x000D_
3. Cubital osteoarthritis (limited assessment).</t>
  </si>
  <si>
    <t>ABDOMEN (three radiographs for review). No previous for comparison._x000D_
_x000D_
- Peritoneal serosal detail is normal._x000D_
- The stomach contains heterogeneous, gas stippled soft-tissue opaque material and gas._x000D_
- Multiple small intestinal segments are mildly homogenously distended with soft-tissue/fluid and a few have a frothy appearance._x000D_
- The colon contains gas and formed fecal material._x000D_
- The liver, spleen, kidneys, urinary bladder and remaining abdominal structures are normal._x000D_
- There is a mild diffuse bronchial pattern present. The remaining intrathoracic structures are normal._x000D_
- There is mild multifocal spondylosis deformans._x000D_
- Moderate wet hair artifact.</t>
  </si>
  <si>
    <t>1. There are multiple small intestinal segments that have a frothy fluid-containing and mildly gas-distended appearance. No obvious foreign material is identified, and a generalized functional ileus (e.g. enteritis, IBD, lymphoma) is prioritized. If the patient does not improve or worsens despite medical management, consider abdominal ultrasound for further assessment._x000D_
_x000D_
2. Recent meal._x000D_
_x000D_
3. Mild diffuse bronchial pattern. May be compatible with chronic lower airway disease such as feline asthma.</t>
  </si>
  <si>
    <t>WHOLE-BODY (three radiographs for review). No previous for comparison._x000D_
_x000D_
- Mild diffuse bronchial pattern._x000D_
- Prominent aortic root. Cardiac silhouette otherwise within normal limits for size, shape and margins._x000D_
- Pulmonary vasculature, pulmonary parenchyma and pleural space normal._x000D_
- Peritoneal serosal detail is normal._x000D_
- Stomach contains moderate gas stippled soft-tissue opaque material and mild gas._x000D_
- Small intestine mild multifocal gas and soft-tissue opaque material._x000D_
- Colon contains gas and formed fecal material._x000D_
- Liver, spleen, kidneys, urinary bladder normal._x000D_
- Multiple mineralized intervertebral discs in situ._x000D_
- Remaining musculoskeletal structures normal.</t>
  </si>
  <si>
    <t>1. Mild diffuse bronchial pulmonary pattern. May be compatible with chronic lower airway disease such as feline asthma or bronchitis of allergic, infectious or inhaled irritant etiologies._x000D_
_x000D_
2. Prominent aortic root can be an incidental finding in older cats, however has been associated with systemic hypertension and given there is a cardiac murmur, secondary cardiac remodeling/concentric hypertrophy may be possible. Consider systemic blood pressure measurement +/- echocardiogram/ECG for further assessment._x000D_
_x000D_
3. Unremarkable postprandial abdomen._x000D_
_x000D_
4. Multiple mineralized intervertebral discs in situ.</t>
  </si>
  <si>
    <t xml:space="preserve">
1.This result detects equivocal/borderline to moderate cardiomegaly._x000D_
2.Rarely, this result detects minimal pleural fissure lines/fluid._x000D_
3.This result detects a minimal or mild bronchial pulmonary pattern._x000D_
4.This result detects a  minimal to mild interstitial pulmonary pattern._x000D_
5.This result does NOT detect an alveolar pulmonary pattern. </t>
  </si>
  <si>
    <t>Orthogonal views of the thorax are provided:_x000D_
_x000D_
Thorax:_x000D_
_x000D_
No abnormalities seen in the trachea._x000D_
Cardiac silhouette has a normal shape and size._x000D_
Caudal lobar pulmonary arteries are enlarged when crossing the 9th ribs. The rest of the p ulmonary vessels are within normal limits of size and shape._x000D_
Pulmonary parenchyma is within normal limits. No evidence of pneumonia._x000D_
Pleural space, mediastinum, diaphragm and thoracic wall within normal limits.</t>
  </si>
  <si>
    <t>1) Enlarged pulmonary arteries: rule out pulmonary hypertension (rule out dirofilariosis vs cor pulmonale)_x000D_
2) Unremarkable lungs do not exclude a bronchitis of  parasitic origin, allergic origin vs inflammatory/infectious origin.</t>
  </si>
  <si>
    <t>Consider echocardiogram and ECG with cardiology consultation with HW test prior to an empirical treatment for parasitic bronchitis evaluating response to treatment. If clinical signs persist, consider a bronchoscopy with BAL, culture, cytology, Baermann test and deworming.</t>
  </si>
  <si>
    <t>A two view thoracoabdominal study is provided for interpretation._x000D_
_x000D_
The cardiovascular structures are within normal limits. No pulmonary infiltrates or pleural effusion are identified. No mass lesions or lymphadenopathy are seen in the thorax or abdomen. Abdominal organs are all within normal size and shape limits. The GI tract is unremarkable._x000D_
There is minimal spondylosis involving T13-L1. Slight degenerative changes seen at L7-S1. No destructive or productive bone lesions are identified.</t>
  </si>
  <si>
    <t>No specific recommendations based on the radiographs.</t>
  </si>
  <si>
    <t>Opposite lateral and ventrodorsal whole body radiographs (3 images) dated March 26,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Both kidneys are normal in size and shape. The urinary bladder is moderately fluid-filled. The stomach is mostly empty aside from a scant volume of gas and possibly a small amount of soft-tissue content. The small intestine is unremarkable in diameter and course with most segments empty/collapsed and others containing a small amount of gas and fluid. The colon contains a mild volume of heterogeneous and somewhat poorly formed stool and has a normal course. Retroperitoneal and peritoneal detail are normal. No regional lymphadenopathy is evident._x000D_
No aggressive or clinically significant osseous pathology is identified.</t>
  </si>
  <si>
    <t>1. This study is negative for a small intestinal mechanical obstruction. The small amount of soft-tissue content in the stomach likely reflects residual ingesta or fluid pooling=ZZ90= clinically significant foreign material is unlikely. Rule out dietary indiscretion or toxin vs. food allergy/intolerance vs. flareup of a chronic enteropathy (ex: IBD) vs. GI infectious vs. systemic/extra GI causes (liver or kidney injury/disease, endocrine disorder, systemic infection)._x000D_
2. Normal thorax.</t>
  </si>
  <si>
    <t>No specific recommendations related to the thorax.</t>
  </si>
  <si>
    <t>Three radiographs of the thorax/abdomen are provided. The cardiac silhouette and pulmonary vessels are normal size and shape on the lateral views. There is a large amount of fat deposition encircling the heart on the VD projection. Pulmonary vessels are normal size. There are no abnormalities in the parenchyma. No pleural effusion. Severe degenerative change in the left shoulder, of doubtful clinical significance today. In the abdomen there is gas and large volume semi-formed feces filling the colon. The stomach and small bowel are mildly filled. There is no effusion. Normal sized spleen, liver, left kidney. The right kidney is obscured. There is no radiopaque urolithiasis.</t>
  </si>
  <si>
    <t>Normal thorax and abdomen. No convincing evidence of cardiovascular disease is appreciated on this study. Underlying cardiomyopathy is not definitively ruled out.</t>
  </si>
  <si>
    <t>Cardiac proBNP evaluation should be considered.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</si>
  <si>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and colon are gas distended._x000D_
Small intestines are mildly gas and fluid filled, not overtly distended. _x000D_
Serosal detail is decreased due to a thin body condition._x000D_
Liver and spleen are within normal limits of size and smoothly marginated._x000D_
Kidneys and urinary bladder WNL.</t>
  </si>
  <si>
    <t>1) No signs of cardiomegaly (this does not exclude a cardiomyopathy or a hyperthyroidism). No signs of pulmonary metastases nor signs of thoracic lymphadenopathy._x000D_
2) Unremarkable abdomen.</t>
  </si>
  <si>
    <t>Consider abdominal US to further evaluate causes of GI signs and anorexia._x000D_
Given the lack of cardiomegaly but audible murmur, consider a cardiology consultation with ECG and echocardiogram.</t>
  </si>
  <si>
    <t>ABDOMEN (3 views, 3 images):_x000D_
Images are dated March 25, 2024._x000D_
_x000D_
Liver/Gallbladder:  The liver is minimally enlarged and occupies the width of just under 4 intercostal spaces, with a slightly convex ventral margin._x000D_
Spleen:  The spleen is normal in size and shape._x000D_
Kidneys:  The kidneys are normal._x000D_
Urinary bladder:  The urinary bladder is homogeneous soft tissue and subjectively normal in size._x000D_
Peritoneum:  Peritoneal detail is adequate._x000D_
Retroperitoneal detail:  Retroperitoneal detail is adequate._x000D_
Gastrointestinal tract:  The stomach contains mild to moderate heterogeneous soft tissue material and gas.  This material is in the pylorus in the left lateral image. Pyloric rugal folds are prominent in the ventrodorsal image. The small intestine contains a moderate volume of fluid, gas, or is empty.  No obvious intestinal plication is identified.  No obvious radiopaque intestinal foreign material is identified.  The colon contains a moderate volume of well-defined heterogeneous soft tissue material admixed with gas.  _x000D_
_x000D_
Musculoskeletal:  The included musculoskeletal structures are normal.</t>
  </si>
  <si>
    <t>1.   Gastric material due to recent meal, gastritis/delayed gastric emptying, or unlikely pyloric outflow tract obstruction given lack of vomiting in reported history._x000D_
2. Non-specific small intestinal changes due to enteritis or individual variation of normal, or recent meal.  _x000D_
3. Minimal hepatomegaly and presumed normal gallbladder, or unlikely other such as evolving hepatitis, vacuolar change or other.</t>
  </si>
  <si>
    <t>Etiology of reported gastrointestinal clinical signs is not definitively identified.  Monitoring for passage of gastric material with repeat abdominal radiographs after 8-12 hours of fasting may be contributory.  Consider routine blood work, GI panel, empirical deworming/fecal analysis for further evaluation.  Diet elimination trial may also be contributory.  Consider abdominal ultrasonography if clinical signs fail to improve or worsen in the face of empirical therapy.</t>
  </si>
  <si>
    <t>1) No signs of cardiomegaly (this does not exclude a cardiomyopathy or a hyperthyroidism)._x000D_
2) Generalized bronchial pattern is compatible with a chronic lower airway disease such as asthma vs feline chronic bronchitis vs bronchitis of parasitic origin.</t>
  </si>
  <si>
    <t>Given the lack of cardiomegaly but audible murmur, consider a cardiology consultation with ECG and echocardiogram. Consider also CBC and IV fluid is necessary based on the reported fever and dehydration along with an abdominal US, evaluating the benefit of a CT of the thorax with bronchoscopy with BAL, culture, cytology and Baermann test with deworming vs empirical treatment for asthma and deworming.</t>
  </si>
  <si>
    <t>THORAX (three radiographs for review). No priors._x000D_
_x000D_
- Mild to moderate diffuse bronchial pattern._x000D_
- Cardiac silhouette, pulmonary vasculature, pleural space and remaining included intrathoracic structures normal._x000D_
- Stomach, small intestine, colon, kidneys and remaining visible cranial abdominal structures unremarkable._x000D_
- Excessive body habitus._x000D_
- Remaining musculoskeletal structures normal.</t>
  </si>
  <si>
    <t>1.  Mild to moderate diffuse bronchial pattern. Most compatible with chronic lower airway disease.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Excessive body habitus.</t>
  </si>
  <si>
    <t>A three view thoracoabdominal study is provided for interpretation._x000D_
_x000D_
There is a minimal increase in bronchial markings that is less prominent than the previous study dated 9-18-23. The overall appearance is within the limits of age related change. No alveolar infiltrates or pleural effusion are identified. No tracheal or laryngeal abnormalities are identified._x000D_
There is a small mineral opacity in the cranioventral abdomen just caudal to the stomach that is suspected to represent a benign mineralized granuloma. This was not seen in the previous radiographs dated 9-18-23. The rest of the abdomen is unremarkable. No musculoskeletal abnormalities are identified.</t>
  </si>
  <si>
    <t>No significant cardiopulmonary abnormalities are identified. Asthma could still be present without more significant radiographic changes, and remains the primary differential for the clinical presentation._x000D_
_x000D_
The small mineral opacity seen in the cranioventral abdomen is considered a benign incidental finding.</t>
  </si>
  <si>
    <t>Symptomatic therapy for probable asthma is recommended as needed.</t>
  </si>
  <si>
    <t>Orthogonal views of the thorax are provided:_x000D_
_x000D_
Thorax:_x000D_
_x000D_
No tracheal abnormalities noted._x000D_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t>
  </si>
  <si>
    <t>1) Unremarkable lungs do not exclude a chronic lower airway disease such as parasitic bronchitis, asthma or allergic bronchitis.</t>
  </si>
  <si>
    <t>Consider empirical treatment for parasitic/allergic bronchitis with deworming evaluating response to treatment. If clinical signs persist, consider a bronchoscopy with BAL, culture, cytology, Baermann test and deworming.</t>
  </si>
  <si>
    <t>WHOLE-BODY (seven radiographs for review). No previous for comparison._x000D_
_x000D_
- Rounded soft-tissue opacity in the region of the cranial subsegment of the left cranial lung lobe._x000D_
- Prominent aortic root._x000D_
- Mild generalized cardiomegaly, with rounding of the cardiac margins._x000D_
- Pulmonary vasculature remains normal._x000D_
- Mild diffuse bronchial pattern._x000D_
- Soft-tissue opaque band dorsally overlying the trachea in the caudal cervical/thoracic inlet region._x000D_
- Remaining included intrathoracic structures normal._x000D_
- Stomach contains mild gas stippled soft-tissue opaque material and gas._x000D_
- Small intestine mild multifocal gas and soft-tissue opaque material._x000D_
- Colon contains gas and heterogeneous soft-tissue opaque material._x000D_
- The spleen, kidneys normal_x000D_
- urinary bladder markedly distended with homogenous soft-tissue/fluid._x000D_
- remaining abdominal structures normal._x000D_
- Thoracolumbar vertebral column normal._x000D_
- Lumbosacral junction normal._x000D_
- Sacroiliac joints normal._x000D_
- Severe right and moderate left coxofemoral osteoarthritis with femoral head subluxation on the right and irregular mineralized body cranial to the right femoral head._x000D_
- Right stifle joint normal._x000D_
- Bilateral cubital osteoarthritis.</t>
  </si>
  <si>
    <t>1. The presence of a prominent aortic root and mild generalized cardiomegaly may be compatible with systemic hypertension and secondary cardiac remodeling. A primary cardiomyopathy (hypertrophic, restrictive, unclassified) is an additional consideration. There is no evidence of pulmonary vascular congestion or congestive heart failure. Consider systemic blood pressure measurement and echocardiography/ECG for further assessment._x000D_
_x000D_
2. I have concern for the presence of a pulmonary nodule in the left cranial lung lobe. If real, it may be an early primary pulmonary carcinoma, a metastatic lesion from an unseen primary mass or less likely non-neoplastic pulmonary granuloma, cyst or abscess. Consider serial recheck radiographs of this finding versus thoracic or whole body CT for further global staging/screening._x000D_
_x000D_
3. Dynamic soft-tissue opaque band overlying the trachea is of uncertain clinical significance as tracheal collapse is uncommon in cats. Nevertheless, it must be considered given the radiographic finding and evaluation for this pathology may be indicated if there is a history of coughing._x000D_
_x000D_
4. Mild diffuse bronchial pulmonary pattern. Consistent with chronic lower airway disease such as feline asthma or bronchitis of infectious, allergic or inhaled irritant etiologies._x000D_
_x000D_
5. Relatively unremarkable abdomen with impending urination._x000D_
_x000D_
6. Severe right and moderate left coxofemoral osteoarthritis with right femoral head subluxation and synovial osteochondroma or dystrophic mineralization of the coxal joint capsule. Consistent with the reported clinical history._x000D_
_x000D_
7. Bilateral cubital osteoarthritis.</t>
  </si>
  <si>
    <t xml:space="preserve">
1.This result detects a minimal, or rarely mild interstitial pulmonary pattern.  _x000D_
2.This result does not detect pulmonary vasculature enlargement._x000D_
3.This result detects equivocal/borderline to mild cardiomegaly. _x000D_
4.This result detects a minimal to mild, or rarely moderate bronchial pulmonary pattern._x000D_
5.This result does not detect an alveolar pulmonary pattern._x000D_
6.This result does not detect pleural fissure lines/fluid.  </t>
  </si>
  <si>
    <t>Opposite lateral views of the thorax and a VD thoracoabdominal view are provided._x000D_
_x000D_
There is a mild bronchial pulmonary pattern. There is a subtle ill defined nodular shadow in the caudal dorsal lung, suspected to be in the right caudal lobe. There is a small quantity of transient esophageal gas. No tracheal abnormalities are identified. The cardiovascular structures are within normal limits. There is mild enlargement of the right lateral liver lobe. The rest of the abdomen is unremarkable in the VD view.</t>
  </si>
  <si>
    <t>There is a mild bronchial pattern would be compatible with chronic lower airway disease such as asthma. There is an ill defined nodular shadow in the right caudal dorsal lung that would be compatible with a secondary granuloma. Age-related change also probably plays a role in the appearance._x000D_
Less likely differentials would include parasitic infection such as lungworms or heartworm disease. Active infectious bronchitis is not suspected but cannot be entirely excluded._x000D_
_x000D_
Relevance of the pulmonary changes to the current clinical signs may be limited._x000D_
Upper respiratory infection should still be ruled out as a cause of the clinical signs.</t>
  </si>
  <si>
    <t>Medical management for the suspected upper respiratory infection is recommended.</t>
  </si>
  <si>
    <t>3 views of the thorax are presented for review.  The cardiovascular structures are normal.  Fat is present in the pericardium.  There is a diffuse interstitial pulmonary pattern that is considered appropriate for the age of the patient.  A rounded soft tissue mass is present in the right caudal lung lobe.  No additional pulmonary nodules or enlarged intrathoracic lymph nodes are seen.  The pleural and mediastinal structures are normal.  Cranial abdominal detail is adequate.  The liver margin is rounded and extends beyond the costal arch.</t>
  </si>
  <si>
    <t>Right caudal lung lobe mass concerning for primary pulmonary neoplasia.  CT could be considered in surgical planning if desired.  Hepatomegaly=ZZ90= this is a nonspecific finding that may be seen with congestion, vacuolar hepatopathy, inflammation, neoplasia, etc.  Abdominal ultrasound may be helpful in further evaluation if biochemically indicated.</t>
  </si>
  <si>
    <t xml:space="preserve">
1.This result detects equivocal/borderline to mild cardiomegaly. _x000D_
2.This result does not detect pulmonary vasculature enlargement._x000D_
3.This result detects a minimal to mild interstitial pulmonary pattern.  _x000D_
4.This result detects a mild, or rarely moderate bronchial pulmonary pattern._x000D_
5.Rarely, this result detects a minimal alveolar pulmonary pattern._x000D_
6.Rarely, this result detects minimal pleural fissure lines/fluid.  </t>
  </si>
  <si>
    <t>Three radiographs of the thorax are provided. Images dated May 3, 2019 are available for comparison. The cardiac silhouette and pulmonary vessels are normal size and shape. There is a moderate bronchial pattern throughout the lungs. This is more pronounced than on the previous study. There is no pleural effusion or pulmonary nodules. Normal tracheal diameter and position. No intrathoracic lymphadenomegaly. The viewable abdomen is unremarkable.</t>
  </si>
  <si>
    <t>Moderate bronchial pattern consistent with asthma. This is progressed since the previous study. No other abnormalities are present.</t>
  </si>
  <si>
    <t>Unless the increased respiratory effort could be attributed to lapse in medication, routine blood work could be considered to rule out a metabolic abnormality.</t>
  </si>
  <si>
    <t xml:space="preserve">
1.This result detects a minimal to mild, or rarely moderate bronchial pulmonary pattern._x000D_
2.Rarely, this result detects a minimal alveolar pulmonary pattern._x000D_
3.This result detects a minimal to mild interstitial pulmonary pattern.  _x000D_
4.This result detects none, or equivocal/borderline to moderate cardiomegaly. _x000D_
5.This result does not detect pulmonary vasculature enlargement._x000D_
6.Rarely, this result detects minimal pleural fissure lines/fluid.  </t>
  </si>
  <si>
    <t>Three radiographs of the thorax/abdomen, and three views of the proximal thoracic limbs are provided. The cardiac silhouette is prominent, with rounded left ventricle on both of the lateral views. Pulmonary vessels are normal size. There are no abnormalities in the pulmonary parenchyma. No pleural effusion. The diaphragm is intact. No rib fractures. Scapular contour and opacity is normal. The glenohumeral and cubital joints are congruent. Questionable soft tissue swelling in the lateral aspect of the mid right antebrachium on the edge of to the VD view._x000D_
_x000D_
In the abdomen the spleen is prominent for a feline patient. The kidneys and liver are normal size. The gastrointestinal tract is mildly filled. No radiopaque urolithiasis. Metal opaque 0.8 cm pallet lateral to the right ilial wing is likely incidental.</t>
  </si>
  <si>
    <t>1. Possible lateral right antebrachial soft tissue swelling. This may be edema/cellulitis related to the described puncture wound. No other thoracic limb abnormalities are appreciated._x000D_
2. Prominent left ventricle, concerning for cardiomyopathy. This could also be due to sedation, if used. In the absence of a murmur or arrhythmia, significance is uncertain._x000D_
3. Prominent spleen, consider due to sedation (if used), inflammation, or neoplasia. Otherwise normal abdomen.</t>
  </si>
  <si>
    <t>If no sedation was used for the study, ultrasound evaluation of the spleen should be considered. If a murmur or arrhythmia is present, an echocardiogram would also be recommended.</t>
  </si>
  <si>
    <t xml:space="preserve">
1.This result detects equivocal/borderline to mild, or rarely moderate cardiomegaly._x000D_
2.This result does not detect pulmonary vasculature enlargement._x000D_
3.Uncommonly, this result detects a minimal interstitial pulmonary pattern.  _x000D_
4.This result detects a minimal to mild bronchial pulmonary pattern._x000D_
5.This result does not detect an alveolar pulmonary pattern._x000D_
6.This result does not detect pulmonary soft tissue nodules._x000D_
7.This result does not detect pleural fissure lines/fluid.</t>
  </si>
  <si>
    <t>4 images of the thorax and abdomen are provided for review. There is a mild bronchial pattern in all lung lobes.  The cardiovascular structures are normal.  The mediastinal and pleural structures are normal.  Abdominal serosal detail is adequate in all quadrants.  The stomach contains a moderate amount of gas.  The small intestines are normal in size.  Gas and feces are present in the colon.  The urinary bladder is moderately distended.  The remaining abdominal organs are normal.</t>
  </si>
  <si>
    <t>Radiographically normal abdomen.  Mild bronchial pulmonary pattern.  Considerations include asthma, heartworm, lungworm, atypical infection, bronchitis.  Consider empiric therapy versus further diagnostics such as heartworm testing, Baermann fecal, airway sampling.</t>
  </si>
  <si>
    <t xml:space="preserve">
1.This result does not detect pulmonary vasculature enlargement._x000D_
2.This result detects a minimal to mild, or rarely moderate interstitial pulmonary pattern.  _x000D_
3.This result detects equivocal/borderline to mild cardiomegaly. _x000D_
4.This result detects a minimal to mild, or rarely moderate bronchial pulmonary pattern._x000D_
5.Rarely, this result detects a minimal to mild alveolar pulmonary pattern._x000D_
6.This result does not detect pleural fissure lines/fluid.  </t>
  </si>
  <si>
    <t>A three view study of the thorax is provided for interpretation._x000D_
_x000D_
Mild peribronchial interstitial infiltrates are identified involving the right cranial lung lobe. The other lung fields have a minimal increase in bronchial markings. No tracheal or laryngeal abnormalities are identified. The cardiovascular structures are within normal limits.</t>
  </si>
  <si>
    <t>There is a mild regional bronchointerstitial pattern involving the right cranial lobe. Other lung fields have a minimal increase in bronchial markings that is still slight more prominent than expected for the age of the patient._x000D_
Low-grade infectious bronchitis/early bronchopneumonia is suspected.</t>
  </si>
  <si>
    <t>CBC and antibiotic therapy is recommended._x000D_
A follow-up three view radiographic study is recommended in one to two weeks if clinical signs are not significantly improved.</t>
  </si>
  <si>
    <t xml:space="preserve">
1.This result detects a mild to mild interstitial pulmonary pattern.  _x000D_
2.This result detects a minimal to mild bronchial pulmonary pattern._x000D_
3.This result does not detect an alveolar pulmonary pattern._x000D_
4.This result detects mild to moderate cardiomegaly._x000D_
5.Rarely, this result detects minimal pulmonary vasculature enlargement._x000D_
6.Rarely, this result detects minimal pleural fissure lines/fluid.  </t>
  </si>
  <si>
    <t>Thorax: The pulmonary parenchyma, cardiac silhouette, and pulmonary vasculature are unremarkable.  There is no evidence of pleural effusion or lymphadenopathy.  There is a metallic projectile (BB) located within the soft tissues along the right lateral thoracic wall at the level of the second intercostal space.  This is most likely incidental and chronic.  There are regions of thoracic vertebral spondylosis deformans._x000D_
_x000D_
Abdomen: The liver and spleen are unremarkable.  There is a mild amount of heterogeneous soft tissue opacity within the gastric lumen.  The remainder of the gastrointestinal tract is unremarkable.  The urinary tract is unremarkable.  Serosal detail is normal.  There are no abnormalities involving the lumbar vertebral column, pelvis, or coxofemoral joints.</t>
  </si>
  <si>
    <t>Incidental finding of metallic projectile along the right thoracic wall._x000D_
_x000D_
The material within the gastric lumen most likely represents normal ingesta however foreign material cannot definitively be ruled out.</t>
  </si>
  <si>
    <t>None.</t>
  </si>
  <si>
    <t>Thorax: There is a diffuse peribronchial pattern.  The cardiac silhouette and pulmonary vasculature are unremarkable.  There is no evidence of lymphadenopathy or pleural effusion._x000D_
_x000D_
Abdomen: There is mild diffuse splenomegaly.  The liver is normal for size.  There are no abnormalities involving the gastrointestinal tract.  There is irregular flattening along the cranial pole of the left kidney.  The urinary bladder is unremarkable.  Serosal detail is normal.</t>
  </si>
  <si>
    <t>Diffuse peribronchial pattern.  A lower airway inflammatory process (asthma) is the primary differential._x000D_
_x000D_
The appearance of the cranial pole of the left kidney is most likely secondary to degenerative changes.</t>
  </si>
  <si>
    <t xml:space="preserve">
1.This result detects a minimal to mild bronchial pulmonary pattern._x000D_
2.This result detects equivocal/borderline to moderate cardiomegaly._x000D_
3.This result detects a minimal to mild interstitial pulmonary pattern._x000D_
4.This result does NOT detect an alveolar pulmonary pattern._x000D_
5.This result does NOT detect pulmonary soft tissue nodules._x000D_
6.This result does NOT detect pleural fissure lines.</t>
  </si>
  <si>
    <t>Thorax. Two radiographs of the thorax (1 VD, 1 lateral) dated March 23, 2024 are provided. Compared to March 21, 2024. _x000D_
_x000D_
There is a diffuse, severe bronchial pattern. A newly identified interstitial to alveolar pattern is present in the cranioventral thorax and lateral aspect of the left caudal thorax. The pleural space is normal. There is a rounded soft tissue focus dorsal to the fourth sternebrae. The cardiac silhouette and pulmonary vessels are within normal limits. The skeletal structures are unremarkable. There is resolution of the previous emphysema dorsal to the thoracic spine (likely subcutaneous fluid administration).</t>
  </si>
  <si>
    <t>1. There is evidence of severe lower airway inflammation with newly identified, multifocal regions of consolidation (pneumonia). Differentials include severe asthma, allergic bronchitis, lungworm infection, and infectious/inflammatory disease with secondary infectious pneumonia given the regions of consolidation. Infiltrative neoplasia (e.g. lymphoma) should be considered. _x000D_
2. The sternal lymph node is moderately enlarged, presumably due to the reported abnormality in the abdomen.</t>
  </si>
  <si>
    <t>Airway sampling (respiratory PCR, lavage/wash) could be considered to guide treatment. Baermann fecal analysis is recommended to screen for lungworms. If any peripheral lymph nodes are enlarged, fine needle aspiration would be recommended. If not already performed, CBC/biochemistry and urinalysis are recommended. Abdominal imaging (radiographs and/or ultrasound) could be considered.</t>
  </si>
  <si>
    <t>Thorax: There is moderate generalized cardiomegaly.  There is mild to moderate bilateral pleural effusion.  A diffuse peribronchial pattern is noted._x000D_
_x000D_
Abdomen: There is a somewhat rounded soft tissue opacity within the right cranial ventral abdomen ventral to the liver.  There are no abnormalities involving the gastrointestinal tract or urinary tract.  The spleen is not identified.  Serosal detail is normal.  There is a mild to moderate amount of well-formed opaque fecal material within the colon.</t>
  </si>
  <si>
    <t>Moderate generalized cardiomegaly and pleural effusion consistent with cardiac decompensation/failure._x000D_
_x000D_
Diffuse peribronchial pattern which may represent interstitial edema from cardiac decompensation or possible lower airway inflammatory process._x000D_
_x000D_
The soft tissue opacity ventral to the liver most likely represents a mildly distended gallbladder however a hepatic mass cannot be ruled out.  The appearance of the fecal material in the colon may represent constipation/obstipation.</t>
  </si>
  <si>
    <t>Recommend echocardiography and medical management for suspected cardiac decompensation.</t>
  </si>
  <si>
    <t xml:space="preserve">
1.This result detects minimal to moderate pleural fissure lines/fluid. _x000D_
2.Rarely, this result detects minimal to mild pulmonary vasculature enlargement._x000D_
3.This result detects mild to severe cardiomegaly._x000D_
4.This result detects a minimal to moderate bronchial pulmonary pattern._x000D_
5.Rarely, this result detects a minimal alveolar pulmonary pattern._x000D_
6.This result detects a mild to moderate interstitial pulmonary pattern.</t>
  </si>
  <si>
    <t>Three radiographs of the thorax, three views of the abdomen, VD pelvis/proximal pelvic limbs, and a lateral view of each distal pelvic limb are provided. The cardiac silhouette and pulmonary vessels are normal size. There are faint bronchial markings in the lungs. A well-defined smoothly marginated round 1.0 cm soft tissue opaque nodule is present in the caudal dorsal aspect of the left caudal lung lobe. No other similar pulmonary parenchymal lesions are appreciated. There is no pleural effusion. Normal tracheal diameter and cranial mediastinal width._x000D_
_x000D_
In the abdomen the liver, kidneys, and spleen are normal size and shape. The stomach and small bowel are minimally filled. Formed feces fills the colon. No radiopaque urolithiasis. No definitive lumbar spinal abnormalities. The coxofemoral joints are congruent. Pelvic limb musculature is adequate and symmetric. No stifle joint effusion. Cortical and medullary opacities are uniform. No tarsal/pes osseous or soft tissue abnormalities are appreciated. There is small volume superficial debris along the plantar aspect of both tarsi/pes, incidental.</t>
  </si>
  <si>
    <t>1. Solitary pulmonary nodule in the left caudal lung. This is most likely neoplasia (primary pulmonary neoplasia versus metastatic disease). A granuloma, abscess, fluid-filled bulla is given lesser consideration._x000D_
2. Normal abdomen and pelvic limbs. A reason for pelvic limb difficulties is not identified. Soft tissue sprain/strain or an intervertebral disc lesion remains possible.</t>
  </si>
  <si>
    <t>If there are no external/oral lesions that could be a primary neoplastic lesion, abdominal ultrasound could be considered in an effort to locate a primary lesion for guided sampling purposes.</t>
  </si>
  <si>
    <t xml:space="preserve">
1.This result does not detect an alveolar pulmonary pattern._x000D_
2.This result does not detect pulmonary soft tissue nodules._x000D_
3.This result detects a minimal to mild bronchial pulmonary pattern._x000D_
4.Uncommonly, this result detects a minimal interstitial pulmonary pattern.  _x000D_
5.This result does not detect pleural fissure lines/fluid._x000D_
6.This result detects equivocal/borderline to mild, or rarely moderate cardiomegaly._x000D_
7.This result does not detect pulmonary vasculature enlargement.</t>
  </si>
  <si>
    <t>3 views of the entire body are provided for review. There is a moderate bronchial pattern in all lung lobes.  The cardiac silhouette is mildly widened with rounding of the left ventricular border.  The mediastinal and pleural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t>
  </si>
  <si>
    <t>Radiographically normal abdomen.  Mild cardiomegaly without current evidence of cardiogenic pulmonary edema.  Echocardiography, proBNP, and thyroid testing may be helpful in further evaluation.  Moderate bronchial pulmonary pattern.  Considerations include asthma, heartworm, lungworm, atypical infection, bronchitis.  Consider empiric therapy versus further diagnostics such as heartworm testing, Baermann fecal, airway sampling.</t>
  </si>
  <si>
    <t>2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uniform soft tissue.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</si>
  <si>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Gastric wall thickening cannot be excluded and abdominal ultrasound could also be considered.  Radiographically normal thorax for patient of this age.</t>
  </si>
  <si>
    <t>3 views of the entire body are presented for review.  The cardiovascular and pulmonary structures are normal.  The pleural and mediastinal structures are normal.  Abdominal serosal detail is adequate in all quadrants.  The stomach contains a large amount of mottled soft tissue material.  The small intestines are normal in size.  Gas and feces are present in the colon.  The urinary bladder is small.  The remaining abdominal organs are normal.</t>
  </si>
  <si>
    <t>Orthogonal views of the thorax and abdomen are provided:_x000D_
_x000D_
Thorax:_x000D_
_x000D_
Cardiac silhouette has a normal shape and size._x000D_
Pulmonary vessels are within normal limits of size and shape._x000D_
Pulmonary parenchyma is within normal limits. Between the two crus of the diaphragm there is a small mineralized structure not clearly seen in the VD view. A second tiny mineral structure is seen caudal to this one loilkely in the stomach._x000D_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</si>
  <si>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Unremarkable thorax without signs of pulmonary metastases nor signs of thoracic lymphadenopathy._x000D_
2) Mineralized structure between the two crus of the diaphragm: GI content close to the cardias vs mineralized pulmonary lesion axially located is less likely._x000D_
3) Unremarkable abdomen.</t>
  </si>
  <si>
    <t>Consider abdominal US prior to a full neuro exam with MRI of the brain.</t>
  </si>
  <si>
    <t>Opposite lateral and VD views of the thorax and abdomen are provided._x000D_
_x000D_
The cardiovascular structures are within normal limits. No pulmonary or pleural abnormalities are identified. The stomach is mildly dilated with gas, and contains a small quantity of fragmented mineral density. A small quantity of fragmented mineral density is also present in the intestinal tract, most of which is in the colon. No dilation of the small intestine is seen. There is one gassy loop in the right cranial abdomen is believed to be part of the colon. No mass lesions or organomegaly are seen in the abdomen. Serosal detail is normal. The kidneys cannot be clearly identified due to superimposed gastrointestinal structures. There is an extra (eighth) lumbar vertebra that has sacral characteristics. There is bridging spondylosis from L7 to S1. The L5-L6 disc space is mildly narrowed. No destructive bone lesions are seen.</t>
  </si>
  <si>
    <t>The stomach is mildly dilated, but no convincing evidence of obstruction is seen. This is probably the result of mild physiologic ileus due to inflammatory or metabolic disease. No intestinal abnormalities are identified. Intestinal disease such as IBD that could contribute to weight loss still cannot be excluded._x000D_
No thoracic abnormalities are identified._x000D_
The lumbosacral changes are due to congenital deformity, this is likely not clinically significant unless relevant neurologic signs are present.</t>
  </si>
  <si>
    <t>Ultrasound the abdomen should be considered to evaluate the urinary and gastrointestinal tracts more definitively.</t>
  </si>
  <si>
    <t>Patient Name : Randell Cosgrove, Date of study: Mar 22, 2024
3 images are provided for review
Feline Thorax (3 Images) - 2 Lateral, 1 Vd
There are no previous radiographs for comparison.
Findings: The lower airways are within normal limits with no abnormal pulmonary patterns, nodules, or masses. A fat opaque margin is noted along the cranial margin of the cardiac silhouette on the right lateral view. The surround fat increases the size of the cardiac silhouette on the left lateral and VD views. The pulmonary vessels are normal in size and are symmetrical. The trachea is normal. The mediastinum and pleural space are within normal limits. The included skeletal structures are within normal limits.</t>
  </si>
  <si>
    <t xml:space="preserve">Normal thorax. Feline asthma and chronic bronchitis are not excluded as they can have a normal radiographic appearance.  
</t>
  </si>
  <si>
    <t xml:space="preserve">Treatment for feline asthma could be considered to monitor for a positive response to treatment. Airway sampling may be beneficial in guiding treatment options. CBC/serum biochemistry to screen for occult systemic disease if not already performed. A Baermann fecal analysis could be considered to screen for lung worms. </t>
  </si>
  <si>
    <t>Three view orthogonal radiographs (6 images) of the thorax and cranial abdomen dated March 22, 2024, are available for interpretation. Prior orthogonal images (right lateral and VD) from November 17, 2023 (Vetology Case ID 2584833) are available for comparison._x000D_
_x000D_
The cat was sedated with 1.75 mg/kg (8 mg) alfaxolone, 0.2 mg/kg (1.0 mg) butorphanol, and 0.05 mg/kg (0.25 mg) midazolam IM._x000D_
_x000D_
Thorax:_x000D_
Airway/pulmonary:  The lungs are less inflated on today=ZZ91=s study. An interstitial pattern is present in both cranial, right middle and right caudal lung lobes which was not present on the previous study. The interstitial pattern is most severe overlying the right caudal pulmonary artery at the 8th and 9th intercostal space. The left lung lobe has a lucent appearance on the VD images, which is static in the recheck interim. No nodules or masses are noted._x000D_
_x000D_
Cardiovascular: The cardiac silhouette which was previously small is mildly enlarged on today=ZZ91=s study. On comparing the VD projections, the aortic root aortic root has decreased in size in the recheck interim. Additionally, a soft tissue bulge is noted in the region of the main pulmonary artery which was not present on the previous study. Previously, an increase in soft tissue opacity was present right of midline at the level of the right 3rd and 4th intercostal spaces. This soft tissue opacity is less pronounced on today=ZZ91=s study. _x000D_
_x000D_
The pulmonary vasculature to the right caudal lung lobe is enlarged on the current study, was less severely enlarged on the previous study, while the left caudal pulmonary vasculature appears decreased in size in the lung periphery on the VD projection. _x000D_
_x000D_
Mediastinum: Gas dilation of the cranial thoracic esophagus is present on the current study but was not present on the prior study. On the VD projection, an increase in soft tissue opacity is noted cranial to the aortic root, left of midline, which was not present on the previous study. There is also decreased visualization of the descending aorta on the lateral projection. An oval soft tissue opacity 1.2 cm in length resides dorsal to the S2-3 region on the left lateral projection. _x000D_
_x000D_
Pleural space: Normal. No pneumothorax noted._x000D_
_x000D_
Cranial abdomen: Cranial abdominal detail is normal. Liver size is at the upper limits of normal on both study dates. On the left lateral projection, a soft tissue structure is present in the fundic portion of the stomach and the pylorus is soft tissue opaque with a focal gas bubble centrally. _x000D_
_x000D_
Msk: On one of the VD projections, the proximal portion of the right 5th rib cranial cortex appears fractured. This finding does not persist on the other VD projections.</t>
  </si>
  <si>
    <t>1) Interstitial opacity in all lung lobes except the left caudal, most severe in the right caudal lung lobe. While overcirculation edema or left heart failure in conjunction with a chronic left caudal lung lobe PTE could explain some of the findings, the reduction in aortic root size in the recheck interim would not be explained. Reduction in aortic root size in the recheck interim suggests decreased left heart cardiac output which could be secondary to left heart outflow obstruction, decreased left heart preload (PTE affecting the right caudal lung lobe) or secondary to volume loss (hemorrhage)._x000D_
2) Mild mediastinal widening in the recheck interim. This could be secondary to fluid associated with hemorrhage, thymic enlargement or ectopic thyroid tissue. Additionally, the decrease in descending aortic root visualization is suggestive of fluid (hemorrhage or less likely, inflammation) within the mediastinum. _x000D_
3) Mild sternal lymph node enlargement. This finding along with the mild mediastinal widening and right caudal pulmonary opacity could all be attributed to lymphoma or hemorrhage._x000D_
4) Soft tissue opacity filling the pylorus on the left lateral projection. DDx: gastric mass, such as lymphoma, vs. blood clot in the stomach secondary to hemorrhage, potentially due to underlying coagulopathy.</t>
  </si>
  <si>
    <t>Rule out coagulopathy. Repeat cardiac ultrasound along with mediastinal evaluation to assess for mediastinal fluid. Thoracic CT could also be considered to further assess the mediastinum. Decrease or discontinue subcutaneous fluids. Judicious use of sedation and fluids. _x000D_
_x000D_
Abdominal ultrasound to further assess the gastric wall and luminal contents.</t>
  </si>
  <si>
    <t>Radiographically normal abdomen.  Lack of specific changes does not rule out pancreatitis or infiltrative neoplasia.  Abdominal ultrasound could be considered based on the history provided.  Radiographically normal thorax for patient of this age.</t>
  </si>
  <si>
    <t xml:space="preserve">
1.This result detects equivocal/borderline to mild cardiomegaly. _x000D_
2.This result does not detect pulmonary vasculature enlargement._x000D_
3.Rarely, this result detects minimal pleural fissure lines/fluid.  _x000D_
4.This result detects a minimal or rarely mild interstitial pulmonary pattern.  _x000D_
5.This result detects a minimal to mild, or rarely moderate bronchial pulmonary pattern._x000D_
6.Rarely, this result detects a minimal alveolar pulmonary pattern._x000D_
7.This result does not detect pulmonary soft tissue nodules.</t>
  </si>
  <si>
    <t>A two view study of the thorax including the neck is provided for interpretation._x000D_
_x000D_
No tracheal or laryngeal/pharyngeal abnormalities are identified. The pulmonary vessels and parenchyma are unremarkable. The heart is mildly enlarged. No pleural effusion is seen. The stomach is mildly dilated with gas and contains a small quantity of fluid and granular mineral dense sediment. There is a small mineral dense nodular shadow in the right cranial thorax that could be within the liver, gallbladder/bile duct, or in the proximal GI tract.</t>
  </si>
  <si>
    <t>There is mild cardiomegaly. This could be secondary to the hyperparathyroidism or primary cardiac disease such as hypertrophic cardiomyopathy. No pulmonary abnormalities are identified. The trachea also appears normal._x000D_
_x000D_
Significance of the small discrete mineral dense nodular structure in the right cranial abdomen is unknown. This is probably a benign incidental finding, cholelith in the gallbladder or bile duct cannot be excluded.</t>
  </si>
  <si>
    <t>Reactive or allergic lower airway disease such as asthma would be the most likely explanation for the coughing. Parasitic infection such as heartworm disease or less likely lungworms should also be ruled out._x000D_
_x000D_
The mild heart enlargement is a subtle change, so cardiac Pathology is suspected but this is not definitive. If significant hyperthyroidism is verified, thyrotoxic cardiomyopathy might be responsible for the mild cardiomegaly. If not, hypertrophic cardiomyopathy would be a consideration, especially if any auscultable cardiac abnormalities are present.</t>
  </si>
  <si>
    <t>Abdomen: There are several sharp margined mineral opacities within the gastric lumen.  There is no evidence of a pyloric outflow obstruction.  There is no evidence of a small intestinal foreign body or obstruction.  There is moderate amount of gas seen throughout the small intestines.  The liver, spleen, and urinary tract are unremarkable.  Serosal detail is normal.  There are no abnormalities involving the thorax.</t>
  </si>
  <si>
    <t>Gastric foreign bodies._x000D_
_x000D_
The gas-filled small intestines most likely represents enteritis or possible aerophagia.</t>
  </si>
  <si>
    <t>3 images of the thorax and abdomen are presented for review.  The cardiovascular structures are normal.  There is a diffuse interstitial pulmonary pattern that is considered appropriate for the age of the patient.  No pulmonary nodules are seen.  A rounded soft tissue mass is seen in the cranioventral thorax, causing widening of the cranial mediastinum on the VD view.  The pleural structures are normal.  Abdominal serosal detail is adequate in all quadrants.  The stomach contains a moderate amount of ingesta.  The small intestines are normal in size.  Gas and feces are present in the colon.  The urinary bladder is moderately distended.  The kidneys are small.  The remaining abdominal organs are normal.</t>
  </si>
  <si>
    <t>Chronic renal changes.  Cranioventral mediastinal mass.  Consider sternal lymphadenopathy versus other lymph node, ectopic thyroid, or heart base neoplasia.</t>
  </si>
  <si>
    <t>Thoracic CT or ultrasound could be considered.  If identified as sternal lymph node, abdominal ultrasound could also be indicated to rule out an abdominal inflammatory or neoplastic disease.</t>
  </si>
  <si>
    <t xml:space="preserve">
1.This result detects equivocal/borderline to mild, or rarely moderate cardiomegaly._x000D_
2.Rarely, this result detects a minimal alveolar pulmonary pattern._x000D_
3.This result does not detect pulmonary soft tissue nodules._x000D_
4.This result does not detect pulmonary vasculature enlargement._x000D_
5.Rarely, this result detects minimal pleural fissure lines/fluid._x000D_
6.This result detects a minimal, or rarely mild interstitial pulmonary pattern.  _x000D_
7.This result detects a minimal to mild, or rarely moderate to severe bronchial pulmonary pattern.</t>
  </si>
  <si>
    <t>Three radiographs of the thorax/abdomen are provided. The cardiac silhouette and pulmonary vessels are normal size and shape. There are no abnormalities in the pulmonary parenchyma. No pleural effusion or intrathoracic lymphadenomegaly. In the abdomen there is small volume gas and scant minimally formed feces in the colon. Rectangular 0.7 x 0.3 cm mineral opaque fragment in the descending colon is likely incidental. Small intestines are mildly gas-filled. Round lucency with central round soft tissue density in the cranial abdomen on the left lateral view is end-on transverse colon. The stomach contains moderate volume fluid and gas. Fluid-filled pylorus causes the round soft tissue contour in the cranioventral abdomen on the right lateral view. The liver, kidneys, and spleen are normal size and shape. No radiopaque urolithiasis.</t>
  </si>
  <si>
    <t>Evidence of diarrhea. No other definitive abdominal abnormalities. Underlying inflammatory bowel disease or lymphoma could cause these clinical signs. Diet change could be contributing.</t>
  </si>
  <si>
    <t>Consider repeating the abdominal ultrasound. Intestinal biopsy may be necessary for a definitive diagnosis.</t>
  </si>
  <si>
    <t xml:space="preserve">
1.This result detects equivocal/borderline to mild cardiomegaly.  _x000D_
2.This result does NOT detect pleural fissure lines.  _x000D_
3.This result detects a minimal to mild interstitial pulmonary pattern._x000D_
4.This result detects a minimal to mild bronchial pulmonary pattern._x000D_
5.This result does NOT detect an alveolar pulmonary pattern. </t>
  </si>
  <si>
    <t>Abdomen: There is moderate gas distention of the entire colon with a mild amount of fecal material within its lumen.  There is a segment of jejunum within the left mid to caudal abdomen that appears to have asymmetrical wall thickening.  There are segments of jejunum with a mild increase in heterogeneous soft tissue opacity within their lumens.  There is no evidence of a small intestinal obstructive process.  There are segments of jejunum that are gas-filled and within normal limits for diameter.  There are no abnormalities involving the urinary tract.  The liver and spleen are unremarkable.  Serosal detail is normal.  There are no abnormalities involving the visible portions of the thorax.</t>
  </si>
  <si>
    <t>Possible segment of jejunum with asymmetrical wall thickening.  This is not definitive and may represent a summation artifact with adjacent small intestines._x000D_
_x000D_
The appearance of the colon may be secondary to colitis._x000D_
_x000D_
The soft tissue opacity within segments of jejunum most likely represents normal ingesta progressing through the gastrointestinal tract.  Nonobstructive foreign material cannot be ruled out._x000D_
_x000D_
Gas-filled small intestines which may be secondary to enteritis.</t>
  </si>
  <si>
    <t>Abdominal ultrasound may be beneficial for further evaluation.</t>
  </si>
  <si>
    <t>Orthogonal views of the fore limbs, hind limbs, thorax and abdomen are provided:_x000D_
_x000D_
Fore and hind limbs:_x000D_
_x000D_
No abnormalities are noted. No signs of fractures, luxations, aggressive bone lesions or soft tissue swelling/masses. Unremarkable pelvis._x000D_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 L7 is sacralized.</t>
  </si>
  <si>
    <t>1) Unremarkable  fore and hind limbs._x000D_
2) Unremarkable thorax without signs of pulmonary metastases nor signs of thoracic lymphadenopathy._x000D_
3) Unremarkable abdomen.</t>
  </si>
  <si>
    <t>Consider abdominal US to further evaluate causes of vomition. Consider also a neuro exam with MRI if necessary: if the neuro exam is negative, consider an orthopedic exam under sedation with radiographs of the affected region.</t>
  </si>
  <si>
    <t>Three radiographs of the thorax and two lateral views of the mid through caudal abdomen are provided. The cardiac silhouette and pulmonary vessels are normal size and shape. Well delineated increased opacity extending cranial to the heart on the lateral views is incidental mediastinal fat deposition. There are no abnormalities in the pulmonary parenchyma. No pleural effusion. Normal cranial mediastinal width. No abnormalities along the plane of the esophagus. In the abdomen formed feces fills the colon. Small intestines are moderately fluid filled. Small volume soft tissue opacity in the stomach. There is no effusion. Normal sized liver, spleen, kidneys. No radiopaque urolithiasis. There is a broad-based smoothly contoured 1.9 x 0.5 cm soft tissue swelling dorsal to the 7th caudal vertebra. No adjacent vertebral abnormalities.</t>
  </si>
  <si>
    <t>Focal swelling dorsal to the proximal tail, with no underlying osseous abnormalities. This may represent a granuloma or neoplasm. Otherwise normal abdomen and thorax.</t>
  </si>
  <si>
    <t>Cytology/histopathology of the tail lesion is recommended. There is no contraindication for general anesthesia based on this study.</t>
  </si>
  <si>
    <t>A total of 16 radiographs consisting of survey films and a contrast study of the abdomen are submitted for review._x000D_
In the survey films, the stomach and small bowel are within normal limits.  A mild amount of gas is noted in the stomach.  The colon contains a mild amount of fluid and gas.  The liver, spleen, renal silhouettes, and urinary bladder are within normal limits._x000D_
No significant abnormalities are noted in the visible caudal thorax.  No aggressive bony changes are noted._x000D_
_x000D_
In the contrast study, a mild amount of barium is noted in the stomach and appears to move through the small bowel without evidence of obstruction or filling defects.  A residual amount of barium is noted in the intrathoracic esophagus and a few of the first films.  A mild amount of barium remains in the stomach and the last film of the study and the barium has not definitively reached the colon._x000D_
A mild amount of barium is noted in the caudal intrathoracic trachea and principal bronchi.</t>
  </si>
  <si>
    <t>The appearance of the colon could be consistent with general fluid filling of the colon and/or diffuse inflammation or infiltrative disease.  No evidence of mechanical obstruction or of an intraluminal foreign body is seen.  No abnormalities are seen associated with the GI tract and the barium study.  Residual amount of barium in the stomach at the end of the study may be secondary to the effects of recent sedation, underdosing of the barium, or possibly mild ileus associated with nonspecific gastroenteritis or extra alimentary disease.  This is likely of no clinical significance._x000D_
Incidental finding of a mild amount of barium aspiration.</t>
  </si>
  <si>
    <t xml:space="preserve">
1.Rarely, this result detects a minimal to mild alveolar pulmonary pattern._x000D_
2.This result detects a minimal to mild, or rarely moderate interstitial pulmonary pattern.  _x000D_
3.This result does not detect pulmonary vasculature enlargement._x000D_
4.This result does not detect pleural fissure lines/fluid.  _x000D_
5.This result detects equivocal/borderline to mild cardiomegaly. _x000D_
6.This result detects a minimal to mild, or rarely moderate bronchial pulmonary pattern.</t>
  </si>
  <si>
    <t>Patient name: Orange Dostalik_x000D_
THORAOABDOMINAL (3 views, 4 images=ZZ90= [2 lateral, 2 VD])_x000D_
Images are dated March 21, 2024._x000D_
There are no previous radiographs for comparison._x000D_
_x000D_
THORAX:_x000D_
Airway/Pulmonary: The lungs are adequately inflated. Diffusely throughout the lungs, a mild increase in bronchointerstitial opacity is observed. No distinct soft tissue pulmonary nodules are detected. Tracheal and mainstem bronchial diameter is normal._x000D_
_x000D_
Cardiovascular: The cardiac silhouette is normal in size and shape. The aortic arch is prominent in the VD views only. Pulmonary vessels are normal in width._x000D_
_x000D_
Mediastinum: No lymph node enlargement is detected. The caudal vena cava is normal in height._x000D_
_x000D_
Pleural space: No pleural effusion is seen._x000D_
_x000D_
Musculoskeletal: No abnormalities detected in the visible musculoskeletal structures._x000D_
_x000D_
ABDOMEN:_x000D_
Liver: The liver is normal in size and shape with smooth margins._x000D_
_x000D_
Spleen: The spleen is normal in size and shape with smooth margins._x000D_
_x000D_
Kidneys and urinary bladder: Both kidneys are normal in size and shape with smooth margins. The urinary bladder is mildly fluid distended. No radiopaque urinary calculi are detected._x000D_
_x000D_
GI: The stomach is empty. The small intestines predominantly contain fluid with a few loops containing gas. Normal intestinal diameter and distribution are maintained. No distinct radiopaque gastrointestinal foreign material is detected. Gas and formed feces are noted in the colon._x000D_
_x000D_
Abdominal detail: Serosal detail is adequate._x000D_
_x000D_
MSK: Visible musculoskeletal structures are within normal limits.</t>
  </si>
  <si>
    <t>1) Prominent aortic base is most likely normal age related change but systemic hypertension is also possible._x000D_
2) Mild diffuse bronchointerstitial pattern. This is likely entirely age related change but inflammation/infection cannot be ruled out. No evidence of intra-thoracic neoplasia._x000D_
3) Unremarkable abdomen.</t>
  </si>
  <si>
    <t>Recommend measuring systemic blood pressure.</t>
  </si>
  <si>
    <t>2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ingesta.  The small intestines are normal in size.  Gas and feces are present in the colon.  The urinary bladder is small.  The remaining abdominal organs are normal.</t>
  </si>
  <si>
    <t>Lack of specific changes does not rule out pancreatitis, inflammatory bowel disease, infiltrative neoplasia, etc.  Abdominal ultrasound may be helpful.</t>
  </si>
  <si>
    <t>Five orthogonal survey radiographs of the thorax and abdomen dated 21st March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 A diffuse interstitial opacification is overlying the thorax, consistent with body habitus. In the right middle lung lobe there is an irregular smoothly marginated soft tissue opacity._x000D_
_x000D_
Cardiovascular findings: The cardiac silhouette is mildly globoid, but still within normal limits for size. The shape in the ventral dorsal image is within normal limits._x000D_
_x000D_
Mediastinum and pleural space: There is increased pericardial, ventral pleural and mediastinal fat. _x000D_
_x000D_
Abdomen: No significant abnormalities are detected._x000D_
_x000D_
Musculoskeletal findings: The patient is overweight.</t>
  </si>
  <si>
    <t>1. Right middle lung lobe soft tissue opacity: Differentials include a primary bronchial adenocarcinoma, granuloma, abscess, unlikely cyst._x000D_
2. The globoid appearance of the heart is most likely due to pericardial fat. Hypertrophic cardiomyopathy cannot be excluded and could be masked by the pericardial fat.</t>
  </si>
  <si>
    <t>Consider thoracic ultrasound and FNA if the right middle lung lobe lesion is visible. Blood pressure, ECG and echocardiography may be considered.</t>
  </si>
  <si>
    <t>Three radiographs of the thorax/abdomen are provided. The cardiac silhouette and pulmonary vessels are upper normal size. Fat deposition encircles the heart on the VD projection. Soft tissue bulge along the cranial left aspect of the heart on the VD view is incidental appearance of the aortic arch (=ZZ92=aortic knob=ZZ92=). There are no abnormalities in the pulmonary parenchyma or pleural space. Fat deposition separates the heart from the sternum on the lateral views. There is broad-based curved 3.3 cm soft tissue opacity extending cranial to the mid diaphragm at the level of the caudal vena cava on the lateral views. Possibly on midline on the VD view. In the abdomen there is no effusion or organomegaly. The gastrointestinal tract is mildly filled. No radiopaque urolithiasis._x000D_
Spondylosis deformans is of doubtful clinical significance today.</t>
  </si>
  <si>
    <t>1. Soft tissue contour in the caudal thorax, and immediately adjacent to the diaphragm and suspected to be on midline. Since this blends with the diaphragm, a small, incidental diaphragmatic rent with extension of a portion of the liver into the thorax should be considered. A lung or pleural mass is next on the differential list. Otherwise normal thorax._x000D_
2. Normal abdomen.</t>
  </si>
  <si>
    <t>Recommend a CBC, blood chemistry profile, and abdominal ultrasound. The caudal thoracic mass lesion could be evaluated with ultrasound using a transhepatic window, also evaluating the diaphragm at the same time.</t>
  </si>
  <si>
    <t>THORAX (four radiographs for review). Multiple previous examinations available. Most recent from 01/24/23._x000D_
_x000D_
- Excessive body habitus._x000D_
- Similar, diffuse, moderate bronchial pulmonary pattern._x000D_
- Leftward and cranial shift of the mediastinum._x000D_
- Alveolar pattern in the cranial segment of the left cranial lung lobe_x000D_
- Branched, fusiform soft-tissue opacity in the right caudal lung lobe, similar but mildly reduced in size from previous examination._x000D_
- Cardiac silhouette within normal limits for size, shape and margins._x000D_
- Included cranial abdominal structures unremarkable._x000D_
- Included skeletal structures normal.</t>
  </si>
  <si>
    <t>1. Similar, moderate-to-severe diffuse lower airway disease with obstructive atelectasis of the cranial subsegment of the left cranial lung lobe (most likely due to bronchial mucus plugging). Most likely secondary to feline asthma. An overlying bronchitis (infectious) is possible given the reported clinical signs. Consider continuing medical management for lower airway disease, with lower airway sampling if the patient is worsening or non-responsive._x000D_
_x000D_
2. The opacity in the right caudal lung lobe most resembles tree-in-bud phenomenoma, in which there is plugging of the bronchi by mucoid/inflammatory debris from chronic lower airway disease. It is occasionally seen in cases of feline asthma. Furthermore, this opacity has not progressed (and appears to be smaller today) than previous and for this reason neoplasia is unlikely._x000D_
_x000D_
3. Excessive body habitus.</t>
  </si>
  <si>
    <t>Opposite lateral and ventrodorsal whole body radiographs (3 images) dated March 2024._x000D_
_x000D_
_x000D_
The cardiac silhouette, pulmonary vasculature, and great vessels are within normal limits. The pulmonary parenchyma has a mild generalized bronchial pattern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The stomach contains a small volume of gas and fluid. The small intestine is unremarkable in diameter and course and is mostly empty/collapsed. The colon contains gas and normal stool. Both kidneys are unremarkable in size and shape. The urinary bladder is moderately fluid-filled and is normal in overall size. Retroperitoneal and peritoneal detail are normal. No regional lymphadenopathy is evident.</t>
  </si>
  <si>
    <t>1. Mild bronchial markings are suspicious for chronic lower airway disease/bronchitis,. Rule out eosinophilic/feline asthma vs. infectious (bacterial or parasitic [including heartworm]) vs. chronic inhaled irritants._x000D_
2. Unremarkable abdomen.</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</si>
  <si>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Wet hair artifact along the ventral aspect of the thorax and abdomen.</t>
  </si>
  <si>
    <t>Given the lack of cardiomegaly but audible murmur, consider a cardiology consultation with ECG and echocardiogram prior to a CT of the nasal cavity with rhinoscopy and biopsies.</t>
  </si>
  <si>
    <t>Opposite lateral and ventrodorsal whole body radiographs (3 images) dated March 20, 2024._x000D_
_x000D_
_x000D_
The cardiac silhouette and pulmonary vasculature are within normal limits. The aorta has a prominent arch. The caudal vena cava is unremarkable. The pulmonary parenchyma has a moderate diffuse bronchial pattern. No pulmonary nodules, infiltrates, or other pathology is detected. The pleural space and diaphragm are normal. No mediastinal abnormalities are appreciated. The trachea is normal in diameter and course with gas filling its lumen. No intrathoracic lymphadenopathy is evident._x000D_
The liver is borderline enlarged. The spleen is unremarkable. The stomach contains a moderate amount the small intestine is diffusely and atypically gas distended. The colon contains gas mixed with unremarkable appearing stool. The left kidney is normal in size and shape. The right kidney is only partially visible with no overt abnormalities appreciated. The urinary bladder is fairly fluid-filled. Retroperitoneal and peritoneal detail are adequate. No regional lymphadenopathy is evident._x000D_
No aggressive or clinically significant osseous pathology is identified.</t>
  </si>
  <si>
    <t>1. Atypical gas distention of the small bowel is concerning for either enteritis or a chronic enteropathy. A functional ileus from sedation (if applicable) remains possible._x000D_
2. Radiographically unremarkable urinary tract. The cause for the urinary clinical signs is not radiographically apparent._x000D_
3. Prominent aortic arch can represent an incidental age-associated geriatric change or systemic hypertension._x000D_
4. Diffuse bronchial changes are suggestive of bronchitis. Rule out eosinophilic/feline asthma vs. infectious (bacterial or parasitic [including heartworm]) vs. chronic inhaled irritants.</t>
  </si>
  <si>
    <t>CBC, Chem, T4, UA, fecal, and systemic blood pressure._x000D_
Abdominal ultrasound +/- GI blood panel.</t>
  </si>
  <si>
    <t xml:space="preserve">
1.This result detects none, or less commonly equivocal/borderline to mild cardiomegaly. _x000D_
2.This result does not detect pulmonary vasculature enlargement._x000D_
3.This result detects a minimal to mild interstitial pulmonary pattern.  _x000D_
4.This result detects a minimal to mild, or rarely moderate bronchial pulmonary pattern._x000D_
5.Rarely, this result detects a minimal alveolar pulmonary pattern._x000D_
6.Rarely, this result detects minimal pleural fissure lines/fluid.  </t>
  </si>
  <si>
    <t>3 views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moderate amount of gas.  The small intestines are normal in size.  Gas and mineral opaque feces are present in the colon.  The urinary bladder is moderately distended.  The kidneys are small with mildly irregular margins.  The remaining abdominal organs are normal.</t>
  </si>
  <si>
    <t>Cardiomegaly without current evidence of cardiogenic pulmonary edema.  Echocardiography, proBNP, and thyroid testing may be helpful in further staging.  Chronic renal changes.  Constipation.  Correlation with serum biochemistry, SDMA, and urinalysis may be helpful.</t>
  </si>
  <si>
    <t>Study:_x000D_
Thoracicl radiography: four images dated March 20, 2024_x000D_
_x000D_
Findings:_x000D_
There is moderate generalized cardiomegaly. The pulmonary vasculature is normal in size. There is mild to moderate bilateral pleural effusion. There is associated reduced lung volume/atelectasis. There is no intrathoracic lymphadenopathy. The trachea is normal in diameter. The included abdomen is unremarkable. There is multifocal thoracolumbar intervertebral disc space narrowing and mild spondylosis deformans</t>
  </si>
  <si>
    <t>1. Moderate generalized cardiomegaly. Hypertrophic cardiomyopathy is prioritized. Recommend echocardiography for further evaluation._x000D_
2. Bilateral nonspecific pleural effusion. Given the apparent cardiomegaly, congestive heart failure suspected. Other causes of peritoneal effusion [e.g. hemothorax or pyothorax (given the recent trauma)] cannot be completely excluded. Thoracocentesis with fluid analysis should be considered. Diuretic therapy and repeat radiography to monitor for response to treatment should also be considered.</t>
  </si>
  <si>
    <t xml:space="preserve">
1.This result detects a mild to moderate interstitial pulmonary pattern._x000D_
2.Rarely, this result detects a minimal to mild alveolar pulmonary pattern._x000D_
3.This result detects equivocal/borderline to severe cardiomegaly._x000D_
4.Rarely, this result detects minimal to mild pulmonary vasculature enlargement._x000D_
5.This result detect minimal to mild, or rarely moderate pleural fissure lines/fluid. _x000D_
6.This result detects a minimal to moderate bronchial pulmonary pattern.</t>
  </si>
  <si>
    <t>3 views of the entire body are provided for review. There is a moderate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moderately distended.  The kidneys are slightly small.  The remaining abdominal organs are normal.</t>
  </si>
  <si>
    <t>Small kidneys suggestive of chronic renal disease.  Moderate bronchial pulmonary pattern.  Considerations include asthma, heartworm, lungworm, atypical infection, bronchitis.</t>
  </si>
  <si>
    <t>Three radiographs of the thorax/abdomen are provided. The cardiac silhouette and pulmonary vessels are normal size and shape on the lateral views. Fat deposition is seen on the left side of the heart on the VD projection. Prominent aortic arch on the VD view is a normal aged feline variant. There are faint bronchial markings in the lungs. No pleural effusion or soft tissue pulmonary nodules. In the abdomen there is abundant peritoneal and retroperitoneal fat. No effusion. Formed feces fills the colon. The stomach and small bowel are minimally distended. Normal-sized kidneys, spleen, or liver. No radiopaque urolithiasis. Osseous structures are unremarkable.</t>
  </si>
  <si>
    <t>Bronchial pattern is suggestive of chronic airway inflammation. In the absence of associated respiratory signs, significance is doubtful. Otherwise normal thorax and abdomen.</t>
  </si>
  <si>
    <t>Opposite lateral and VD views of the thorax are provided._x000D_
_x000D_
Bronchial markings are increased but within the limits of probable age related change. No pulmonary nodules are identified. No pleural effusion or thoracic lymphadenopathy is seen. The cardiovascular structures are within normal limits. The abdominal organs that are visible in the cranial abdomen all appear normal. There is severe spondylosis deformans involving the cervical spine and mild spondylosis in the cranial thoracic spine. There is marked narrowing of most disc spaces the thoracic spine, and mild dorsal subluxation of the T11-T12 intervertebral disc space is identified. No destructive bone lesions are seen.</t>
  </si>
  <si>
    <t>No findings concerning for metastatic neoplasia are identified._x000D_
There is evidence of disc degeneration in the thoracic spine, and subluxation at T11-T12.</t>
  </si>
  <si>
    <t>A two view thoracoabdominal study is provided for interpretation._x000D_
_x000D_
There is a moderate bronchial pulmonary pattern. No pulmonary nodules or pleural effusion are seen. The cardiovascular structures are within normal limits. Abdominal organs are within normal size and shape limits. No lymphadenopathy or mass lesions are seen in the thorax or abdomen.</t>
  </si>
  <si>
    <t>No significant abdominal abnormalities are identified._x000D_
No cardiac abnormalities are identified._x000D_
There is a bronchial pulmonary pattern typical of chronic lower airway disease. This is not likely to be relevant to the current clinical presentation.</t>
  </si>
  <si>
    <t>Intracranial disease should be ruled out.</t>
  </si>
  <si>
    <t>Study:_x000D_
Thoracic radiography: three images dated March 11, 2024_x000D_
_x000D_
Findings:_x000D_
The cardiac silhouette and pulmonary vasculature are normal in size. There is a mild bronchial pulmonary pattern in the caudodorsal lung fields. The pleural space is normal. There is no intrathoracic lymphadenopathy. The trachea is normal in diameter and course. The stomach contains unstructured heterogeneous soft tissue material presumed to be ingesta. The included abdomen is otherwise unremarkable. No skeletal abnormalities are present.
(amended on 03/19/2024 20:47)
Human digits are present in the primary beam on both VD views.</t>
  </si>
  <si>
    <t>The mild caudodorsal bronchial pulmonary pattern may indicate allergic/inflammatory bronchitis (asthma). Infectious, parasitic and inhaled irritant bronchitis are also possible. Airway sampling, heartworm testing and Baermann fecal flotation can be considered for further evaluation. Alternatively, a treatment trial for asthma can be considered.</t>
  </si>
  <si>
    <t>Patient Name : Miracle Boy Bennett, Date of study: Jan 1, 2022
3 images are provided for review
Feline Thorax (3 Images) - 2 Lateral, 1 Vd
There are no previous radiographs for comparison.
Findings:
The radiology report indicates negative results for pulmonary nodules, cardiomegaly, right-sided cardiomegaly, and pulmonary vessel enlargement. There is also no evidence of pericardial effusion.
However, the report shows positive findings for several conditions. These include esophagitis, pneumonia, interstitial abnormalities, diseased lung tissue and heart failure. Additionally, there is presence of a Redundant Trachea Membrane.
Focal changes were noted in the caudodorsal lung and perihilar region. Pulmonary hypoinflation was observed along with bronchitis and hypoplastic conditions.
Further positive findings include pleural effusion and left-sided cardiomegaly. Bronchiectasis was present as well as thoracic lymphadenopathy.</t>
  </si>
  <si>
    <t>1. Pleural effusion and left-sided cardiomegaly.  - Differential diagnoses include heart failure, pericardial effusion, or less likely hemorrhagic pleural effusion from coagulopathy or neoplasia.  2. Esophagitis and pneumonia with interstitial changes such as from evolving pulmonary edema due to left-sided congestive heart failure, or unlikely infectious/inflammatory pneumonitis such as from mycoplasma spp., bordetella spp., parasitism (lungworms), or immune-mediated disease such as eosinophilic pneumonitis/bronchitis.    3. Bronchiectasis and thoracic lymphadenopathy are consistent with chronic infectious/inflammatory lower airway disease and/or evolving neoplasia (lymphosarcoma).</t>
  </si>
  <si>
    <t>Echocardiography for further evaluation of the reported murmur and possible underlying cardiomyopathy versus valvular disease leading to left-sided congestive heart failure resulting in pleural effusion is recommended for further evaluation of this patient's cardiac status if not already performed.
Abdominal imaging may be beneficial to screen for occult systemic disease contributing to the reported weight loss.
Thoracocentesis with fluid analysis/cytology may be beneficial for further evaluation of the etiology of the pleural fluid.
Empirical therapy for pneumonia/bronchitis with repeat thoracic radiographs in 7-10 days will likely be beneficial in monitoring response to therapy.</t>
  </si>
  <si>
    <t>Aziz Beguliev</t>
  </si>
  <si>
    <t xml:space="preserve">
1.This result detects equivocal/borderline to mild cardiomegaly. _x000D_
2.This result does not detect pulmonary vasculature enlargement._x000D_
3.This result detects a minimal or rarely mild interstitial pulmonary pattern.  _x000D_
4.This result detects a minimal to mild, or rarely moderate bronchial pulmonary pattern._x000D_
5.Rarely, this result detects a minimal alveolar pulmonary pattern._x000D_
6.This result does not detect pulmonary soft tissue nodules._x000D_
7.Rarely, this result detects minimal pleural fissure lines/fluid.  </t>
  </si>
  <si>
    <t>Patient name: Chloe Borland_x000D_
THORAX (3 views, 4 images=ZZ90= [2 lateral, 2 VD])_x000D_
Images are dated March 18, 2024._x000D_
There are no previous radiographs for comparison. _x000D_
The patient is rotated with respect to the x-ray beam in both VD images.  _x000D_
_x000D_
Airway/Pulmonary: The lungs are adequately inflated. Diffusely throughout the lungs a moderate increase in bronchial opacity is observed with small interstitial patches.  No distinct soft tissue pulmonary nodules are detected.  Tracheal and mainstem bronchial diameter is normal. _x000D_
_x000D_
Cardiovascular: The cardiac silhouette is normal in size and shape.  Pulmonary vessels are normal in width. _x000D_
_x000D_
Mediastinum: No lymph node enlargement is detected.  The caudal vena cava is normal in height.  _x000D_
_x000D_
Pleural space: No pleural effusion is seen. _x000D_
_x000D_
Cranial abdomen: In the cranioventral abdomen, superimposing the liver and falciform fat, an ovoid to geoid (~2cm x 1.3cm) faintly mineral opacity with smooth, well defined margins is observed.   Visible portions of the liver, and stomach are within normal limits. _x000D_
_x000D_
Musculoskeletal: No abnormalities detected in the visible musculoskeletal structures.</t>
  </si>
  <si>
    <t>1) Diffuse moderate bronchial pattern with bronchial plugs.  Consistent with reported feline asthma (allergic bronchitis) versus other forms of bronchitis (parasitic vs. bacterial).  No evidence of intra-thoracic neoplasia.  _x000D_
2) Cranioventral abdominal mineral opacity likely mineralized gallbladder contents versus less likely mineralization of the gallbladder itself.</t>
  </si>
  <si>
    <t>Consider abdominal ultrasound for further evaluation of biliary structures. Consider empiric management of feline asthma.</t>
  </si>
  <si>
    <t xml:space="preserve">
1.This result does NOT detect pleural fissure lines._x000D_
2.This result detects a mild to severe bronchial pulmonary pattern._x000D_
3.This result detects a minimal to mild interstitial pulmonary pattern._x000D_
4.Rarely, this result detects a minimal to moderate alveolar pattern. _x000D_
5.This result does NOT detect soft tissue pulmonary nodules.  _x000D_
6.This result detects equivocal/borderline to moderate cardiomegaly.</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</si>
  <si>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No esophageal dilation or foreign material is seen.  Cranial abdominal detail is adequate.  Moderate soft tissue is present in the stomach.</t>
  </si>
  <si>
    <t>Radiographically normal thorax for patient of this age.  Material within the stomach may represent normal ingesta or foreign material.</t>
  </si>
  <si>
    <t xml:space="preserve">
1.This result detects equivocal/borderline to mild, or rarely moderate cardiomegaly. _x000D_
2.This result does not detect pulmonary vasculature enlargement._x000D_
3.This result does not detect pleural fissure lines/fluid.  _x000D_
4.This result detects none, or a minimal to mild interstitial pulmonary pattern.  _x000D_
5.This result detects none, or a minimal to mild bronchial pulmonary pattern._x000D_
6.Rarely, this result detects a minimal alveolar pulmonary pattern._x000D_
7.This result does not detect pulmonary soft tissue nodules.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</si>
  <si>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large amount of gas.  The small intestines are diffusely gas distended.  Gas and feces are present in the colon.  The urinary bladder is distended.  The remaining abdominal organs are normal.</t>
  </si>
  <si>
    <t>Diffuse gastrointestinal dilation suggests functional ileus.  Underlying pancreatitis or infiltrative neoplasia cannot be excluded.  Abdominal ultrasound could be considered.  Radiographically normal thorax for patient of this age.</t>
  </si>
  <si>
    <t xml:space="preserve">
1.No significant pleural fluid detected._x000D_
2.No airway or pulmonary abnormalities have been detected. The lung parenchyma appears normal with no interstitial, alveolar, or bronchial pattern identified. No definitive pulmonary nodules or other abnormalities are identified._x000D_
3.No cardiomegaly detected.</t>
  </si>
  <si>
    <t>Orthogonal views of the thorax are provided:_x000D_
_x000D_
Thorax:_x000D_
_x000D_
Cardiac silhouette is mildly enlarged with a VHS of 9.2._x000D_
Pulmonary vessels are within normal limits of size and shape._x000D_
Pulmonary parenchyma is within normal limits. No evidence of pulmonary nodules/masses._x000D_
Pleural space, mediastinum, diaphragm and thoracic wall within normal limits.</t>
  </si>
  <si>
    <t>1) Rule out left atrial enlargement secondary to an occult primary cardiomyopathy such as HCM vs RCM vs UCM vs secondary cardiomyopathy to hyperthyroidism is unlikely.</t>
  </si>
  <si>
    <t>Consider a cardiology consultation with ECG and echocardiogram prior to a CT of the oral cavity with biopsies.</t>
  </si>
  <si>
    <t xml:space="preserve">
1.This result detects a minimal to moderate bronchial pulmonary pattern._x000D_
2.This result detects a minimal to mild interstitial pulmonary pattern._x000D_
3.This result does NOT detect an alveolar pulmonary pattern._x000D_
4.This result does NOT detect pleural fissure lines._x000D_
5.This result detects equivocal/borderline to moderate cardiomegaly.</t>
  </si>
  <si>
    <t>WHOLE-BODY (six radiographs for review). No previous for comparison._x000D_
_x000D_
- Caudal lumbar vertebral column normal._x000D_
- Sacroiliac joints normal._x000D_
- Coxofemoral joints unremarkable._x000D_
- Bilaterally symmetrical and adequate pelvic limb musculature._x000D_
- Stifle joints within normal limits bilaterally._x000D_
- Distal limbs normal bilaterally._x000D_
- Peritoneal serosal detail normal._x000D_
- Liver is mildly enlarged, extending caudal to the costal arch with rounded margins._x000D_
- Stomach nondistended and contains a small volume of gas and gas stippled soft-tissue opaque material._x000D_
- Small intestine mild multifocal gas and soft-tissue opaque material._x000D_
- Colon contains a small volume of formed fecal material and is mostly homogenously soft-tissue opaque in the descending portion._x000D_
- Spleen, kidneys, urinary bladder normal._x000D_
- Thoracic structures unremarkable.</t>
  </si>
  <si>
    <t>1. Unremarkable pelvic limbs bilaterally. A discrete cause for the reported possible lameness is not clearly identified. An unseen soft-tissue injury is considered, as radiographic sensitivity may be limited._x000D_
_x000D_
2. A clear cause for the reported ADR is not radiographically identified. The homogenously soft-tissue opaque appearance of the descending colon is slightly atypical and may indicate a degree of colonic ileus (e.g. colitis). Consider abdominal ultrasound if clinically indicated for further assessment._x000D_
_x000D_
3. Mild hepatomegaly. DDx metabolic (vacuolar) hepatopathy, less likely cholangiohepatitis, congestion or neoplasia. If there is a history of hepatic enzyme elevation, sonographic assessment of the liver +/- FNA may be considered.</t>
  </si>
  <si>
    <t xml:space="preserve">
1.This result detects equivocal/borderline to mild cardiomegaly. _x000D_
2.This result detects a minimal to mild, or rarely moderate bronchial pulmonary pattern._x000D_
3.Rarely, this result detects a minimal alveolar pulmonary pattern._x000D_
4.This result does not detect pulmonary vasculature enlargement._x000D_
5.This result detects a minimal to mild interstitial pulmonary pattern.  _x000D_
6.This result does not detect pleural fissure lines/fluid.  </t>
  </si>
  <si>
    <t>Radiographically normal abdomen.  This does not rule out pancreatitis or infiltrative neoplasia.  If clinical signs persist with supportive therapy, abdominal ultrasound may be helpful.  Radiographically normal thorax for patient of this age.</t>
  </si>
  <si>
    <t>WHOLE-BODY (four radiographs for review). No previous for comparison._x000D_
_x000D_
- Thoracic, thoracolumbar, lumbar and lumbosacral vertebral column normal._x000D_
- Sacroiliac joints and included portions of the pelvis unremarkable._x000D_
- Gastrointestinal tract mildly diffusely distended with gas._x000D_
- Formed fecal material in the colon. _x000D_
- Spleen is moderately enlarged._x000D_
- Liver, kidneys, urinary bladder normal._x000D_
- Cardiac silhouette, pulmonary parenchyma, pulmonary vasculature, pleural space normal. _x000D_
- Mild bilateral coxofemoral osteoarthritis.</t>
  </si>
  <si>
    <t>1. A discrete radiographic cause for the reported clinical signs is not clearly identified. The vertebral column is radiographically unremarkable. Radiographic sensitivity for soft-tissue assessment in this region can be limited. CT may be useful if there is lack of improvement or worsening, however the patient=ZZ91=s clinical symptoms sound more multifocal and for this reason internal medicine consultation could also be considered._x000D_
_x000D_
2. Mild splenomegaly. DDx congestion from sedation, lymphoid hyperplasia, EMH, less likely neoplasia. Ultrasound with FNA may be useful._x000D_
_x000D_
3. Aerophagia.</t>
  </si>
  <si>
    <t>3 views of the entire body are presented for review.  The cardiovascular and pulmonary structures are normal.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moderately distended.  The remaining abdominal organs are normal.</t>
  </si>
  <si>
    <t>Radiographically normal thorax.  Prominent rugal folds suggestive of gastritis.  This does not rule out underlying pancreatitis, inflammatory bowel disease, etc.</t>
  </si>
  <si>
    <t>Based on the history of chronicity, abdominal ultrasound may be helpful.</t>
  </si>
  <si>
    <t>Patient name: Haru Kiser 
THORAX (3 views, 3 images=ZZ90= [2 lateral, 1 VD]) and PELVIC LIMBS (3 images=ZZ90= [2 lateral, 1 VD])
Images are dated March 15, 2024.
There are no previous radiographs for comparison. 
THORAX: 
Airway/Pulmonary: The lungs are adequately inflated. There is an overall increase in soft tissue opacity over the whole lung field due to superimposition of subcutaneous fat, characterized by a mild bronchial pattern.  No soft tissue pulmonary nodules are detected.  Tracheal and mainstem bronchial diameter is normal. 
Cardiovascular: The cardiac silhouette is normal in size and shape.  Mild epicardial fat is suspected.  Pulmonary vessels are normal in width. 
Mediastinum: The cranial mediastinum is wide.  No lymph node enlargement is detected.  The caudal vena cava is normal in height.  
Pleural space: No pleural effusion is seen. 
Cranial abdomen: Visible portions of the liver, spleen, and stomach within normal limits. 
Musculoskeletal: A large volume of subcutaneous and falciform fat is observed. Minimal spondylosis deformans is observed from T6-T10.  Mild osteophytosis is noted in both elbows.  
PELVIC LIMBS
Pelvis/spine: The coxofemoral joints are bilaterally congruent. Both acetabula are smooth with adequate coverage of the femoral heads. No hip osteophytes or pelvic fractures are noted. The sacroiliac joints are within normal limits. There is mild intervertebral disc space narrowing and spondylosis deformans of L7-S1. The remaining intervertebral disc spaces are normal and uniform with smooth vertebral body end plates. 
Stifles: Both stifles are superimposed by inguinal fat but no stifle effusion is detected. The patellae are correctly positioned in their respective trochlear grooves. No periarticular osteophytosis is observed. No fractures or lytic lesions are observed.  
Tarsi: The distal ~3cm of the left calcaneon tendon is thickened with stippled mineral proximocaudal to the site of insertion.  There is minimal enthesophytosis along the lateral malleolus bilaterally.  In the right tarsus, mild osteophytosis is observed along the dorsal aspect of the medial malleolus.     
No fractures or osteolytic regions observed. 
Soft tissues:  Pelvic limb musculature appears adequate and symmetrical.  No abnormalities are detected with the visible abdominal organs.</t>
  </si>
  <si>
    <t>1) Left calcaneon tendonopathy.  Calcaneon avulsion cannot be ruled out.  
2) Minimal to mild bilateral tarsocrucal osteoarthrosis, right worse than left.  
3) Mild diffuse bronchial pattern.  At least partially due to age related change and summation of subcutaneous fat but lower airway disease is also possible as a cause of coughing.  No evidence of pneumonia, cardiogenic edema, or intra-thoracic neoplasia.    
4) Excessive body habitus.</t>
  </si>
  <si>
    <t>Musculoskeletal ultrasound of the left calcaneal tendon is advised. Careful empirical management, including controlled exercise, non-steroidal anti-inflammatories, or multimodal analgesia, after normal blood work may be considered.
Respiratory workup including CBC, serum chemistry, urinalysis, Baermann fecal testing, 4DX, +/- respiratory panel as indicated.</t>
  </si>
  <si>
    <t xml:space="preserve">
1.This result detects a minimal, or rarely mild interstitial pulmonary pattern.  _x000D_
2.This result detects a minimal to mild, or rarely moderate bronchial pulmonary pattern._x000D_
3.This result does not detect an alveolar pulmonary pattern._x000D_
4.This result detects equivocal/borderline to mild cardiomegaly. _x000D_
5.This result does not detect pulmonary vasculature enlargement._x000D_
6.This result does not detect pleural fissure lines/fluid.  </t>
  </si>
  <si>
    <t>Patient name: Murphy Ashkar 
THORAX (4 images=ZZ90= [2 lateral, 2 VD]) and SKULL (2 images=ZZ90= [1 lateral, 1 VD])
Images are dated March 15, 2024.
There are no previous radiographs for comparison. 
Unshielded human digits are detected in the primary x-ray beam on a VD thorax image.  
The skull is rotated with respect to the x-ray beam in the VD image, limiting evaluation.
THORAX:
Airway/Pulmonary: The lungs are adequately inflated. The pulmonary parenchyma is normal with no abnormal pulmonary patterns.  No soft tissue pulmonary nodules are detected.  Tracheal and mainstem bronchial diameter is normal. 
Cardiovascular: The cardiac silhouette is normal in size and shape.  Pulmonary vessels are normal in width. 
Mediastinum: No lymph node enlargement is detected.  The caudal vena cava is normal in height.  
Pleural space: No pleural effusion is seen. 
Cranial abdomen: The stomach contains a large volume of gas admixed with soft tissue contents, consistent with food. Visible portions of the liver, spleen, kidneys, small intestine, colon, and urinary bladder are within normal limits. 
Musculoskeletal: No abnormalities detected in the visible musculoskeletal structures.
SKULL:
Skull: No fractures or regions of osteolysis are detected.  The nasal cavities appear air filled and within normal limits.  The tympanic bulla are air filled with smooth margins.  Bilaterally the temporomandibular joints appear congruent.
Vertebral column: Seven cervical vertebrae are present.  The dens has normal size and position.
Soft tissues: The diameter of the included cervical trachea is normal.</t>
  </si>
  <si>
    <t>1) Normal lungs with no evidence of pneumonia, cardiogenic edema, or intra-thoracic neoplasia.
2) Unremarkable skull.  Does not rule out nasopharyngeal cause of sneeze/discharge such as infection, chronic rhinitis, foreign body or polyp. Malignant neoplasia is less likely in a patient of this age.</t>
  </si>
  <si>
    <t>Consider skull CT or rhinoscopy.</t>
  </si>
  <si>
    <t>Three radiographs of the thorax and three views of the abdomen are provided. Images dated December 15, 2023 are available for comparison. There is mild cardiac enlargement, with small indentation in the caudal heart waist on the lateral views. This is relatively similar to the previous study. Pulmonary vessels are normal size. There are no abnormalities in the pulmonary parenchyma. The suspect area of increased opacity previously seen dorsal to the cranial sternum is not present today and was likely due to superimposed thoracic limb tissue. No pleural effusion. Normal tracheal diameter._x000D_
_x000D_
In the abdomen the stomach contains a large amount of amorphous soft tissue density and small accumulation of mineral opaque debris. Small and large bowel are mildly filled. No radiopaque urolithiasis. Normal size kidneys, liver, spleen. Spondylosis deformans at the lumbosacral junction is likely incidental. Osseous structures are otherwise unremarkable.</t>
  </si>
  <si>
    <t>1. Mild cardiomegaly as before, most consistent with cardiomyopathy. There is no evidence of heart failure. The thorax is otherwise normal. A reason for coughing is not identified. Inhaled irritants/allergens is suspected._x000D_
2. Normal postprandial abdomen. Mineral debris in the stomach is likely incidental.</t>
  </si>
  <si>
    <t>Cardiac proBNP evaluation should be considered. If there are no significant abnormalities, treatment for asthma should be considered.</t>
  </si>
  <si>
    <t xml:space="preserve">
1.This result detects equivocal/borderline to moderate cardiomegaly. _x000D_
2.This result detects a minimal to mild, or rarely moderate interstitial pulmonary pattern.  _x000D_
3.This result detects a mild to moderate bronchial pulmonary pattern._x000D_
4.This result does not detect pulmonary vasculature enlargement._x000D_
5.Rarely, this result detects a minimal alveolar pulmonary pattern._x000D_
6.Rarely, this result detects pulmonary soft tissue nodules._x000D_
7.This result does not detect pleural fissure lines/fluid.  </t>
  </si>
  <si>
    <t>Seven orthogonal survey radiographs of the thorax and abdomen dated 14th March 2024 are available for review. There are no previous radiographs available for comparison. _x000D_
_x000D_
Thorax: _x000D_
Airway findings: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contains some granular food material and has a normal axis. The small intestines are distributed evenly and are within normal limits for shape, size and contents. The ascending, transverse and descending colon have a normal position and contain gradually an increased amount of formed faeces. The urinary bladder is small._x000D_
_x000D_
Musculoskeletal findings: No significant abnormalities are detected.</t>
  </si>
  <si>
    <t>1. Mild constipation is present. This may be secondary to inactivity and diet. Low-grade dehydration secondary to kidney disease should be considered.</t>
  </si>
  <si>
    <t>Empiric management as advised. Depending on clinical progression, consider complete abdominal ultrasonographic examination and workup for IBD, food allergy.</t>
  </si>
  <si>
    <t>Orthogonal projections of the thorax (3 images) dated March 14, 2024 are available. Thoracic radiographs from February 3rd, 2021(Vetology # 1640760) are available for comparison. _x000D_
_x000D_
The cat was sedated with 1.75 mg/kg (7 mg) alfaxolone and 0.2 mg/kg (0.8 mg) butorphanol IM._x000D_
_x000D_
The patient is obese._x000D_
_x000D_
Neck: Dorsal elevation of the cervical trachea through the thoracic inlet is present on the right lateral projection.  _x000D_
_x000D_
Airway/Pulmonary: There is a diffuse bronchointerstitial pulmonary pattern that is excessive for the cat=ZZ91=s age and has progressed in the recheck interim, less the left caudal lung lobe on the VD projection. Cranioventral and caudoventral heavy interstitial to alveolar infiltrates are also present which have also progressed in the recheck interim. There is a soft tissue opacity in the left cranial thorax best visualized on the VD projection with mild caudal retraction of the left cranial lung lobe apex and rounding to this lung lobe. This finding is similar in appearance in the recheck interim.  There are no discrete pulmonary nodules or masses. _x000D_
_x000D_
Cardiovascular: The cardiac silhouette is mildly enlarged with widening to the cardiac silhouette on the VD projection. Cardiac size is unchanged in the recheck interim. The pulmonary vasculature is mildly distended which is a new finding in the recheck interim. Enlargement of the left caudal pulmonary artery is also present on the recent study which was not present on the prior study. _x000D_
_x000D_
Mediastinal: The thoracic esophagus is gas distended.  _x000D_
_x000D_
Pleural space: Mild pleural effusion is present along with thickening and rounding to pleural lines. _x000D_
_x000D_
Cranial abdomen: The liver is mildly enlarged but retains a smooth margin. A mineralized round focus is present in the ninth intercostal space overlying the liver on both laterals and to the right of midline, overlying the cranial aspect of the stomach on the VD projection. A second mineral opacity is noted dorsal to the region of the descending duodenum and pancreas. The stomach contains a small quantity of gas with questionable thickening to the gastric wall vs. adhered fluid. On all projections, a tubular soft tissue opacity is noted in the region of the proximal descending duodenum and there is decreased abdominal detail around this region. _x000D_
_x000D_
Musculoskeletal: The cat is obese.</t>
  </si>
  <si>
    <t>1) Progressive pulmonary infiltrate, both diffuse and more severe cranioventrally, less the left caudal lung lobe. The left caudal lung lobe appearance along with the left caudal pulmonary artery enlargement and remaining pulmonary parenchymal changes are suggestive of left caudal PTE with secondary overcirculation edema affecting the remaining lung lobes. Cardiac disease with concurrent, unrelated pulmonary disease is considered less likely. _x000D_
2) Static left cranial lung lobe collapse and pleural effusion._x000D_
3) Mild hepatomegaly. Fat deposition suspected._x000D_
4) Distended appearance to the proximal duodenum and potential pancreatic duct mineralization or lith. DDx: rule out pancreatitis associated with the pancreatic duct obstruction and secondary duodenitis vs. infiltrative neoplasia vs. less likely, proximal duodenal foreign body.
(amended on 03/14/2024 20:16)
5) Cervical elevation to the trachea in the region of the thyroid glands consistent with benign thyroid enlargement or a thyroid mass. No pulmonary nodules noted.</t>
  </si>
  <si>
    <t>See same day cardiac and abdominal ultrasound reports.</t>
  </si>
  <si>
    <t>WHOLE-BODY (three radiographs for review). No previous for comparison._x000D_
_x000D_
- Mildly excessive body habitus._x000D_
- Cardiac silhouette is prominent, however there is no discrete chamber enlargement and the pulmonary vasculature is unremarkable. There is a relatively large degree of pericardiac fat accumulated._x000D_
- Pulmonary vasculature, pleural space, mediastinum and remaining included thoracic structures unremarkable._x000D_
- Stomach contains a moderate volume of gas stippled soft-tissue opaque material and mild gas._x000D_
- Small intestine mild multifocal gas and soft-tissue opaque material. Few loops contain mild mineralized material._x000D_
- Colon contains formed fecal material and gas._x000D_
- Liver, spleen, kidneys, urinary bladder and remaining abdominal structures normal_x000D_
- included skeletal structures unremarkable.</t>
  </si>
  <si>
    <t>1. Although there is a prominent cardiac silhouette visualized, I believe this is most likely normal patient variation and as a result of both pericardiac/mediastinal fat deposition and cardiac cycle phase. If there is a persistent audible cardiac murmur, despite lack of convincing evidence of radiographic cardiomegaly, echocardiography/ECG may still be considered._x000D_
_x000D_
2. Mildly excessive body habitus</t>
  </si>
  <si>
    <t>Three radiographs of the thorax, three views of the abdomen, and a lateral view of each stifle are provided. The cardiac silhouette and pulmonary vessels are normal size and shape. There are no abnormalities in the pulmonary parenchyma or pleural space. No enlarged intrathoracic lymph nodes. Several small gas lucencies lateral to the right scapula is likely recent injection site._x000D_
_x000D_
Abdomen there is no effusion or organomegaly. Faint nephroliths, likely incidental. No radiopaque cystic calculi. Formed feces filled the colon. The stomach and small bowel are minimally filled. No lumbar spinal abnormalities. There is mild degenerative change in the right coxofemoral joint. No stifle joint effusion. There is no lymphadenomegaly. The tarsi are unremarkable.</t>
  </si>
  <si>
    <t>Normal thorax and abdomen. There is no evidence of an abdominal mass lesion. Mild right coxofemoral osteoarthrosis. No other pelvic limb abnormalities are appreciated. Soft tissue sprain/strain or non-mineralized intervertebral disc lesion remains possible.</t>
  </si>
  <si>
    <t>Study:_x000D_
Thoracic/abdominal radiography: three images dated March 14,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a small volume of gas. The thickness of the gastric wall is considered within normal limits for the degree of distention.. The small intestines are normal in size, course and content. The colon contains formed fecal material. The liver and spleen are normal in size and margin. The kidneys are normal in size and contour. The urinary bladder is normal in size and opacity. There is L6-L7 in situ intervertebral disc mineralization.</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</si>
  <si>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Unremarkable abdomen. Test negative for urocystolithiasis. A cause of the urinary signs is not evident. Urinalysis plus/minus urine culture and abdominal sonography can be considered for further evaluation._x000D_
3. L6-L7 in situ degenerative disc disease. The osseous structures are otherwise unremarkable. A definitive cause of the reported a taxi is not evident.</t>
  </si>
  <si>
    <t>Study:_x000D_
Thoracic/abdominal radiography: four images dated March 14, 2024_x000D_
_x000D_
Findings:_x000D_
The cardiac silhouette and pulmonary vasculature are normal in size. There is a mild generalized bronchial pulmonic pattern. On both the VD views, there is an alveolar pattern in the cranial segment of the left cranial lung lobe. This finding is not repeatable on the right lateral view.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t>
  </si>
  <si>
    <t>1. The generalized bronchial pulmonary pattern may indicate allergic/inflammatory bronchitis (asthma). Infectious, parasitic and irritant bronchitis are also possible. Airway sampling plus/minus heartworm testing and Baermann fecal flotation can be considered for further evaluation._x000D_
2. The alveolar pattern seen in the left cranial lung lobe on the VD views may represent transient atelectasis given the lack of repeatability on the right lateral view. Bronchopneumonia or resorptive atelectasis secondary to bronchial plugging cannot be completely excluded._x000D_
3. Unremarkable abdomen. There is no microhepatia._x000D_
_x000D_
Comments:_x000D_
The suspected lower airway disease may be unrelated to the upper respiratory signs. Infectious respiratory disease PCR testing, computed tomography the head/nasal passages and rhinoscopy can be considered for further evaluation of the nasal discharge.</t>
  </si>
  <si>
    <t>Opposite lateral and ventrodorsal whole body radiographs (4 images) dated March 13,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The stomach is empty/collapsed or contains a scant amount of fluid. The small intestine is unremarkable in diameter and course, and a few have an irregular linear coalescing gas pattern. The colon contains unremarkable stool mixed with gas and has a normal course. Both kidneys are normal in size and shape. The urinary bladder is fairly fluid-filled. Retroperitoneal and peritoneal detail are adequate. No regional lymphadenopathy is evident._x000D_
No aggressive or clinically significant osseous pathology is identified.</t>
  </si>
  <si>
    <t>1. Normal thorax. The cause for the coughing is not radiographically apparent. Rule out upper airway disease vs. mild bronchitis or bronchiolitis insensitive to radiographic detection._x000D_
2. The coalescing gas pattern and some of the small bowel segments can be an incidental finding or represent enteritis. Correlate with clinical history.</t>
  </si>
  <si>
    <t>Sedated upper airway exam and pharyngeal PCR swab infectious panel. Assess for nasal airflow patency. If normal:_x000D_
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</si>
  <si>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Opposite lateral and ventrodorsal whole body radiographs (3 images) dated March 14,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Both kidneys are normal in overall size, and the left kidney is mildly irregular in shape with flattening of the cranial pole and caudolateral margin of the kidney on the VD view. The urinary bladder is mildly fluid-filled. The stomach contains a fair amount of gas and a similar volume of mobile soft-tissue/fluid content. The small intestine is mildly and diffusely distended with the predominance of gas, and to a lesser extent, soft-tissue/fluid content. This degree of gas buildup in the stomach and small bowel is atypical in the cat. A small irregular shape mineral opacity is visible in the central abdomen and likely within a small bowel segment. This foreign body is nonobstructive. The colon contains a small amount of unremarkable appearing stool and has a normal course. Retroperitoneal and peritoneal detail are normal. No regional lymphadenopathy is evident. No aggressive or clinically significant osseous pathology is identified.</t>
  </si>
  <si>
    <t>1. The appearance of the gastrointestinal tract is suspicious for gastroenteritis. This study is negative for a gastrointestinal mechanical obstruction._x000D_
Rule out flareup of a chronic enteropathy (ex: IBD or GI LSA) vs. systemic/extra GI causes (liver or kidney injury/disease, pancreatitis, endocrine disorder, systemic infection, non-GI neoplasia) vs. dietary indiscretion or toxin vs. food allergy/intolerance vs. GI infectious._x000D_
2. Small irregular mineral opacity in the small bowel is nonobstructive. Rule out a evidence of dietary indiscretion (clinical significance unknown). A Bates body in the peritoneal space also remains possible._x000D_
3. Irregularly shaped left kidney. Rule out chronic renal disease vs. other structural disease (nodules, granulomas, hematoma, etc.)._x000D_
4. Normal thorax.</t>
  </si>
  <si>
    <t>Supportive care with fluid rehydration, antiemetics, gastroprotectants/omeprazole, and bland or novel protein diet.  General health profile (CBC, chemistry, FeLV/FIV, T4, UA, fecal) to screen for underlying causes.  Abdominal ultrasound could be performed to further examine the gastrointestinal tract, pancreas, kidneys, and remaining abdominal viscera.</t>
  </si>
  <si>
    <t>Study:_x000D_
Thoracic and abdominal radiography: nine images dated March 14, 2024_x000D_
_x000D_
Findings:_x000D_
There is incidental cranioventral rotation of the cardiac silhouette. The cardiac silhouette is normal in size and shape. There is a mild to moderate generalized bronchointerstitial pulmonary pattern. The pleural space is normal. There is no intrathoracic lymphadenopathy. The larynx is unremarkable. The trachea is normal in diameter. The stomach contains a small amount of unstructured heterogeneous soft tissue material presumed to be ingesta. The small intestines are normal in size, course and content. The colon contains formed fecal material. The liver and spleen are normal in size and margin. The renal silhouettes are normal in size and contour. The urinary bladder is normal in size and opacity. There is variable mild to severe spondylosis deformans from L5 to S1. The patient is of overweight body condition.</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</si>
  <si>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There is no radiographic evidence of heart disease. Consider echocardiography for further evaluation of the reported heart murmur._x000D_
3. The abdomen is unremarkable. Abdominal sonography and a G.I. panel can be considered to further evaluate for an enteropathy to explain the reported weight loss (if not intentional).</t>
  </si>
  <si>
    <t>Study:_x000D_
Thoracic/abdominal radiography: two images dated March 14, 2024_x000D_
_x000D_
Findings:_x000D_
The cardiac silhouette and pulmonary vasculature are normal in size. There is a mild increase in conspicuity the walls of the small caliber bronchi in the caudodorsal lung fields. The pleural space is normal. There is no intrathoracic lymphadenopathy. The trachea is normal in diameter and course. The stomach contains a small amount of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</si>
  <si>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Three radiographs of the thorax are provided. The cardiac silhouette and pulmonary vessels are normal size and shape. There are no abnormalities in the pulmonary parenchyma. Small volume fat deposition ventral to the heart on the lateral views. No pleural effusion. Normal tracheal diameter. In the cranial abdomen there is small volume soft tissue opaque ingesta in the stomach.</t>
  </si>
  <si>
    <t>Normal thorax. There is no evidence of cardiovascular disease on this study.</t>
  </si>
  <si>
    <t>There is no contraindication for general anesthesia based on these images, however if it was scheduled for today, consider either postponing anesthesia or ensuring extubation with partial inflation of the endotracheal tube cuff given current gastric contents.</t>
  </si>
  <si>
    <t>Two ventral dorsal radiographs of the thorax/abdomen, lateral view of the thorax/thoracic limbs, and two views of the thoracic limbs are provided. The cardiac silhouette appears prominent on the left lateral view but is normal size on the VD projection. Pulmonary vessels are normal size. No abnormalities in the pulmonary parenchyma. Normal tracheal diameter and cervicothoracic spine. No scapular abnormalities. The glenohumeral, cubital, and carpal joints are congruent. There is no fracture or subluxation. No definitive soft tissue swelling, although soft tissue evaluation is limited by high technique. In the abdomen there is no effusion. The spleen is prominent with smooth margins. The gastrointestinal tract is minimally filled. No radiopaque urolithiasis. Normal lumbar spine and pelvis.</t>
  </si>
  <si>
    <t>1. No thoracic limb abnormalities are appreciated. The reason for lameness is not identified. Soft tissue sprain/strain is most likely. Cervical intervertebral disc lesion is next on the differential list._x000D_
2. Prominent spleen, this may be due to sedation, if used. Normal variant, lymphoid hyperplasia, or neoplasia such as lymphoma could also cause this appearance._x000D_
3. Normal thorax.</t>
  </si>
  <si>
    <t>Recommend supportive care with anti-inflammatories for the lameness. If further evaluation of the spleen is desired, abdominal ultrasound could be considered.</t>
  </si>
  <si>
    <t>Study:_x000D_
Thoracic/abdominal radiography: four images dated March 13, 2024_x000D_
_x000D_
Findings:_x000D_
The cardiac silhouette is normal in size and shape. There is a mild generalized bronchial pulmonary pattern. No pulmonary nodules or masses are present. The pleural space is normal. There is an ovoid soft tissue opaque mass dorsal to the third sternabrae indicative of sternal lymphadenopathy. The trachea is normal in diameter and course. The stomach contains unstructured heterogeneous/granular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no uterine dilation. The right 13th rib is hypoplastic. There is narrowing of the T9-T10 intervertebral disc space with mild spondylosis deformans. There is a large lobulated soft tissue opaque mass in the subcutaneous tissues of the right ventral thorax.</t>
  </si>
  <si>
    <t>1. The sternal lymphadenopathy may be reactive or neoplastic. Thoracic sonography and tissue sampling can be considered._x000D_
2. There is no evidence of pulmonary metastatic disease._x000D_
3. The generalized bronchial pulmonary pattern may indicate allergic/inflammatory bronchitis (asthma). Infectious, parasitic and irritant bronchitis are also possible. Correlate with any reported coughing. Airway sampling, heartworm testing and Baermann fecal flotation can be considered for further evaluation if clinically relevant._x000D_
4. Lobulated ventral thoracic subcutaneous mass, likely mammary origin. Rule out carcinoma versus adenoma._x000D_
5. Unremarkable abdomen. Consider abdominal sonography for further staging._x000D_
6. T9-T10 intervertebral disc disease.</t>
  </si>
  <si>
    <t>Opposite lateral and ventrodorsal whole body radiographs (3 images) dated March 13,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measures at the upper limits of normal size and is normal in shape. The spleen is not clearly visible. The stomach is abnormally distended with a large amount of gas and a milder volume of soft-tissue/fluid content. The small intestine has a moderate variation in diameter with multiple segments distended with gas and having broad ropelike turns in its course to give it a subjectively turgid appearance. The colon contains gas and a small amount of unremarkable appearing stool. The kidneys are only partially visible due to superimposed viscera with no overt abnormalities appreciated. The urinary bladder is moderately fluid-filled. Retroperitoneal detail is adequate. Midabdominal detail in between the small bowel segments is subtly reduced. No regional lymphadenopathy is evident._x000D_
Both elbows have advanced periarticular bony remodeling affecting them. There is regional midthoracic and milder mid-lumbar spondylosis deformans, and the midthoracic region has mild disc space narrowing associated with it. There is minimal lumbosacral spondylosis deformans. No aggressive osseous lesions are identified.</t>
  </si>
  <si>
    <t>1. The appearance of the gastrointestinal tract is consistent with gastroenteritis. Rule out flareup of a chronic enteropathy (inflammatory bowel disease or small cell lymphoma) vs. systemic/extra-GI causes (liver or kidney injury/disease, pancreatitis, endocrine disorder, systemic infection, non-GI neoplasia) vs. less likely dietary indiscretion, GI infectious, or food allergy/intolerance._x000D_
2. Normal thorax._x000D_
3. Advanced bilateral elbow osteoarthritis._x000D_
4. Multifocal spondylosis deformans and regional midthoracic intervertebral disc disease. The disc disease is unlikely to be clinically relevant in this location given the presence of intercapital ligaments.</t>
  </si>
  <si>
    <t>Supportive care with fluid rehydration, antiemetics, gastroprotectants/omeprazole, and bland 4 novel protein diet.  General health profile (CBC, chemistry, FeLV/FIV, T4, systemic blood pressure, and fecal) to screen for underlying causes.  Abdominal ultrasound +/- GI blood panel may also be indicated.</t>
  </si>
  <si>
    <t>Opposite lateral and ventrodorsal whole body radiographs (5 images) dated March 13, 2024._x000D_
_x000D_
_x000D_
The cardiac silhouette, pulmonary vasculature, and aorta are within normal limits. The caudal vena cava is narrowed on multiple views.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The left kidney is small in size and is severely irregular in shape with a lobular margin. The right kidney is normal in size and appears unremarkable in shape. The stomach contains a mild amount of heterogeneous soft-tissue content and a small amount of gas. The small intestine is unremarkable in size, course, and content. The colon contains normal appearing stool and has a normal course. The urinary bladder is moderately fluid-filled. Retroperitoneal and peritoneal detail are normal._x000D_
No aggressive or clinically significant osseous pathology is identified.</t>
  </si>
  <si>
    <t>1. Normal thorax. The respiratory clinical signs are suspected to be purely upper airway in nature. Mild bronchitis/bronchiolitis will tracheitis insensitive to radiographic detection is less likely._x000D_
2. Small caudal vena cava may represent dehydration/hypovolemia or an incidental variation in normal cardiorespiratory cycling._x000D_
3. Severely irregularly shaped and small sized left kidney is concerning for chronic renal disease +/- cystic degeneration. Malignant neoplasia is relatively unlikely given the small size._x000D_
4. The remainder of the abdomen is unremarkable.</t>
  </si>
  <si>
    <t>Sedated upper airway exam, pharyngeal PCR swab infectious panel, and assessment for nasal patency and airflow. Head/nasal CT with contrast may be indicated._x000D_
Renal blood work, urinalysis, systemic blood pressure evaluation,, followed by renal ultrasound.</t>
  </si>
  <si>
    <t>Four radiographs of the thorax and abdomen are provided. The cardiac silhouette and pulmonary vessels are normal size and shape. There are no abnormalities in the pulmonary parenchyma. No pleural effusion. The plane of the esophagus is unremarkable. Soft tissue thickening and fragmented gas lucencies dorsal to the scapulae likely due to recent subcutaneous fluid administration. In the abdomen the stomach contains large volume fluid and gas. The descending duodenum is severely fluid and gas dilated on both of the lateral views. There is a severely fluid dilated loop of bowel in the cranioventral abdomen on both lateral views as well. Remaining small bowel are minimally filled. Small volume of formed feces in the colon. Normal-sized kidneys, spleen, liver. No radiopaque cystic calculi. Incidental transitional L7.</t>
  </si>
  <si>
    <t>Segmental small intestinal ileus with both minimal and severe dilation consistent with mechanical obstruction. The thorax is normal.</t>
  </si>
  <si>
    <t>Surgical intervention is recommended based on these images. Since the radiographs were obtained approximately 16 hours earlier and particularly if the patient has improved clinically, repeat imaging could be performed prior to surgery to ensure obstruction remains.</t>
  </si>
  <si>
    <t>WHOLE-BODY (3 radiographs for review). No previous for comparison._x000D_
_x000D_
- Peritoneal detail normal._x000D_
- Liver mildly enlarged, with rounded margins._x000D_
- Kidneys mildly enlarged (4.75 cm in length)_x000D_
- Stomach contains mild gas and soft-tissue/fluid._x000D_
- Small intestine non-distended and diffusely homogeneously soft-tissue opaque._x000D_
- Colon contains formed fecal material and gas._x000D_
- Spleen, kidneys, urinary bladder normal._x000D_
- Cardiac silhouette, pulmonary vasculature, pleural space normal._x000D_
- Included MSK structures normal.</t>
  </si>
  <si>
    <t>1. There is mild bilateral renomegaly present. Radiographs have relatively poor sensitivity for renal size, however this could indicate a degree of acute renal injury (especially with the history of urinary blockage and pyrexia, a pyelonephritis may be possible). It would be atypical without a history of azotemia, however is still considered, and abdominal ultrasound may be reasonable in this case for further assessment of the urinary system._x000D_
_x000D_
2. Mild hepatomegaly. In this case, could indicate cholangiohepatitis or may be neign vacuolar (metabolic) hepatopathy. Sonographic assessment +/- FNA may be considered._x000D_
_x000D_
3. Unremarkable thorax.</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</si>
  <si>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contains mineral particles._x000D_
Small intestines are mildly gas and fluid filled, not overtly distended. However, in the right caudal abdomen (VD views) there is questionable plication not seen in the lateral views. No signs of mechanical ileus._x000D_
Serosal detail is preserved._x000D_
Liver and spleen are within normal limits of size and smoothly marginated._x000D_
Kidneys and urinary bladder WNL.</t>
  </si>
  <si>
    <t>1) Unremarkable thorax._x000D_
2) Gastric foreign particles. A rubber band is not seen. However, there is questionable plication or gathering of some small intestines in the right caudal abdomen.</t>
  </si>
  <si>
    <t>Consider abdominal US to further evaluate the small intestines.</t>
  </si>
  <si>
    <t>Seven orthogonal radiographs of the thoracic limbs dated 13th March 2024 are available for review. There are no previous radiographs available for comparison. _x000D_
_x000D_
Shoulder joints: Both shoulder joints are normal._x000D_
_x000D_
Elbow joints: The left and right elbow is normal. The dorsal anconeal process is smooth. The medial coronoid process is smooth. There is no subtrochlear sclerosis. The epicondylar fossa are smooth. No degenerative modelling is present._x000D_
_x000D_
Carpi: There is mild diffuse circumferential soft tissue swelling of the right carpus. No bony abnormalities are noted. The left carpus is normal._x000D_
_x000D_
Extremities: The extremities are normal._x000D_
_x000D_
Soft tissues: As described above.</t>
  </si>
  <si>
    <t>1. Right carpus circumferential swelling: Differentials include traumatic arthritis, diffuse trauma (haemorrhage, oedema), cellulitis (puncture wound, non-radiopaque migrating foreign body), insect bite hypersensitivity, less likely lymphangitis.</t>
  </si>
  <si>
    <t>Empirical management is advised. If a localised swelling develops, consider musculoskeletal ultrasound. Depending on clinical progression, consider repeat radiographs.</t>
  </si>
  <si>
    <t>Study:_x000D_
Thoracic/abdominal radiography: left lateral projection dated March 13, 2024_x000D_
_x000D_
Findings:_x000D_
Evaluation is limited by the lack orthogonal view. The cardiac silhouette and pulmonary vasculature are normal in size. The pulmonary parenchyma is unremarkable. The pleural space is normal. There is no intrathoracic lymphadenopathy. The trachea is normal in diameter and course. The stomach contains gas with the pylorus of appropriately gas-filled. The small intestines are normal in size, course and content. The colon contains is gas filled. The liver and spleen are normal in size and margin. The kidneys are normal in size and contour. There is a punctate mineral opacity in the central aspect of the left kidney. The urinary bladder is normal in size and opacity. No skeletal abnormalities are present.
(amended on 03/15/2024 13:05)
Addendum for reinterpretation based on three images now present in the study:_x000D_
_x000D_
The cardiac silhouette is small in size. The pulmonic vasculature is normal in size. The pulmonary parenchyma is unremarkable. The pleural space is normal. There is no intrathoracic lymphadenopathy. The trachea is normal in diameter and course. The abdominal serosal detail is normal. The stomach is gas filled. The pylorus is appropriately gas-filled on the left lateral image. The small intestines are normal in size, course and content. The colon is gas filled. There is mild L3-L4 spondylosis deformans.</t>
  </si>
  <si>
    <t>1. Left nephrolith, nephrocalcinosis or superimposition of a punctate mineral opacity in the colonic lumen._x000D_
2. The abdomen is otherwise unremarkable. There is no radiographic evidence of gastrointestinal foreign material or small intestinal mechanical obstruction. Abdominal sonography and a G.I. panel can be considered for further evaluation if clinical signs persist or worsen in spite of medical management._x000D_
3. Normal thorax. There is no radiographic evidence of cardiopulmonary disease.
(amended on 03/15/2024 13:05)
Amended conclusions based on reinterpretation with three images now in the study:_x000D_
_x000D_
1. Unremarkable abdomen. A cause of vomiting and anorexia is not evident. There is no radiographic evidence of gastrointestinal foreign material or small intestinal mechanical obstruction. Abdominal sonography can be considered for further evaluation if clinical signs persist or worsen in spite of medical management._x000D_
2. The microcardia is suggestive of dehydration/hypovolemia. The thorax is otherwise unremarkable.</t>
  </si>
  <si>
    <t>Three radiographs of the thorax are provided. The cardiac silhouette is normal size and shape. The heart lies relatively flat along the sternum on the lateral views, an incidental aged feline variant. There are no abnormalities in the pulmonary parenchyma or pleural space. No intrathoracic lymphadenomegaly. Adequate tracheal diameter. The cranial abdomen is unremarkable.</t>
  </si>
  <si>
    <t>Normal thorax. There is no definitive evidence of cardiovascular disease on this study. Underlying cardiomyopathy is not definitively ruled out.</t>
  </si>
  <si>
    <t xml:space="preserve">
1.This result detects minimal to mild, mixed interstitial and bronchial pulmonary patterns._x000D_
2.This result does NOT detect pleural fissure lines.  _x000D_
3.This result detects mild to severe cardiomegaly._x000D_
4.Rarely, this result detects a minimal to mild alveolar pulmonary pattern.</t>
  </si>
  <si>
    <t>Study:_x000D_
Thoracic/abdominal radiography: three images dated March 12,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t>
  </si>
  <si>
    <t>1. Unremarkable abdomen. A cause of the reported melena is not evident. Abdominal sonography can be considered for further evaluation if clinical signs persist or worsen in spite of medical management._x000D_
2. Normal thorax. There is no radiographic evidence of cardiopulmonary disease.</t>
  </si>
  <si>
    <t>Study:_x000D_
Thoracic/abdominal radiography: three images dated March 12, 2024_x000D_
_x000D_
Findings:_x000D_
The cardiac silhouette and pulmonary vasculature are normal in size. There is a mild to moderate generalized bronchial palmar a pattern. The pleural space is normal. There is no intrathoracic lymphadenopathy. The trachea is normal in diameter and course. The stomach contains unstructured heterogeneous/granular soft tissue material. Some small intestinal segments contain a small amount of granular soft tissue material. The small intestines are normal in size and course. The colon contains formed fecal material. The liver and spleen are normal in size and margin. The kidneys are normal in size and contour. The urinary bladder is normal in size and opacity. The included thorax is normal. No skeletal abnormalities are present.</t>
  </si>
  <si>
    <t>1. Gastrointestinal contents likely represent ingesta. Foreign material cannot be completely excluded. There is no evidence of small test mechanical obstruction. Repeat fasted radiography can be considered to ensure gastrointestinal emptying. Alternatively, sonography can be considered if clinical signs persist or worsen in spite of medical management._x000D_
2. The generalized bronchial pulmonary pattern may indicate allergic/inflammatory bronchitis (asthma). Correlate with any coughing. Infectious, parasitic and irritant bronchitis are also possible. Airway sampling, heartworm testing and Baermann fecal flotation can be considered for further evaluation if clinically relevant.</t>
  </si>
  <si>
    <t xml:space="preserve">
1.Rarely, this result detects minimal pleural fissure lines/fluid._x000D_
2.This result detects equivocal/borderline to mild cardiomegaly._x000D_
3.This result detects a minimal to mild interstitial pulmonary pattern.  _x000D_
4.This result detects a minimal to mild bronchial pulmonary pattern._x000D_
5.Rarely, this result detects a minimal alveolar pulmonary pattern._x000D_
6.This result does not detect pulmonary vasculature enlargement.</t>
  </si>
  <si>
    <t>Thorax: There is a diffuse peribronchial pattern.  The cardiac silhouette and pulmonary vasculature are unremarkable.  There is no evidence of pleural effusion or lymphadenopathy.  There are no abnormalities involving the trachea.</t>
  </si>
  <si>
    <t>Diffuse peribronchial pattern suggestive of a lower airway inflammatory process such as asthma.</t>
  </si>
  <si>
    <t>Consider abdominal US for further evaluation of the reported signs.</t>
  </si>
  <si>
    <t xml:space="preserve">
1.Cardiac silhouette: Normal in most cases; rarely, minimal to mild generalized cardiomegaly is present._x000D_
2.Uncommonly, this result detects a minimal to mild bronchial pulmonary pattern._x000D_
3.Rarely, this result detects a minimal to mild interstitial pulmonary pattern._x000D_
4.Rarely, this result detects a minimal alveolar pulmonary pattern._x000D_
5.Negative for pleural fissure lines/pleural fluid._x000D_
6.Negative for pulmonary vasculature enlargement.</t>
  </si>
  <si>
    <t>Three view orthogonal radiographs (3 images) of the thorax and cranial abdomen dated March 12, 2024, are available for interpretation. No prior images are available for comparison._x000D_
_x000D_
The cat was sedated with 1.25 mg/kg (3 mg) alfaxolone and 0.2 mg/kg (0.5 mg) butorphanol IM._x000D_
_x000D_
Thorax:_x000D_
Airway/pulmonary: The lungs are hyperinflated, which in part may be secondary to emaciation. The caudal lungs have a diffuse, interstitial pattern and a less severe, mild bronchial pattern on the lateral images. No nodules or masses are noted however a focal thin walled cavitary region overlies the caudodorsal thorax on both lateral projections. _x000D_
_x000D_
Cardiovascular: The cardiac silhouette is mildly enlarged. The pulmonary vasculature is mildly distended to the caudal lung lobes. _x000D_
_x000D_
Mediastinum: Normal._x000D_
_x000D_
Pleural space: Normal. No pneumothorax noted._x000D_
_x000D_
Cranial abdomen: Cranial abdominal detail is normal. The spleen is visible on the lateral projections suggestive of splenomegaly. The kidneys are asymmetric with one being small. _x000D_
_x000D_
Msk: The cat is very thin. Narrowing at the T9-10 intervertebral disc space. Enthesiophytes on the cranial apect of both proximal tibias.</t>
  </si>
  <si>
    <t>1) Emaciation. Evidence of chronic renal disease. _x000D_
2) Mild cardiomegaly with mild pulmonary venous distention. The interstitial pattern is concerning for early, emerging or resolving heart failure. _x000D_
3) Splenomegaly. DDX: neoplasia vs. lymphoid hyperplasia.</t>
  </si>
  <si>
    <t>See same day cardiac and abdominal ultrasound reports. Recheck thoracic radiographs prior to I-131 therapy and placement within the I-131 room for 5 days. Proceed with thyroid scan.</t>
  </si>
  <si>
    <t xml:space="preserve">
1.This result detects equivocal/borderline to moderate cardiomegaly._x000D_
2.This result does NOT detect pleural fissure lines._x000D_
3.This result detects a mild to severe bronchial pulmonary pattern._x000D_
4.This result detects a minimal to mild interstitial pulmonary pattern._x000D_
5.Rarely, this result detects a minimal to moderate alveolar pattern. _x000D_
6.This result does NOT detect soft tissue pulmonary nodules.  </t>
  </si>
  <si>
    <t>Orthogonal radiographs of the thorax, three views of the thoracic limbs, and a lateral view of the abdomen are provided. The cardiac silhouette is normal size on the lateral view. The heart appears significantly larger on the VD projection due to large volume adjacent fat deposition. Fat deposition also causes widened cranial mediastinum. Faint bronchial markings are present. No pleural effusion. Normal tracheal diameter. The C2-3 and C3-4 intervertebral disc spaces are mildly narrowed. No scapular abnormalities. The patient is overweight. The glenohumeral and cubital joints are congruent. Punctate mineral density cranial to the left elbow. There is 7.8 cm fat opaque thickening caudal to the right elbow on the lateral view, not definitively seen on the VD/craniocaudal view. This is likely incidental adjacent tissue. Carpal bones are in appropriate alignment. The appearance of lucency overlying the proximal axial right 4th metacarpal bone on the dorsopalmar thoracic rib view is a mach line artifact. No metacarpal or phalangeal osseous or soft tissue abnormalities are present._x000D_
_x000D_
In the abdomen there is abundant peritoneal and retroperitoneal fat. No effusion. Normal-sized liver and kidneys. The spleen is obscured. The gastrointestinal tract is minimally filled. Two punctate increased densities overlying the urinary bladder are artifacts on the image. No lumbar spinal abnormalities.</t>
  </si>
  <si>
    <t>1. Probable mild left cubital osteoarthritis. This is the only abnormality identified within the thoracic limbs to explain the lameness. Soft tissue sprain/strain remains possible._x000D_
2. The appearance of C2-3 and C3-4 are both suggestive of intervertebral disc disease. This may be contributing to discomfort._x000D_
3. Faint bronchial markings suggestive of chronic airway inflammation. In the absence of associated respiratory signs, significance is doubtful. Otherwise normal thorax._x000D_
4. Normal abdomen.</t>
  </si>
  <si>
    <t>If further evaluation of the limbs and cervical spine is desired, cross-sectional soft tissue imaging with MRI should be considered.</t>
  </si>
  <si>
    <t>Consider empirical treatment for parasitic and allergic bronchitis with deworming evaluating response to treatment. If clinical signs persist, consider a bronchoscopy with BAL, culture, cytology, Baermann test and deworming.</t>
  </si>
  <si>
    <t>Four orthogonal survey radiographs of the thorax and abdomen dated 11th March 2024 are available for review. The previous radiographs submitted are of very low resolution and non-diagnostic._x000D_
_x000D_
Thorax: _x000D_
Airway findings: The trachea, carina and mainstem bronchi are within normal limits for width and position. The pulmonary parenchyma is within normal limits for age.  _x000D_
_x000D_
Cardiovascular findings: The cardiac silhouette has a normal position, shape and size. The pulmonary vasculature and caudal vena cava are unremarkable. _x000D_
_x000D_
Mediastinum and pleural space:  There is no evidence of thoracic lymphadenomegaly or pleural effusion. _x000D_
_x000D_
Musculoskeletal findings: No significant abnormalities are detected. Some gas lucencies are present in the dorsal subcutaneous region, consistent with subcutaneous injection._x000D_
_x000D_
Abdomen: The hepatic silhouette is normal. There is loss of serosal detail in the cranial aspect of the abdomen. The spleen is normal. The kidneys are partially obscured by gastrointestinal contents, but the visible aspect are normal. The stomach is mainly empty, containing some fluid and gas and has a normal axis. To small intestines are diffusely mainly empty with a little gas. The descending colon contains formed faeces. The urinary bladder is filled.</t>
  </si>
  <si>
    <t>The loss of cranial abdominal serosal detail is suspicious of a cranial abdominal inflammatory process such as pancreatitis, hepatitis,  cholangiohepatitis. There is no evidence for a foreign body, or outflow obstruction. A gastritis may be present.</t>
  </si>
  <si>
    <t>A complete abdominal ultrasonographic examination is advised. Supportive broad-spectrum management in the meantime.</t>
  </si>
  <si>
    <t>Three radiographs of the thorax are provided. The cardiac silhouette and pulmonary vessels are normal size and shape. A few faint bronchial markings are present in the periphery. No other pulmonary parenchymal abnormalities. No pleural effusion. Normal cranial mediastinal width and tracheal diameter. The cranial abdomen is unremarkable.</t>
  </si>
  <si>
    <t>Faint bronchial markings. This is suggestive of chronic airway inflammation such as asthma. Otherwise normal thorax.</t>
  </si>
  <si>
    <t>A three view thoracoabdominal study is provided for interpretation._x000D_
_x000D_
In the VD view, there is a discrete ovoid soft tissue opacity approximately 2 x 3 cm in the right cranial abdomen partly superimposed over the cranial pole the kidney. A shadow of similar size and shape is seen just caudal to the stomach in the left lateral view, but none is appreciated in the right lateral view. In all three views, there is a speckled mineral density in the general area of the body of the stomach. There is suspicion of gastric wall thickening in this area. In the left lateral view, there is a nodular contour in the cranioventral abdomen, but cannot be definitively determined whether this involves the stomach or the liver. Pancreatic involvement also cannot be excluded. Some of the small intestinal loops appear mildly fluid dilated, and there is a very small quantity of granular mineral density within the small intestine. Serosal detail in the abdomen is normal. There is mild chronic remodeling involving the hip joints._x000D_
No thoracic abnormalities are identified.</t>
  </si>
  <si>
    <t>There is an ill-defined mass effect in the cranial abdomen, and an unusual area of speckled mineral density which could potentially be in the stomach but might actually be involving soft tissue mineralization associated with the stomach, pancreas, or liver._x000D_
Possible etiologies would include an inflammatory or neoplastic lesion involving the gastric wall of the pancreas vs. gastric foreign material or anatomic abnormalities involving the liver. Further investigation with more advanced imaging is warranted._x000D_
The overall appearance of the intestinal tract is compatible with enteritis._x000D_
_x000D_
No cardiovascular or pulmonary abnormalities are identified.</t>
  </si>
  <si>
    <t>Follow up imaging of the abdomen with ultrasound or CT is recommended.</t>
  </si>
  <si>
    <t>Study:_x000D_
Thoracic radiography: three images dated March 11, 2024_x000D_
_x000D_
Findings:_x000D_
The cardiac silhouette is normal in size and shape (VHS approximately 7.5). The pulmonary vasculature is normal in size. The pulmonary parenchyma is unremarkable. The pleural space is normal. There is no intrathoracic lymphadenopathy. The trachea is normal in diameter. The stomach contains unstructured heterogeneous/granular soft tissue material presumed to be ingesta. No skeletal abnormalities present.</t>
  </si>
  <si>
    <t>Normal thorax. There is no radiographic evidence of heart disease. Consider echocardiography for further evaluation of the reported heart murmur.</t>
  </si>
  <si>
    <t>Patient Name : Whiskey Aquino-Torres, Date of study: Mar 11, 2024
3 images are provided for review
Feline Thorax (3 Images) - 1 Vd, 2 Lateral
There are no previous radiographs for comparison.
Findings:  A mild diffuse bronchial pulmonary pattern is present.  A minimal diffuse interstitial pulmonary pattern is present.  The lungs are equivocally hypoinflated in the ventrodorsal image.
The cardiac silhouette is equivocally generally enlarged and rounded in the left lateral and ventrodorsal images.  The cardiac silhouette is subjectively normal in the right lateral image.  
The pulmonary vasculature, mediastinum and pleural space are normal.  The included musculoskeletal structures are normal.</t>
  </si>
  <si>
    <t xml:space="preserve">1. Mild diffuse bronchial pulmonary pattern with minimal interstitial pattern such as from infectious/immune-mediated lower airway disease (mycoplasma spp., bordetella spp. or parasitism/viral etiologies, or inhaled allergen/irritant), with/without fibrosis from prior disease and unlikely other.
2. Equivocal general cardiomegaly due to artifact from positioning/technique and phase of the cardiac cycle or unlikely congenital cardiac anomaly or other given patient age. 
- If present, this may be due to atrial/ventricular septal defect versus other.
- There is no current evidence of left-sided congestive heart failure.  </t>
  </si>
  <si>
    <t>Consider airway sampling and fecal analysis/empirical deworming as well as empirical therapy/supportive care for cough in the interim.  Consider echocardiography if a murmur is later identified.  Repeat thoracic radiographs for monitoring as directed, especially if clinical signs fail to improve or worsen in the face of empirical therapy for infectious/inflammatory lower airway disease.</t>
  </si>
  <si>
    <t>Orthogonal views of the abdomen are provided:_x000D_
_x000D_
Abdomen:_x000D_
_x000D_
The stomach is distended with fluid and gas with tiny mineral particles._x000D_
Small intestines are mildly gas and fluid filled, not overtly distended. No signs of mechanical ileus._x000D_
Serosal detail is preserved._x000D_
Liver and spleen are within normal limits of size and smoothly marginated._x000D_
Kidneys and urinary bladder WNL._x000D_
_x000D_
Visible spine shows questionable narrowing of the caudal thoracic and mid lumbar IVDS. No signs of aggressive bone lesions, vertebral fractures or subluxations.</t>
  </si>
  <si>
    <t>1) Gas and fluid distended stomach compatible with functional ileus vs aerophagia.</t>
  </si>
  <si>
    <t>Consider abdominal US for further evaluation and full neuro exam with MRI if necessary.</t>
  </si>
  <si>
    <t>Opposite lateral and ventrodorsal whole body radiographs (3 images) dated March 10,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mildly enlarged. The spleen is unremarkable in size and shape. Both kidneys are normal in size and shape. The urinary bladder is moderately distended with homogeneous fluid opacity. The stomach contains a small amount of gas and fluid. Small intestine is unremarkable in diameter and course with most segments mildly distended with gas, and to a lesser extent, fluid. The colon is mostly empty/collapsed aside from a scant amount of stool. Retroperitoneal and peritoneal detail are normal. No regional lymphadenopathy is evident. Soft tissue swelling and emphysema are present along the thoracic dorsum, consistent with recent subcutaneous fluid therapy. No aggressive or clinically significant osseous pathology is identified.</t>
  </si>
  <si>
    <t>1. Hepatomegaly. Rule out a benign metabolic/vacuolar hepatopathy (such as lipidosis) vs. hepatitis/cholangiohepatitis vs. infiltrative round cell neoplasia._x000D_
2. No definitive abnormalities are identified in the mostly empty gastrointestinal tract. This does not rule out gastroenteritis._x000D_
3. Normal thorax.</t>
  </si>
  <si>
    <t>CBC, chemistry, UA, thyroid, fecal, systemic blood pressure evaluation, and abdominal ultrasound.</t>
  </si>
  <si>
    <t>Thorax: There is a mild peribronchial pattern.  The cardiac silhouette and pulmonary vasculature are unremarkable.  There is no evidence of pleural effusion or lymphadenopathy.  There are no abnormalities involving the visible portions of the cranial abdomen.</t>
  </si>
  <si>
    <t>Mild peribronchial pattern which may represent a lower airway inflammatory process otherwise unremarkable thorax.</t>
  </si>
  <si>
    <t xml:space="preserve">Patient Name: Bandit Mendoza, Date of study: Mar 9, 2024
9 images of the thorax, abdomen, pelvis and pelvis limbs are provided for review. There are no previous radiographs for comparison.
The most cranial aspect of the thorax is NOT included on the VD projection. 
Thorax:
Airway/pulmonary parenchyma: A mild, diffuse bronchial pattern is present. A focal cavitary region is present in the caudodorsal thorax on the right lateral projection over the 9th intercostal space. Additionally, an increase in opacity overlies the cranioventral thorax on both lateral projections. No pulmonary hyperinflation is noted. 
Cardiovascular: The right heart is prominent on the lateral projections, but overall heart size is decreased. The CVC size is decreased. On the lateral projections, the caudal pulmonary vasculature appears enlarged and tortuous. 
Mediastinum: Normal
Pleural space: Thin pleural fissure lines are present, but no significant pleural fluid or pneumothorax is noted. 
Abdomen:
Liver: Normal
Spleen: The visible portion of the spleen appears normal on the VD projection, but portions of the spleen are obscured by decreased abdominal detail. 
Kidneys and urinary bladder: The left kidney is small and irregular. The right kidney is normal for size. The urinary bladder size is normal but mineral opacities overlie the urinary bladder silhouette. 
GI: The stomach is empty. A mild asymmetry to the small bowel is present within the small bowel in the cranioventral abdomen being mildly distended. The bowel has a rigid appearance occupying a larger portion of the abdomen than is typical, but no small bowel dilation is noted. The proximal and mid descending colon is gas filled and has a rigid appearance. The colonic wall cranial to the pelvic inlet has decreased definition. 
Abdominal detail: Abdominal detail is decreased particularly in the cranioventral abdomen on the lateral projection. There is also a decrease in renal margin visualization which could be secondary to overlying abdominal fluid vs. retroperitoneal fluid. 
Pelvis and pelvic limbs: 
Pelvis: Normal
Hips: Minimal periarticular osteophyte formation affects the left coxofemoral joint. The right hip is normal. 
Pelvic limbs:
Joints:
Stifles: Mild to moderate intracapsular soft tissue swelling affects the left stifle joint. A subtle increase in soft tissue opacity overlies the cranial aspect of the right stifle joint. No femorotibial malalignment is noted affecting either stifle.
Tarsi: The left tarsus is normal. Minimal soft tissue swelling overlies the dorsal aspect of the right distal tarsus. 
Long bones: No fractures are noted. 
Soft tissues: Mineral dense cutaneous debris overlies both pelvic limbs. Gas is present within the right proximal thigh tissue resulting in highlighting of the right proximal femoral musculature. The caudoventral abdominal wall subcutaneous tissue appears swollen and has soft tissue mottling. 
The caudal linea alba region appears thickened but the region appears at least partially contiguous with the pubis. </t>
  </si>
  <si>
    <t xml:space="preserve">1) Decreased abdominal detail compatible with fluid. DDx: hemorrhage vs. urine vs. bowel contents. Given the recent trauma, a vessel tear or urinary bladder tear and uroabdomen should be ruled out. Small CVC is consistent with hypovolemic shock or hypovolemia secondary to abdominal hemorrhage. 
2) Chronic renal disease with a small left kidney. Questionable decrease in retroperitoneal detail. 
3) Appearance to the small bowel could be indicative of early functional ileus secondary to chemical peritonitis vs. vascular compromise. 
4) Thickened appearance to the caudal linea alba. Rule out partial avulsion vs. trauma induced thickening.
5) Left stifle effusion. DDx: strain vs. sprain vs. ligament tear. While no tibial displacement is noted, this does not rule out a partial or complete ligament tear resulting in joint instability.
6) Opacity overlying the cranioventral thorax could represent pulmonary contusions. No pneumothorax or significant pleural fluid accumulation is noted.
7) Evidence of chronic bronchitis which is likely unrelated to the current trauma. An acute cause for peribronchial infiltrate is considered less likely. 
8) Atypical finding of caudal pulmonary artery enlargement. This finding, along with potential right heart enlargement, could be related to recent trauma associated with a PTE from the recent trauma. Other considerations are primary lung disease with secondary pulmonary hypertension, heartworm disease or PTE secondary to chronic renal disease and ATIII loss. </t>
  </si>
  <si>
    <t>AFAST with abdominal fluid collection for analysis. Next steps based on fluid analysis and cytology. Pulse ox. is also recommended given the potential for PTE.
After ruling in/out a hemoabdomen, uroabdomen or septic abdomen and patient stabilization, additional diagnostics can be performed to assess the caudal linea alba, pulmonary changes, caudal pulmonary vessel enlargement and chronic renal disease.
(amended on 03/09/2024 17:32)
Radiation safety: Ungloved human fingers are present in the primary beam. Please remind the radiology staff about always wearing leaded gloves and keeping hands outside the primary beam.</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</si>
  <si>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 No signs of cystic/urethral calculi.</t>
  </si>
  <si>
    <t>1) Unremarkable thorax._x000D_
1) Unremarkable urinary tract. Rule out FLUTD (idiopathic cystitis vs urethral plug).</t>
  </si>
  <si>
    <t>Consider a lateral view of the perineal region including the entire urethra and abdominal US to further evaluate the urinary tract with renal function test, urinalysis, UPC and urine culture.</t>
  </si>
  <si>
    <t>Four orthogonal thoracic radiographs dated 9th March 2024 are available for review. There are no previous radiographs available for comparison. _x000D_
_x000D_
Airway findings: The cervical and thoracic trachea have a normal size, outline and position. The carina, tracheal bifurcation and mainstem bronchi are normal. The thorax is hypoinflated. A mild diffuse interstitial pattern is present._x000D_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The patient is mildly overweight._x000D_
_x000D_
Included abdomen: No significant abnormalities are detected.</t>
  </si>
  <si>
    <t>1. The interstitial pattern could be due to hypoinflation and body habitus. Viral pneumonia is considered less likely. Feline asthma can be present in spite of normal radiographs.</t>
  </si>
  <si>
    <t>Respiratory workup including CBC, serum chemistry, urinalysis, Baermann faecal testing, 3DX, +/- respiratory panel or fungal testing may be considered.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t>
  </si>
  <si>
    <t>Three orthogonal thoracic radiographs dated 9th March 2024 are available for review. These are compared with previous radiographs dated 7th February 2024_x000D_
_x000D_
Airway findings: The cervical and thoracic trachea have a normal size, outline and position. The carina, tracheal bifurcation and mainstem bronchi are normal. Throughout the lung parenchyma there is a moderate to severe bronchointerstitial pattern, with bronchiectasis and thickening of the secondary bronchial walls. This is comparable to previous radiographs._x000D_
_x000D_
Cardiovascular findings: The cardiac silhouette is normal in shape, size and margination. The cranial and caudal pulmonary vasculature is normal. The caudal vena cava is normal. The aorta and mainstem pulmonary artery have a normal outline in the vd/dv l image. This is improved compared with previous radiographs._x000D_
_x000D_
Mediastinum and pleural space: No significant abnormalities are detected._x000D_
_x000D_
Musculoskeletal findings: The patient is mildly overweight._x000D_
_x000D_
Included abdomen: No significant abnormalities are detected.</t>
  </si>
  <si>
    <t>Continued moderate to severe bronchointerstitial opacification. Infectious-inflammatory lower airway disease is most likely considering age (severe infectious tracheobronchitis, parasitic, less likely fungal lower airway disease). Heart worm cannot be excluded. Feline asthma cannot be excluded. Pulmonary fibrosis may also be present.</t>
  </si>
  <si>
    <t>Respiratory workup including CBC, serum chemistry, urinalysis, Baermann faecal testing, +/- respiratory panel or fungal testing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t>
  </si>
  <si>
    <t xml:space="preserve">
1.Rarely, this result detects minimal pleural fissure lines/fluid.  _x000D_
2.This result detects a minimal to mild interstitial pulmonary pattern.  _x000D_
3.This result detects a mild, or rarely moderate bronchial pulmonary pattern._x000D_
4.Rarely, this result detects a minimal alveolar pulmonary pattern._x000D_
5.This result does not detect pulmonary vasculature enlargement._x000D_
6.This result detects equivocal/borderline to mild cardiomegaly. </t>
  </si>
  <si>
    <t>Abdomen: Survey radiographs and radiographs post barium administration are available for evaluation.  On the upper GI series barium is noted within the duodenum and jejunum.  The duodenum and several segments of jejunum have a bunched somewhat plicated appearance.  The liver and spleen are unremarkable.  There are no abnormalities involving the urinary tract.  Serosal detail is normal.</t>
  </si>
  <si>
    <t>The appearance of the duodenum and jejunum is consistent with a linear foreign body.</t>
  </si>
  <si>
    <t>Consider empirical treatment for parasitic bronchitis/asthma/allergic bronchitis with deworming evaluating response to treatment. If clinical signs persist, consider a bronchoscopy with BAL, culture, cytology, Baermann test and deworming.</t>
  </si>
  <si>
    <t xml:space="preserve">
1.This result detects minimal to mild, mixed interstitial and bronchial pulmonary patterns._x000D_
2.This result does NOT detect an alveolar pulmonary pattern.  _x000D_
3.Uncommonly, this result detects minimal to mild pulmonary vasculature enlargement._x000D_
4.Rarely,  this result detects minimal pleural fissure lines/fluid.  _x000D_
5.This result detects mild to moderate, or less commonly equivocal/borderline cardiomegaly.</t>
  </si>
  <si>
    <t>Orthogonal views of the thorax are provided:_x000D_
_x000D_
Thorax:_x000D_
_x000D_
Cardiac silhouette has a normal shape and size._x000D_
Pulmonary vessels are within normal limits of size and shape._x000D_
Pulmonary parenchyma shows a generalized broncho-interstitial pattern. _x000D_
No signs of tracheobronchial lymphadenopathy._x000D_
Pleural space, mediastinum, diaphragm and thoracic wall within normal limits.</t>
  </si>
  <si>
    <t>1) Generalized broncho-interstitial pattern is compatible with a chronic lower airway disease such as asthma vs feline chronic bronchitis vs bronchitis of parasitic origin.</t>
  </si>
  <si>
    <t>Consider empirical treatment for asthma and deworming. If clinical signs persist, then consider a bronchoscopy with BAL, culture, cytology and Baermann test with deworming.</t>
  </si>
  <si>
    <t>1) Unremarkable thorax without signs of cardiomegaly: this does not exclude anemia nor a cardiomyopathy or a hyperthyroidism (unlikely at this age).</t>
  </si>
  <si>
    <t>Given the lack of cardiomegaly but audible murmur, consider a cardiology consultation with ECG and echocardiogram._x000D_
Consider abdominal US to further evaluate the jaundice, hyporexia and weight loss.</t>
  </si>
  <si>
    <t xml:space="preserve">
1.Rarely, this result detects minimal pleural fissure lines/fluid.  _x000D_
2.This result detects a minimal to mild interstitial pulmonary pattern.  _x000D_
3.This result does not detect pulmonary vasculature enlargement._x000D_
4.This result detects none, or equivocal/borderline to moderate cardiomegaly. _x000D_
5.This result detects a minimal to mild, or rarely moderate bronchial pulmonary pattern._x000D_
6.Rarely, this result detects a minimal alveolar pulmonary pattern.</t>
  </si>
  <si>
    <t>3 images of the thorax and abdomen are presented for review.  The cardiovascular structures are normal.  There is a diffuse interstitial pulmonary pattern that is considered appropriate for the age of the patient.  An ovoid soft tissue structure is seen in the right middle lung lobe, superimposed over the apex of the heart on the left lateral view.  No additional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</si>
  <si>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Solitary pulmonary nodule concerning for neoplasia (primary versus solitary metastatic lesion).  CT could be considered.</t>
  </si>
  <si>
    <t>A ventral dorsal and both lateral radiographs of the thorax/abdomen are provided. The cardiac silhouette and pulmonary vessels are normal size and shape. There are no abnormalities in the pulmonary parenchyma or pleural space. The plane of the esophagus is unremarkable. In the abdomen the stomach contains a moderate amount of soft tissue opacity. Small intestines are mildly filled with fluid and gas. Formed feces in the colon. No radiopaque foreign material. Normal size kidneys, spleen, and liver. No radiopaque urolithiasis.</t>
  </si>
  <si>
    <t>Normal thorax and postprandial abdomen. A reason for respiratory signs is not identified. Upper airway disease is suspected.</t>
  </si>
  <si>
    <t>A CBC, blood chemistry profile are recommended. If abnormal nasal airflow/congestion persist, additional nasal imaging such as computed tomography could be considered.</t>
  </si>
  <si>
    <t xml:space="preserve">Patient name: Pumpkin Lussier, Date of study: Mar 7, 2024. 3 images of the neck, thorax and cranial abdomen are provided for review.
There are no previous radiographs for comparison.
Findings:
Neck: On the lateral projection, a bifurcating osseous structure overlies the region of the caudal oropharynx. This structure could represent the hyoid bones but has an atypical appearance and the tissue around this region has a heterogenous appearance. Mild soft tissue swelling appears to be present in the submandibular region. A minimal quantity of gas is present in the nasopharynx.  Mild dilation of the larynx is present with the remainder of the cervical trachea having a slightly smaller but normal diameter. 
Thorax: 
Airway/pulmonary parenchyma: A mild bronchial pattern is present that is excessive for the cat's age. No pulmonary hyperinflation is noted. On both lateral projections, focal cavitary regions are present in the caudodorsal thorax consistent with bulla formation. On the right lateral projection, there is potential gas within the pleural space adjacent to the lung margin caudodorsally. 
Cardiovascular: The cardiac silhouette is mildly enlarged with left ventricular enlargement on the VD projection and CVC elevation on the lateral projection. The cranial aspect of the cardiac silhouette is obscured by overlying soft tissue. Mild pericardial fat is present. The pulmonary vasculature (arteries and veins) are mildly distended diffusely. 
Mediastinum: On the lateral projections, there is a diffuse increase in soft tissue through the cranial mediastinum resulting in a portion of the cranial cardiac margin being obscured. On the VD projection, mild widening to the cranial mediastinum is present. 
Pleural space: Scant pleural fluid overlies the heart on the right lateral projection and as mentioned above, there is potential air within the pleural space around the caudal lung tip. 
Cranial abdomen: The liver is mildly enlarged but retains a smooth margin. No bone fragments are noted within the GI tract. A slight decrease in cranioventral abdominal detail is present. </t>
  </si>
  <si>
    <t xml:space="preserve">1) The findings of the mediastinal opacity (see #4), scant pleural fluid and suspected abdominal fluid, along with the decreased energy, could be secondary to a coagulopathy and hemorrhage within these body cavities. Other considerations such as mediastinitis, vasculitis or overhydration/heart failure could explain some of the findings but less likely than hemorrhage to explain all three findings concurrently.
2) Atypical appearance to the caudal oropharynx. Normal hyoid bones in an atypical appearance is suspected over an oropharyngeal foreign body. 
3) Caudodorsal bronchial pattern with bulla formation. While the bulla formation is suggestive of chronic lower airway disease, the peribronchial pattern could be secondary to inflammation vs. interstitial hemorrhage or edema. 
4) Mediastinal opacity and scant pleural fluid +/- scant pleural air. The quantity of soft tissue in the cranial mediastinum appears excessive for normal thymic tissue. Therefore, other considerations are hemorrhage or mediastinitis. An additional consideration for the pleural fluid includes inflammation secondary to lung disease or associated with bulla rupture during recent respiratory signs.
5) Mild cardiomegaly with pulmonary vessel distention. DDx: dexmeditomidine sedation vs. recent fluid therapy vs. cardiac disease. </t>
  </si>
  <si>
    <t xml:space="preserve">Rule out coagulopathy. After ruling out coagulopathy, repeat a lateral projection of the neck to confirm the osseous structure represents normal hyoid bones. 
Further evaluation of the cranial mediastinum, pleural space and abdomen via ultrasound with fluid collection and/or tissue FNAs as warranted by the ultrasound findings. Bloodwork to assess for evidence of systemic inflammation. Cardiac evaluation is also warranted prior to any steroid therapy for lower airway disease, particularly if dexmeditomidine sedation was not administered. 
Empirical deworming and inhaled therapy for lower airway disease, as clinically warranted.  
</t>
  </si>
  <si>
    <t>Study:_x000D_
Thoracic/abdominal radiography: five images dated March 7,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a small volume of gas. The small intestines are diffusely mildly gas distended. The colon contains gas and a small amount of poorly formed fecal material. The liver extends mildly beyond the costal arch with smooth and sharp margins. The spleen is mildly enlarged seen in mid-ventral abdomen on all lateral projections. The renal silhouettes are poorly visualized due to visceral crowding/summation with bowel. There is no overt renomegaly. The urinary bladder is unremarkable. No skeletal abnormalities are present.</t>
  </si>
  <si>
    <t>1.The diffuse mild gas distention of the small intestines is suggestive of nonspecific functional ileus. Abdominal sonography can be considered to evaluate for an underlying enteropathy._x000D_
2.  The mild hepatomegaly is nonspecific. Rule out individual normal variant, metabolic/vacuolar hepatopathy, hepatitis, lipidosis or infiltrative neoplasia. Correlate with any liver enzyme abnormalities. Sonography can be considered for further evaluation if clinically relevant._x000D_
3. The mild splenomegaly is also nonspecific. Rule out extramedullary hematopoiesis, lymphoid hyperplasia, splenitis, congestion or infiltrative neoplasia. Sonography can be considered for further evaluation._x000D_
4. The generalized bronchial pulmonary pattern may indicate allergic/inflammatory bronchitis (asthma). Infectious, parasitic and irritant bronchitis are also possible. Airway sampling, heartworm testing and Baermann fecal flotation can be considered for further evaluation.</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</si>
  <si>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Soft tissue masses are seen in the subcutaneous tissues ventrally consistent with the reported mammary tumors.</t>
  </si>
  <si>
    <t>Opposite lateral and ventrodorsal whole body radiographs (3 images) dated March 7,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unremarkable in size and shape. The stomach contains a small volume of gas and a solitary small and relatively linear mineral opacity that measures 0.5 x 0.12 cm. This small mineral opacity is nonobstructive. Small intestine is diffusely and mildly distended with fluid and gas, and multiple segments have an irregular linear coalescing gas pattern. The colon is diffusely gas-filled. Both kidneys are normal in size and shape. The urinary bladder is moderately fluid-filled. Retroperitoneal and peritoneal detail are normal. No regional lymphadenopathy is evident._x000D_
No aggressive or clinically significant osseous pathology is identified.</t>
  </si>
  <si>
    <t>1. Non-obstructive gastroenteritis +/- colitis.  Rule out dietary indiscretion or toxin vs. GI infectious less likely systemic/extra GI causes (liver or kidney injury/disease, endocrine disorder, systemic infection)._x000D_
2. Small gastric mineral opacity represents a nonobstructive foreign body. This small structure should pass without issue._x000D_
3. Normal thorax.</t>
  </si>
  <si>
    <t>Supportive care with fluid rehydration, antiemetics, gastroprotectants/omeprazole, and bland diet.  General health profile (CBC, chemistry, FeLV/FIV, UA, fecal) to screen for underlying causes. Abdominal ultrasound if the patient fails medical management.</t>
  </si>
  <si>
    <t>Opposite lateral and ventrodorsal thoracic radiographs (3 images) dated March 7,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thoracic inlet and intrathoracic trachea are normal in diameter and course with gas filling its lumen. The cervical trachea is not included. No intrathoracic lymphadenopathy is evident._x000D_
The liver measures at the upper limits of normal size. The spleen is enlarged with the tail visible on the left lateral view. The empty stomach, included bowel segments, and kidneys are unremarkable. Cranial peritoneal detail is normal._x000D_
No aggressive or clinically significant osseous pathology is identified.</t>
  </si>
  <si>
    <t>1. Normal thorax and included trachea. The cause for the discomfort is not radiographically apparent. Note that the cervical region is not included._x000D_
2. Splenomegaly. Rule out benign causes (extramedullary hematopoiesis, lymphoid hyperplasia, sedation if applicable) vs. infectious splenitis (Mycoplasma, FIP, histoplasmosis) vs. unlikely infiltrative round cell neoplasia (juvenile lymphoma or leukemia).</t>
  </si>
  <si>
    <t>Sedated upper airway exam +/- cervical radiographs._x000D_
CBC, Chem, UA, fecal, systemic blood pressure evaluation, and FeLV/FIV. Analgesic therapy.</t>
  </si>
  <si>
    <t>Six orthogonal survey radiographs of the thorax and abdomen dated 7th March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There is a small indentation in the caudal cardiac contour, and mild prominence of the right ventricle in the lateral images. A mild Valentine shape is present in the ventral dorsal image. The pulmonary vasculature and mainstem vessels are normal._x000D_
_x000D_
Mediastinum and pleural space: No significant abnormalities are detected._x000D_
_x000D_
Abdomen: No significant abnormalities are detected._x000D_
_x000D_
Musculoskeletal findings: No significant abnormalities are detected.</t>
  </si>
  <si>
    <t>The findings are suspicious of hypertrophic cardiomyopathy, either idiopathic or thyrotoxic. There is no evidence for cardiac insufficiency.</t>
  </si>
  <si>
    <t>T4 testing, ECG, blood pressure measurements and echocardiography is advised.</t>
  </si>
  <si>
    <t>Three orthogonal survey radiographs of the thorax and abdomen dated 6th March 2024 are available for review. There are no previous radiographs available for comparison. _x000D_
_x000D_
Thorax: _x000D_
Airway findings: The cervical and thoracic trachea have a normal size, outline and position. The carina, tracheal bifurcation and mainstem bronchi are normal. The thorax is mildly hyperinflated on the lateral images. A mild-moderate bronchial pattern is present._x000D_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There is a moderate amount of gas in the stomach and the intestinal tract._x000D_
_x000D_
Musculoskeletal findings: No significant abnormalities are detected.
(amended on 03/07/2024 18:39)
Some gas is also present in the cranial thoracic oesophagus.</t>
  </si>
  <si>
    <t>The findings are consistent with lower airway allergic disease such as feline asthma. Viral-bacterial, parasitic or fungal bronchitis is considered unlikely. Heart worm is considered unlikely. An upper respiratory obstruction is considered unlikely.
(amended on 03/07/2024 18:39)
The gas in the intestinal tract and thoracic oesophagus is consistent with aerophagia secondary to respiratory distress.</t>
  </si>
  <si>
    <t>Three orthogonal thoracic radiographs dated 7th March 2024 are available for review. There are no previous radiographs available for comparison. _x000D_
_x000D_
Airway findings: The cervical and thoracic trachea have a normal size, outline and position. The carina, tracheal bifurcation and mainstem bronchi are normal. A mild homogenous interstitial opacification superimposed on the thorax._x000D_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mild ventral pleural fat._x000D_
_x000D_
Musculoskeletal findings: No significant abnormalities are detected. The patient is overweight._x000D_
_x000D_
Included abdomen: No significant abnormalities are detected.</t>
  </si>
  <si>
    <t>Relatively unremarkable thorax. Lower airway allergic disease can be present without radiographic findings. The interstitial opacification is most likely due to body habitus.</t>
  </si>
  <si>
    <t>Observational management is advised. Exclude an upper airway abnormality. Respiratory workup including CBC, serum chemistry, urinalysis, Baermann faecal testing, 4DX, +/- respiratory panel or fungal testing may be considered.</t>
  </si>
  <si>
    <t>3 views of the entire body are provided for review. There is a severe bronchial pattern in all lung lobes.  There is also mineralization of the airways.  The cardiovascular structures are normal.  The mediastinal and pleural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</si>
  <si>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or infiltrative neoplasia.  Abdominal ultrasound could be considered in further evaluation.  Severe bronchial pulmonary pattern.  Considerations include asthma, heartworm, lungworm, atypical infection, bronchitis.  Consider empiric therapy versus further diagnostics such as heartworm testing, Baermann fecal, airway sampling.</t>
  </si>
  <si>
    <t>Study:_x000D_
Thoracic/abdominal radiography: three images dated March 6, 2024_x000D_
_x000D_
Findings:_x000D_
There is incidental cranioventral rotation of the cardiac silhouette and redundancy of the aorta. The cardiac silhouette is normal in size and shape. The pulmonary vasculature is normal in size. The pulmonary parenchyma is unremarkable. No nodules or masses are present. The pleural space is normal. There is no intrathoracic lymphadenopathy. The trachea is normal in diameter. The stomach contains a small amount of unstructured heterogeneous soft tissue material presumed to be ingesta. The small intestines are normal in size, course and content. The colon contains formed fecal material. The liver and spleen are normal in size and margin. The right kidney is severely small (1.8 cm in length). The left kidney is enlarged with smooth margins. The urinary bladder is normal in size and opacity. There is mild multifocal thoracic and moderate lumbosacral spondylosis deformans.</t>
  </si>
  <si>
    <t>1. Small size of the right kidney is suggestive of chronic kidney disease. The left renomegaly likely indicates compensatory hypertrophy. Nephritis or hydronephrosis cannot be completely excluded. Correlate with renal values, SDMA testing and urinalysis._x000D_
2. The remainder the abdomen is unremarkable. Abdominal sonography and a G.I. panel can be considered to further evaluate for an enteropathy to explain the reported weight loss._x000D_
3. Unremarkable thorax. There is no radiographic evidence of cardiopulmonary disease.</t>
  </si>
  <si>
    <t>A three view thoracoabdominal study is provided for interpretation._x000D_
_x000D_
There is a moderate diffuse bronchial pulmonary pattern. The heart appears widened at the base suggestive of atrial dilation. Overall heart size aside from the shape change is still within normal limits. Pulmonary vessels are normal._x000D_
_x000D_
The stomach is full with amorphous soft tissue dense ingesta. The appearance is compatible with normal food. The stomach is not dilated or malpositioned. The intestinal tract is unremarkable. The other abdominal organs are within normal limits. Serosal detail in the abdomen is normal.</t>
  </si>
  <si>
    <t>No significant abdominal abnormalities are identified to account for the vomiting. No esophageal abnormalities are seen._x000D_
_x000D_
There is a bronchial pattern consistent with lower airway disease. Primary outs would include asthma as well as parasitic infection such as lungworms or heartworm disease. Such as bronchitis as a less likely possibility.</t>
  </si>
  <si>
    <t>A specific cause for the vomiting is not identified in the radiographs._x000D_
Food intolerance or chronic enteropathy should be ruled out._x000D_
Metabolic or systemic infectious disease should also be ruled out.</t>
  </si>
  <si>
    <t>Thorax: There is a mild peribronchial pattern.  The cardiac silhouette and pulmonary vasculature are unremarkable.  There is no evidence of pleural effusion or lymphadenopathy._x000D_
_x000D_
Abdomen: The liver and spleen are unremarkable.  There are no abnormalities involving the gastrointestinal tract or urinary tract.  Serosal detail is normal.</t>
  </si>
  <si>
    <t>Mild peribronchial pattern which may represent a lower airway inflammatory process such as asthma.</t>
  </si>
  <si>
    <t>Four orthogonal thoracic radiographs dated 5 March 2024 are available for review. There are no previous radiographs available for comparison. Extremity radiographs are not interpreted._x000D_
_x000D_
Airway findings: Within the caudal right lung there is a large oval smoothly marginated soft tissue opacity of approximately 5 x 3 x 2 cm. The remainder of the lung parenchyma is normal. The trachea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An aggressive bony lesion is present centred on the distal fourth metatarsal bone._x000D_
_x000D_
Included abdomen: No significant abnormalities are detected.</t>
  </si>
  <si>
    <t>Solitary pulmonary mass is most consistent with a bronchial adenocarcinoma, however a large abscess, or cyst or a single metastasis should be considered. The digit aggressive bony lesion is likely a metastasis consistent with lung-digit syndrome.</t>
  </si>
  <si>
    <t>Complete bloodwork, thoracic ultrasound with aspirates if a peripheral lesion identified, and abdominal ultrasound are recommended for further staging.</t>
  </si>
  <si>
    <t>1) Generalized bronchial pattern is compatible with a chronic lower airway disease such inflammatory/infectious bronchitis with +/- parasitic bronchitis vs an asthma or a feline chronic bronchitis are felt less likely at this age._x000D_
2) No signs of cardiomegaly (this does not exclude a congenital shunt vs cardiomyopathy)</t>
  </si>
  <si>
    <t>Given the lack of cardiomegaly but audible murmur, consider a cardiology consultation with ECG and echocardiogram._x000D_
Consider empirical treatment for infectious and parasitic bronchitis with deworming and Baermann test evaluating response to treatment. If clinical signs persist, consider a bronchoscopy with BAL, culture, cytology, new Baermann test and deworming.</t>
  </si>
  <si>
    <t>Opposite lateral and ventrodorsal whole body radiographs (3 images) dated March 6, 2024._x000D_
_x000D_
The cardiac silhouette is tall in height and elongated in its apicobasilar length. No cardiac widening is appreciated. The aortic arch is prominent in size. The pulmonary vasculature and caudal vena cava are within normal limits. No pulmonary nodules or masses are identified. No intrathoracic lymphadenopathy is present. The trachea is normal in diameter and contains gas. The pleural space, mediastinum, and diaphragm are normal._x000D_
The liver and spleen are normal in size and shape. Both kidneys are unremarkable in overall size but are moderately irregular in shape with multiple flattened areas along the capsular margins. Pinpoint mineral foci are present in the renal pelves. The urinary bladder is fairly distended with homogeneous fluid opacity. The stomach is mildly distended with soft-tissue/fluid content. The small intestine is unremarkable in size, course, and content. The colon contains normal appearing stool mixed with gas and has a normal course. Retroperitoneal and peritoneal detail are normal. Both superficial inguinal lymph nodes are moderately enlarged (~1.0 cm short axis diameter)._x000D_
There is mild midthoracic spondylosis deformans. No aggressive osseous lesions are identified.</t>
  </si>
  <si>
    <t>1. No evidence of metastatic neoplasia in the thorax._x000D_
2. Moderate superficial inguinal lymphadenopathy is concerning for regional metastatic neoplasia vs. less likely benign reactivity from regional inflammation._x000D_
3. Cardiomegaly. Rule out subclinical thyrotoxic or primary cardiomyopathy vs. left ventricular hypertrophy from systemic hypertension vs. less likely other causes. There is no evidence of heart failure._x000D_
4. Prominent aortic arch can represent incidental geriatric changes vs. systemic hypertension in the cat._x000D_
5. Irregularly-shaped kidneys is suggestive of chronic renal disease, such as chronic infarcts. Other structural disease (nodules, hematomas, granulomas, abscesses) are less likely.</t>
  </si>
  <si>
    <t>Regional ultrasound of the superficial inguinal lymph nodes and fine needle aspirates for cytologic assessment._x000D_
T4, cardiac proBNP testing, and systemic blood pressure evaluation=ZZ90= echocardiogram based on findings._x000D_
Renal blood work, urinalysis,+/- focal renal ultrasound.</t>
  </si>
  <si>
    <t xml:space="preserve">
1.This result does NOT detect an alveolar pulmonary pattern. _x000D_
2.Rarely, this result detects minimal pleural fissure lines/fluid._x000D_
3.This result detects a  minimal to mild interstitial pulmonary pattern._x000D_
4.This result detects equivocal/borderline to moderate cardiomegaly._x000D_
5.This result detects a minimal or mild bronchial pulmonary pattern.</t>
  </si>
  <si>
    <t>Consider empirical treatment for allergic bronchitis evaluating response to treatment. If clinical signs persist, consider a bronchoscopy with BAL, culture, cytology, Baermann test and deworming.</t>
  </si>
  <si>
    <t xml:space="preserve">
1.This result detects no, or a minimal interstitial pulmonary pattern._x000D_
2.This result detects a minimal to moderate bronchial pulmonary pattern._x000D_
3.Rarely, this result detects a minimal to mild alveolar pulmonary pattern._x000D_
4.This result does not detect pulmonary soft tissue nodules._x000D_
5.This result does not detect pulmonary vasculature enlargement._x000D_
6.Rarely, this result detects minimal pleural fissure lines/fluid._x000D_
7.This result detects equivocal/borderline to mild cardiomegaly. </t>
  </si>
  <si>
    <t>Opposite lateral and VD views that include the thorax and most of the abdomen are provided for interpretation._x000D_
_x000D_
The right lateral view includes the neck, and the mid cervical trachea appears moderately narrowed. The intrathoracic trachea is normal. The right lateral view also has a mild increase in opacity in the cranioventral thorax. It is not clear in this view whether this represents superimposition artifact or pulmonary infiltrates. This opacity is not repeatable in the other views and is most likely artifactual. The other lung fields have a mild bronchial pattern.. No cardiovascular abnormalities are identified._x000D_
_x000D_
There is a small quantity of amorphous normal appearing soft tissue dense ingesta in the stomach. Some of the small intestine is fluid filled, and a few loops appear mildly dilated. The other abdominal organs are within normal limits.</t>
  </si>
  <si>
    <t>There is a mild bronchial pattern. Asthma would be a primary differential for this patient._x000D_
There is narrowing of the mid thoracic trachea, but no mass effect is seen in the area. This is likely to be a transient incidental finding. Swelling of the trachea or around the trachea still cannot be entirely excluded._x000D_
_x000D_
Several small intestinal loops of fluid filled and some appear mildly dilated. This can also be seen as a transient incidental finding, but would be compatible with enteritis as well. Clinical relevance likely depends on signs, and whether vomiting can be confirmed.</t>
  </si>
  <si>
    <t>The radiographic changes are mild overall. Asthma is suspected._x000D_
Symptomatic therapy is recommended.</t>
  </si>
  <si>
    <t>Three radiographs of the thorax, three views of the abdomen, and a lateral view of each stifle are provided. The cardiac silhouette and pulmonary vessels are normal size and shape. There are no abnormalities in the pulmonary parenchyma or pleural space. No enlarged intrathoracic lymph nodes._x000D_
_x000D_
In the abdomen peritoneal and retroperitoneal detail is adequate. Moderate volume gas and small volume fluid in the stomach. Small and large bowel are minimally filled. There is no radiopaque foreign material or intestinal bunching/plication. Normal-sized liver, spleen, kidneys. No radiopaque cystic calculi. Mild degenerative change in the left coxofemoral joint. Pelvic limb musculature is reduced on the left. Punctate mineral density in the cranial aspect of the left stifle is incidental meniscal mineralization. There is also suspect fluid in the cranial aspect of both stifle joints, more prominent on the left side.</t>
  </si>
  <si>
    <t>1. Soft tissue density in the stomach is most likely fluid. Foreign material/trichobezoar is not definitively ruled out. No intestinal abnormalities._x000D_
2. Suspect stifle effusion, worse on the left. Cranial cruciate ligament insult should be considered. This should be correlated with palpation._x000D_
3. Mild left coxofemoral osteoarthrosis, could be contributing to discomfort._x000D_
3. Normal thorax.</t>
  </si>
  <si>
    <t>A CBC, blood chemistry profile, and positive contrast gastrogram should be considered. Fasting abdominal ultrasound is another option to evaluate the entire abdomen.</t>
  </si>
  <si>
    <t>Study:_x000D_
Thoracic radiography: three images dated March 5,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presumed to be ingesta. The included abdomen is otherwise unremarkable. No skeletal abnormalities are present. The patient is of obese body condition.</t>
  </si>
  <si>
    <t>The generalized bronchial pulmonary pattern likely indicates allergic/inflammatory bronchitis (asthma). Infectious, parasitic and irritant bronchitis are also possible. Airway sampling plus/minus heartworm testing and Baermann fecal flotation can be considered for further evaluation. Alternatively, a treatment trial for asthma can be considered.</t>
  </si>
  <si>
    <t xml:space="preserve">
1.Rarely, this result detects a minimal alveolar pulmonary pattern._x000D_
2.This result detects equivocal/borderline to mild, or rarely moderate cardiomegaly. _x000D_
3.This result does not detect pulmonary vasculature enlargement._x000D_
4.This result does not detect pleural fissure lines/fluid.  _x000D_
5.This result detects a minimal to mild interstitial pulmonary pattern.  _x000D_
6.This result detects a minimal to mild bronchial pulmonary pattern.</t>
  </si>
  <si>
    <t>Orthogonal radiographs of the thorax/abdomen are provided. The cardiac silhouette and pulmonary vessels are normal size and shape. There are no abnormalities in the pulmonary parenchyma. No pleural effusion. Normal tracheal diameter. In the abdomen the stomach and small bowel are gas filled. Small volume of formed feces in the colon. Normal-sized liver, spleen, kidneys. No radiopaque urolithiasis. Osseous structures are unremarkable.</t>
  </si>
  <si>
    <t>Gas-filled stomach and small bowel most consistent with aerophagia. No other definitive abdominal abnormalities, and the thorax is normal.</t>
  </si>
  <si>
    <t xml:space="preserve">
1.This result detects a minimal to mild interstitial pulmonary pattern.  _x000D_
2.This result detects none, or equivocal/borderline to mild cardiomegaly. _x000D_
3.This result detects a minimal to mild, or rarely moderate bronchial pulmonary pattern._x000D_
4.Rarely, this result detects a minimal to mild alveolar pulmonary pattern._x000D_
5.This result does not detect pulmonary soft tissue nodules._x000D_
6.This result does not detect pulmonary vasculature enlargement._x000D_
7.This result does not detect pleural fissure lines/fluid.  </t>
  </si>
  <si>
    <t>Opposite lateral and ventrodorsal whole body radiographs (3 images) dated March 5,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 _x000D_
The liver and spleen are unremarkable in size and shape. Both kidneys are normal in size and shape. The urinary bladder is mildly fluid-filled. The stomach contains a mild volume of gas. The small intestine is unremarkable in diameter and course with most segments containing gas and fluid. The colon contains a small amount of stool mixed with gas. Retroperitoneal and peritoneal detail are normal. No regional lymphadenopathy is evident._x000D_
No aggressive or clinically significant osseous pathology is identified.</t>
  </si>
  <si>
    <t>Unremarkable thorax and abdomen with no radiographic contraindications to anesthesia.</t>
  </si>
  <si>
    <t>Proceed with procedure.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</si>
  <si>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mineral opaque feces are present in the colon.  The urinary bladder is small.  The remaining abdominal organs are normal.</t>
  </si>
  <si>
    <t>Lack of specific changes does not rule out pancreatitis or infiltrative neoplasia.  Abdominal ultrasound could be considered.</t>
  </si>
  <si>
    <t>3 views of the entire body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mottled soft tissue material.  The small intestines are normal in size.  Gas and feces are present in the colon.  The urinary bladder is moderately distended.  The remaining abdominal organs are normal.</t>
  </si>
  <si>
    <t>Three radiographs of the thorax/abdomen are provided. The cardiac silhouette and pulmonary vessels are normal size. There is a mild bronchial pattern throughout the lungs. No pleural effusion or soft tissue pulmonary nodules. Small round soft tissue densities adjacent to the heart represent end-on pulmonary vessels. There is no intrathoracic lymphadenomegaly. Adequate tracheal diameter. In the abdomen there is moderate volume gas in the stomach. Small intestines are mildly filled with fluid and small volume gas. Small volume formed feces fills the colon. Several punctate mineral densities in the stomach and intestines, likely incidental. Normal-sized liver, spleen, kidneys. No radiopaque urolithiasis.</t>
  </si>
  <si>
    <t>Mild bronchial pattern consistent with chronic airway inflammation such as asthma. Otherwise normal thorax and abdomen.</t>
  </si>
  <si>
    <t>This patient may benefit from treatment for asthma.</t>
  </si>
  <si>
    <t>A three view thoracoabdominal study is provided for interpretation._x000D_
_x000D_
There is a moderate bronchial pulmonary pattern. No alveolar infiltrates are seen. The cardiovascular structures are within normal limits. No tracheal or esophageal abnormalities are identified. The colon is moderately dilated with gas and normal appearing fecal balls. The stomach is full with amorphous soft tissue dense ingesta. The small intestine is unremarkable. The other abdominal organs are within normal limits.</t>
  </si>
  <si>
    <t>There is a moderate bronchial pattern. Primary rule outs would include pre-existing chronic lower airway disease such as asthma vs. active bronchitis of and infectious or parasitic nature._x000D_
No changes typical of aspiration pneumonia are identified._x000D_
_x000D_
The distention of the colon is probably a transient incidental finding. The rest of the abdomen is within normal limits.</t>
  </si>
  <si>
    <t>No additional treatment or diagnostics are necessarily indicated if no respiratory clinical signs are present. If signs are present, infectious bronchitis or parasitic infection such as lungworms or heartworm disease should be ruled out with appropriate lab work.</t>
  </si>
  <si>
    <t>Orthogonal views of the thorax are provided:_x000D_
_x000D_
Thorax:_x000D_
_x000D_
Cardiac silhouette has a normal shape and size._x000D_
Pulmonary vessels are within normal limits of size and shape._x000D_
Pulmonary parenchyma shows hyperinflated and therefore hyperlucent lungs with some areas of bronchial pattern and a flattened diaphragm and increased distance between the diaphragm and the cardiac silhouette. The right middle lung lobe is severely collapsed. _x000D_
No signs of tracheobronchial lymphadenopathy._x000D_
Pleural space, mediastinum, diaphragm and thoracic wall within normal limits.</t>
  </si>
  <si>
    <t>1) Generalized pulmonary hyperinflation and some areas of bronchial pattern and reflects pulmonary emphysema secondary to a chronic asthma. A collapsed right middle lung lobe has been reported in 10-20 % of cases of feline asthma.</t>
  </si>
  <si>
    <t>Consider a bronchoscopy with BAL, culture, cytology and Baermann test with deworming.</t>
  </si>
  <si>
    <t>Thorax: There is a moderate diffuse peribronchial pattern with some bronchi having mild mineralization.  The cardiac silhouette and pulmonary vasculature are unremarkable.  There is no evidence of pleural effusion or lymphadenopathy.  There is a mild amount of gas within the proximal intrathoracic esophagus.  There are no abnormalities involving the visible portions of the abdomen.</t>
  </si>
  <si>
    <t>Findings are consistent with a chronic lower airway inflammatory process such as feline asthma._x000D_
_x000D_
Mild gas within the proximal intrathoracic esophagus which may be secondary to aerophagia.</t>
  </si>
  <si>
    <t>Three radiographs of the thorax, VD view of the pelvis, and orthogonal views of both distal pelvic limbs are provided. The cardiac silhouette and pulmonary vessels are normal size. There are no abnormalities in the pulmonary parenchyma. No pleural effusion. Normal tracheal diameter. In the viewable abdomen there is no effusion or organomegaly. No lumbar spinal abnormalities. The coxofemoral joints are congruent. There are smoothly irregular mineral opaque osseous bodies within both stifle joints, more prominent on the right side. Mild enthesophyte formation on the femoral trochlear ridges. No popliteal lymphadenomegaly. There is moderate soft tissue swelling encircling the left tarsus, with a small amount of smoothly irregular osseous proliferation surrounding the distal fibula and tuber calcaneus. The swelling is worse along the lateral aspect of the tarsus on the dorsoplantar projection. No definitive osseous lysis. No radiopaque foreign material. The distal tarsus, remainder of the left pes, and the distal right pelvic limb are normal.</t>
  </si>
  <si>
    <t>1. Moderate left tarsal soft tissue swelling with mild osseous proliferation. A soft tissue neoplasm is of concern. An inflammatory process due to recent trauma or granuloma is given lesser consideration._x000D_
2. Mineralized bodies within the stifle is consistent with incidental meniscal mineralization. There is bilateral mild stifle osteoarthrosis._x000D_
3. Normal coxofemoral joints and thorax.</t>
  </si>
  <si>
    <t>Cytology of the left tarsal swelling is recommended for a definitive diagnosis.</t>
  </si>
  <si>
    <t>4 images of the entire body are presented=ZZ90= abdomen is requested for review.  Serosal detail is adequate in all quadrants.  The stomach contains a moderate amount of soft tissue material.  The small intestines are normal in size.  Gas and feces are present in the colon.  The urinary bladder is distended and contains numerous small mineral structures.  The kidneys are smoothly margined and normal in size.  The remaining abdominal organs are normal.</t>
  </si>
  <si>
    <t>Cystic calculi.  Material within the stomach may represent residual ingesta or foreign material.</t>
  </si>
  <si>
    <t>3 images of the thorax and abdomen are presented for review.  The cardiac silhouette is mildly widened in the region of the atria.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</si>
  <si>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Lack of specific changes does not rule out chronic pancreatitis, infiltrative neoplasia, etc.  Abdominal ultrasound may be helpful.  Mild cardiomegaly without current evidence of cardiogenic pulmonary edema.  Echocardiography and proBNP may be helpful in further evaluation.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</si>
  <si>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is present in the colon.  The urinary bladder is small.  The remaining abdominal organs are normal.</t>
  </si>
  <si>
    <t>Study:_x000D_
Thoracic/abdominal radiography: two images dated March 29,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is empty. The small intestines are diffusely gas distended. The colon is also gas distended and contains a small amount of formed fecal material. The liver and spleen are normal in size and margin. The renal silhouettes are normal in size and contour. The urinary bladder is normal in size and opacity. There is narrowing of the lumbosacral intervertebral disc space with sclerotic endplates and moderate spondylosis deformans. The coxofemoral joints are incompletely imaged on the VD view=ZZ90= however, periarticular bone formation is noted at the craniolateral margin of the acetabulum bilaterally.</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</si>
  <si>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The diffuse gas dilation of the small intestines may may be secondary to aerophagia. Nonspecific functional ileus is less likely in the absence of any reported gastrointestinal signs._x000D_
3. Chronic lumbosacral intervertebral disease._x000D_
4. Bilateral coxofemoral osteoarthrosis.</t>
  </si>
  <si>
    <t>Thorax: There is a mild diffuse peribronchial pattern.  The cardiac silhouette and pulmonary vasculature are unremarkable.  There is no evidence of pleural effusion or lymphadenopathy.  There are no abnormalities involving the visible portions of the abdomen.</t>
  </si>
  <si>
    <t>Diffuse peribronchial pattern.  Primary differential consideration is a lower airway inflammatory process such as asthma.</t>
  </si>
  <si>
    <t>Four radiographs of the thorax and neck, and orthogonal views of the abdomen are provided. The cardiac silhouette and pulmonary vessels are normal size and shape. There is hazy increased opacity cranioventral to the heart on the lateral view, but no definitive air bronchograms. There is also mediastinal fat deposition noted on the VD projection. No pleural effusion. Normal tracheal diameter and position. The laryngeal region is unremarkable. Osseous structures are age-appropriate._x000D_
_x000D_
In the abdomen formed feces fills the colon. The stomach and small bowel are minimally filled. Normal-sized liver, spleen, kidneys. Ovoid 1.2 x 0.6 cm soft tissue density dorsal to the urinary bladder is normal medial iliac lymph node, increased in visibility due to abundant fat deposition.</t>
  </si>
  <si>
    <t>The appearance of the cranioventral thorax is most likely incidental fat deposition. Mild aspiration pneumonia is not definitively ruled out, and would be suspected if the patient is febrile, has abnormal lung auscultation, or elevated white blood cell count. The abdomen is normal.</t>
  </si>
  <si>
    <t>A CBC and blood chemistry profile are recommended.</t>
  </si>
  <si>
    <t>4 images of the thorax are provided for review. There is a mild bronchial pattern in all lung lobes.  The lung lobes are hyperinflated with tenting of the diaphragm.  The cardiovascular structures are normal.  The mediastinal and pleural structures are normal.  Cranial abdominal detail is adequate.</t>
  </si>
  <si>
    <t>Lateral and VD views of the thorax and abdomen are provided._x000D_
_x000D_
There is a moderate diffuse bronchial pulmonary pattern. In the left cranial lung field, irregular soft tissue shadows that are poorly defined are seen in the VD view, and in the lateral view discrete variably sized nodular shadows are identified in this area. There is slight dorsal deviation of the ventral tracheal wall at the level of the second intercostal space, without a discrete mass effect causing this. The heart is within normal size and shape limits. Pulmonary vessels appear normal, although pathologic vascular changes cannot be entirely excluded as a cause of some of the shadows seen in the left cranial lung field._x000D_
No abnormalities are identified involving the gastrointestinal tract. There is subtle increased soft tissue opacity between the spleen in the left kidney in the general area of the left pancreatic limb. This would be compatible with the reportedly prominent pancreas, but it could also be an artifact caused by intestinal loops in this area._x000D_
There is moderate narrowing of the lumbosacral disc space. The lumbosacral endplates appear slightly irregular in the lateral view. This is not confirmed in the VD view and could be artifactual.</t>
  </si>
  <si>
    <t>1) There is a diffuse bronchial pattern consistent with lower airway disease such as asthma or bronchitis. Considering the lack of reported respiratory clinical signs, active bronchitis is less likely than reactive chronic lower airway disease such as asthma. Parasitic infection such as lungworms or heartworm disease, or active bronchitis should still be ruled out if clinically warranted._x000D_
_x000D_
2) Multiple irregular nodular shadows are identified in the left cranial lung field. The appearance is concerning for pulmonary neoplasia. Metastatic neoplasia from a distant site also should be ruled out. Granulomas secondary to chronic lower airway disease is less likely but cannot be entirely excluded._x000D_
_x000D_
3) No significant abdominal abnormalities are identified._x000D_
_x000D_
4) Lumbosacral disc degeneration is likely. There is a minor concern for possible endplate changes in the lateral view. This may be artifactual. Recheck radiographs of this area are recommended in one to two months, or sooner if relevant clinical signs appear.</t>
  </si>
  <si>
    <t>Bronchoscopy or CT could be considered for more definitive evaluation of the unusual nodular pulmonary lesions._x000D_
CBC, heartworm testing, and Baermann fecal exam for lungworms is recommended.</t>
  </si>
  <si>
    <t>Three radiographs of the thorax and three views of the abdomen are provided. The cardiac silhouette and pulmonary vessels are normal size and shape. There are faint bronchial markings in the periphery, otherwise the lungs are clear. Increased opacity dorsal to the cranial sternum is likely superimposed thoracic limb tissue. No pleural effusion. Normal tracheal diameter in position. No esophageal dilation._x000D_
_x000D_
In the abdomen there is small volume gas in the stomach. The gastric wall appears thickened, likely due to minimal distention. Small bowel are mildly filled with fluid and gas. Ovoid 0.9 cm mineral density overlying the urinary bladder on the right lateral view extends slightly cranial to the bladder on the left lateral projection and is likely incidental Bates body. The liver, spleen, and kidneys are normal size and shape.</t>
  </si>
  <si>
    <t>1. Faint bronchial markings suggestive of chronic airway inflammation such as asthma. Otherwise normal thorax._x000D_
2. Normal abdomen. A reason for intermittent vomiting is not identified.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</si>
  <si>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mineral opaque feces are present in the colon.  The urinary bladder is small.  The kidneys are small.  The remaining abdominal organs are normal.</t>
  </si>
  <si>
    <t>Constipation.  Small kidneys suggestive of chronic renal disease.  Radiographically normal thorax for patient of this age.</t>
  </si>
  <si>
    <t xml:space="preserve">
1.This result does NOT detect pleural fissure lines._x000D_
2.This result detects a minimal to moderate bronchial pulmonary pattern._x000D_
3.This result detects a minimal to mild interstitial pulmonary pattern._x000D_
4.This result does NOT detect an alveolar pulmonary pattern._x000D_
5.This result does NOT detect soft tissue pulmonary nodules._x000D_
6.This result detects equivocal/borderline to mild, or rarely moderate to severe cardiomegaly.</t>
  </si>
  <si>
    <t>3 views of the entire body are provided for review. There is a mild bronchial pattern in all lung lobes.  The cardiovascular structures are normal.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</si>
  <si>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Patient Name : Petie Pie Mangina, Date of study: Feb 28, 2024
4 images are provided for review
There are no previous radiographs for comparison.
Findings: The radiological examination revealed no evidence of  bronchiectasis, pulmonary vessel enlargement, pulmonary nodules, thoracic lymphadenopathy, or cardiomegaly.  
A minimal diffuse bronchial  pattern is suspected.
The colon contains a moderate to large volume of gas or segmentally contains a moderate volume of well-defined partially mineralized material with admixed gas.   The rectum contains similar material.  In the ventrodorsal image, the colon wall is minimally spastic.  The colon wall is smooth and well-defined in the lateral images.  The small intestine contains mild fluid or is empty, and minimal gas.  The small intestine is uniform in size.  The stomach contains mild gas.  The stomach is normal in size.  Minimal gastric rugal folds are suspected in the ventrodorsal image.  Peritoneal serosal detail is adequate.  Retroperitoneal detail is adequate.   The liver is normal in size and shape.  The spleen is normal in size and shape. The kidneys are subjectively normal in size and shape without obvious mineral.  The urinary bladder is normal in size with smooth, well-defined margins and homogeneous soft tissue.
L7-S1 spondylosis deformans is present.  Mild bilateral coxofemoral joint osteoarthrosis is present.</t>
  </si>
  <si>
    <t>1. Moderate colonic material with/without colitis and partially desiccated fecal material.
- Dessicated fecal material may be due to underlying renal or systemic illness, and less likely primary colonic disease or occult stricture.
- There is no obvious evidence of an extrinsic colon/rectal obstruction (such as an occult mass).
2. There is no current evidence of small intestinal mechanical ileus.
3. Minimal diffuse bronchial pattern.  
- Differential diagnoses include fibrosis from prior disease, age-related changes, or unlikely infectious/immune-mediated lower airway disease.
4. L7-S1 spondylosis deformans 
5. Mild bilateral coxofemoral joint osteoarthrosis.</t>
  </si>
  <si>
    <t xml:space="preserve">Empirical therapy for gastroenterocolitis with/without colonic enema may be beneficial.  Consider abdominal ultrasonography for further evaluation.  Consider Gi panel, thyroid function testing, and CBC/serum biochemistry to screen for occult systemic disease if not already performed. Consider echocardiography for further evaluation of reported murmur.  Consider computed tomography of the head with/without rhinoscopy for further evaluation of reported nasal congestion.   Monitoring as directed or sooner if clinical signs acutely change, or worsen in the face of empirical therapy.  
</t>
  </si>
  <si>
    <t>Six orthogonal survey radiographs of the thorax and abdomen dated 28 February 2024 are available for review. There are no previous radiographs available for comparison. These images are submitted for assessment of the thorax._x000D_
_x000D_
Thorax: _x000D_
Airway findings: The cervical and thoracic trachea have a normal size, outline and position. The carina, tracheal bifurcation and mainstem bronchi are normal. There is moderate bronchointerstitial opacification of the right middle and right caudal ventral pulmonary parenchyma. Bronchointerstitial to alveolar opacification is present in the caudal subsegment of the left cranial lung lobe, causing a Lobar sign. There is rounding of the pulmonary lobes._x000D_
_x000D_
Cardiovascular findings: The cardiac silhouette is partially border effaced therefore size interpretation is limited. The cranial pulmonary vasculature is prominent. The caudal pulmonary vasculature is within upper normal limits. The mainstem vessels are normal._x000D_
_x000D_
Mediastinum and pleural space: Thin pleural fissure lines are present._x000D_
_x000D_
Abdomen: No significant abnormalities are detected._x000D_
_x000D_
Musculoskeletal findings: No significant abnormalities are detected.</t>
  </si>
  <si>
    <t>The findings are consistent with aspiration pneumonia or viral-bacterial lobar bronchopneumonia. Heart worm parasitic bronchitis is considered unlikely. Mild pleural effusion is likely present, most likely an inflammatory transudate.</t>
  </si>
  <si>
    <t>Treat empirically for aspiration pneumonia and repeat radiographs prior to end of therapy.</t>
  </si>
  <si>
    <t>Patient Name : Chewbacca Grant, Date of study: Feb 28, 2024
3 images are provided for review
Feline Thorax (3 Images) - 1 Vd, 2 Lateral
This examination is compared to prior dated February 15, 2024 and prior.  
Findings: 
The radiological examination reveals positive findings for bronchitis and diseased lung. In the left lateral and ventrodorsal images, minimal generalized cardiomegaly is suspected.  In the ventrodorsal image, the base of the cardiac silhouette is slightly rounded with a convex left lateral margin.  The previously identified interstitial to alveolar pattern in the right middle lung lobe is not identified on this examination.  
There are negative findings for pulmonary nodules, pleural effusion, and redundant trachea membrane. Additionally, no signs of bronchiectasis, pulmonary vessel enlargement or pulmonary hypoinflation were detected. The patient also shows no evidence of pericardial effusion or esophagitis. Pneumonia was not present in the examined images. Focal caudodorsal lung disease and focal perihilar conditions were not observed either. There is no indication of thoracic lymphadenopathy or interstitial abnormalities in the radiographic study. 
The included musculoskeletal structures are normal.</t>
  </si>
  <si>
    <t xml:space="preserve">1. Minimal generalized cardiomegaly such as from evolving cardiomyopathy (hypertrophic versus thyrotoxic or unlikely other) versus individual variation of normal of phase of the cardiopulmonary cycle.
  - There is no evidence of left-sided congestive heart failure.  
2. Mild diffuse bronchial pulmonary pattern due to infectious/immune-mediated lower airway disease (mycoplasma spp. versus other), with/without fibrosis from prior disease, age-related changes, or unlikely other.  
3. Resolved right middle lung lobe alveolar pattern.  </t>
  </si>
  <si>
    <t xml:space="preserve">Empirical therapy for underlying infectious/inflammatory lower airway disease and suspected prior aspiration pneumonia in the interim as needed.  Therapy for pneumonia 1-2 weeks past radiographic resolution is typically recommended.  Consider airway sampling may be beneficial in the management of this patient's coughing/dyspnea, especially if signs reoccur or worsen.  Consider echocardiography for further evaluation if clinically indicated.  Consider CBC/serum biochemistry to screen for occult systemic disease if not already performed.  Monitoring as directed.  </t>
  </si>
  <si>
    <t>Three radiographs of the thorax/abdomen are provided. Images dated February 17, 2024 are available for comparison. The cardiac silhouette and pulmonary vessels are normal size and shape. The well delineated ovoid 2.9 x 1.0 cm soft tissue density is again identified dorsal to the cranial sternum. Well-defined smoothly marginated 1.0 cm soft tissue opaque nodule in the left caudal lung lobe as before. No other pulmonary nodules. There is no pleural effusion. In the abdomen peritoneal detail is markedly poor, and abdomen is mildly pendulous. The stomach and small bowel contains small volume gas. Moderate volume of formed feces in the colon. Normal-sized kidneys. The gastric axis is in normal position indicating normal-sized liver. The spleen is obscured. No radiopaque urolithiasis.
(amended on 02/29/2024 06:27)
The images submitted are dated 2/28/24.</t>
  </si>
  <si>
    <t>This study is essentially unchanged compared to the previous images. There is persistent solitary pulmonary nodule and sternal lymphadenopathy, most consistent with neoplasia. Reactive sternal lymphadenopathy related to mycoplasma is given secondary consideration. I remain concerned about potential intra-abdominal neoplasia causing the hemorrhagic peritoneal effusion.</t>
  </si>
  <si>
    <t>3 views of the thorax are provided for review. There is a marked bronchial pattern in all lung lobes with prominent thickening of the bronchial walls.  The cardiovascular structures are normal.  The mediastinal and pleural structures are normal.  Cranial abdominal detail is poor.  The patient is thin, with tenting of the soft tissues over the dorsal spinous processes.</t>
  </si>
  <si>
    <t>Cachexia.  Severe bronchial pulmonary pattern.  Considerations include asthma, heartworm, lungworm, atypical infection, bronchitis.</t>
  </si>
  <si>
    <t xml:space="preserve">
1.This result detects a minimal to mild, or less commonly moderate interstitial pulmonary pattern.  _x000D_
2.This result detects a moderate to severe, or less commonly mild  bronchial pulmonary pattern._x000D_
3.Uncommonly, this result detects a minimal to mild alveolar pulmonary pattern._x000D_
4.This result commonly detects pulmonary soft tissue nodules and masses._x000D_
5.This result does not detect pulmonary vasculature enlargement._x000D_
6.This result detects no or equivocal/borderline cardiomegaly most commonly.  Rarely, this result detects mild or moderate cardiomegaly._x000D_
7.This result commonly detects minimal to mild, or rarely moderate pleural fissure lines/fluid.</t>
  </si>
  <si>
    <t>Study:_x000D_
Thoracic radiography: three images dated February 27, 2024_x000D_
_x000D_
Findings:_x000D_
The cardiac silhouette and pulmonary vasculature are normal in size. There is a moderate generalized bronchial pulmonary pattern. The pleural space is normal. There is no intrathoracic lymphadenopathy. The trachea is normal in diameter and course. The larynx is unremarkable. The stomach contains granular soft tissue material presumed to be ingesta. The included abdomen is otherwise unremarkable. The 13th ribs are hypoplastic.</t>
  </si>
  <si>
    <t>The moderate generalized bronchial pulmonary pattern may indicate allergic, inflammatory, infectious, parasitic or irritant bronchitis. Airway sampling, heartworm testing and Baermann fecal flotation can be considered for further evaluation. Alternatively, a treatment trial for asthma can be considered.</t>
  </si>
  <si>
    <t>Patient Name : Mufasa Zeyen, Date of study: Feb 27, 2024
4 images are provided for review
Feline Thorax (4 Images) - 2 Lateral, 2 Vd
There are no previous radiographs for comparison.
FINDINGS:  In the lateral images, the cardiac silhouette is slightly rounded at the base and the cardiac silhouette has a slight reniform shape. 
 In the ventrodorsal images, the cardiac silhouette is subjectively normal in size and shape.  A minimal diffuse bronchial and intermittent minimal interstitial pattern are present.  The pulmonary vasculature are subjectively normal in size and taper as expected in the periphery of the lungs.  The mediastinum and pleural space are normal.
Severe bilateral elbow joint osteoarthrosis is identified.  Multifocal thoracic spondylosis deformans is present.</t>
  </si>
  <si>
    <t>1. Minimal generalized atrial enlargement versus artifact from phase of the cardiopulmonary cycle.
This may be due to underlying suspected cardiomyopathy, especially given reported clinical history.  Consider hypertrophic, thyrotoxic or less likely other cardiomyopathy.
 - There is no evidence of cardiogenic pulmonary edema.  
2. Minimal diffuse bronchial and interstitial pattern due to fibrosis from prior disease, age-related changes, or and/or chronic lower airway disease.
3. Severe bilateral elbow joint osteoarthrosis.
4. Multifocal thoracic spondylosis deformans.</t>
  </si>
  <si>
    <t xml:space="preserve">Echocardiography and ECG for further evaluation of the suspected cardiomegaly and consider routine blood work, urinalysis and thyroid function testing if not recently performed.  If dyspnea manifests, consider repeat radiographs and diuretic therapy/oxygen therapy.  Consider rhinoscopy or computed tomography for further evaluation of reported sneezing if empirical therapy/supportive care for possible rhinitis fails to clear clinical signs in the interim.  Monitoring as directed.  </t>
  </si>
  <si>
    <t xml:space="preserve">
1.This result detects equivocal/borderline to mild cardiomegaly. _x000D_
2.This result detects a minimal, or rarely mild interstitial pulmonary pattern.  _x000D_
3.This result detects a minimal to mild, or rarely moderate bronchial pulmonary pattern._x000D_
4.Rarely, this result detects a minimal alveolar pulmonary pattern._x000D_
5.This result does not detect pulmonary vasculature enlargement._x000D_
6.Rarely, this result detects minimal pleural fissure lines/fluid.  </t>
  </si>
  <si>
    <t>Four radiographs of the thorax/abdomen are provided. The cardiac silhouette and pulmonary vessels are normal size and shape. There are numerous well-defined variably sized small round soft tissue opaque nodules measuring up to 0.5 cm throughout the lungs. No pleural effusion. No osseous abnormalities. In the abdomen there is no effusion or organomegaly. The gastrointestinal tract is minimally distended. No radiopaque foreign material or urolithiasis. There is smoothly lobulated 7.7 x 4.0 cm soft tissue opaque mass in the caudoventral extra-abdominal tissues.</t>
  </si>
  <si>
    <t>Caudoventral extra-abdominal mass consistent with the reported mammary lesion. No intra-abdominal abnormalities. There is diffuse pulmonary metastatic disease.</t>
  </si>
  <si>
    <t>no specific recommendations based on this study.</t>
  </si>
  <si>
    <t>Four radiographs of the thorax/abdomen are provided. The cardiac silhouette appears prominent on the lateral views. There is small volume fat encircling the heart on the VD view. There are mild bronchial markings throughout the lungs. Increased opacity with the appearance of lobar sign dorsal to the tracheal bifurcation on the left lateral views is likely pleural fat deposition. There is no pleural effusion. Pulmonary vessels are normal size. In the abdomen the stomach contains a large amount of soft tissue opacity. Small bowel are mildly filled with gas and soft tissue density. Formed feces and gas filled the colon. Normal size spleen, kidney, liver. No radiopaque cystic calculi. The reported left extra-abdominal mass is not definitively identified on this study.</t>
  </si>
  <si>
    <t>1. Mild bronchial pattern consistent with a history of asthma._x000D_
2. Suspect cardiomegaly is concerning for underlying cardiac disease. Artifact caused by adjacent fat deposition is also possible._x000D_
3. Normal abdomen.</t>
  </si>
  <si>
    <t>If the patient has a murmur or arrhythmia, an echocardiogram would be recommended.</t>
  </si>
  <si>
    <t>Thorax: The pulmonary parenchyma, cardiac silhouette, and pulmonary vasculature are unremarkable.  There is no evidence of pleural effusion or lymphadenopathy._x000D_
_x000D_
Abdomen: There is mild diffuse splenomegaly.  The liver is unremarkable.  There are no abnormalities involving the gastrointestinal tract or urinary tract.  Serosal detail is normal.</t>
  </si>
  <si>
    <t>Unremarkable thorax._x000D_
_x000D_
Mild diffuse splenomegaly.  Differential consideration include variation of normal, reactive process, extramedullary hematopoiesis, or possible neoplasia.</t>
  </si>
  <si>
    <t>Patient Name : Gansito Rosales, Date of study: Feb 26, 2024
3 images are provided for review
Feline Thorax (3 Images) - 2 Lateral, 1 Vd
There are no previous radiographs for comparison.
FINDINGS: A mild diffuse bronchial pattern is present.   A minimal diffuse interstitial pattern is present in the ventrodorsal image.  The cardiac silhouette, pulmonary vasculature, mediastinum and pleural space are normal.
The included musculoskeletal structures are normal.</t>
  </si>
  <si>
    <t xml:space="preserve">1. Mild diffuse bronchial and minimal interstitial pattern.  
- Differential diagnoses include infectious/immune-mediated lower airway disease such as from feline asthma and/or mycoplasma spp., bordetella spp., or parasitism, with/without fibrosis from prior disease/age-related changes.
</t>
  </si>
  <si>
    <t>Empirical therapy for infectious/inflammatory lower airway disease with/without airway sampling and fecal analysis/empirical deworming.  Monitoring as directed, or sooner if clinical signs fail to improve or worsen in the face of empirical therapy.</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</si>
  <si>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mineral opaque feces are present in the colon.  The urinary bladder is moderately distended.  The kidneys are small with irregular margins.  The remaining abdominal organs are normal.  Spinal alignment is normal with no consistently narrowed intervertebral disc spaces.  The coxofemoral joints are congruent.  No fractures or aggressive osseous lesions are seen.</t>
  </si>
  <si>
    <t>Chronic renal changes.  Constipation.  Radiographically normal thorax for patient of this age.</t>
  </si>
  <si>
    <t>A three view thoracoabdominal study is provided for interpretation._x000D_
_x000D_
The patient has thin underweight body condition._x000D_
The cardiovascular structures are within normal limits. The thorax appears hyperinflated. No pulmonary infiltrates or bronchial thickening are identified. No tracheal or esophageal abnormalities are seen._x000D_
The liver is mildly enlarged. The kidneys are small. Both kidneys have several small calculi. No mass lesions are seen. No dilation the stomach or small intestine is identified. The colon is moderately gas dilated. No wall thickening is seen. Serosal detail in the abdomen is poor.</t>
  </si>
  <si>
    <t>The hyperinflated appearance of the thorax and the poor abdominal serosal detail is most likely secondary to the thin body condition of the patient and lack of mediastinal and intra-abdominal fat._x000D_
No thoracic abnormalities felt to be clinically significant are identified._x000D_
The liver is mildly enlarged. This can be seen with many types of diffuse liver disease including hepatitis, metabolic or endocrine associated hepatopathies, lipidosis, or lymphoma. Clinical relevance in this case is unknown._x000D_
Both kidneys are small nephroliths. Chronic kidney disease is likely. Relevance to the current present condition should be correlated with labwork abnormalities._x000D_
The colon is gas dilated. This is most commonly an incidental finding but could be associated with colitis in this patient considering the history of diarrhea.</t>
  </si>
  <si>
    <t>A specific explanation for the primary complaint of vomiting and diarrhea is not identified. Infiltrative intestinal disease such as lymphoma, IBD, or infectious enteritides should be ruled out._x000D_
Ultrasound the abdomen is suggested to evaluate the layering pattern and thickness of the intestine._x000D_
_x000D_
The kidneys are small. Kidney dysfunction should also be ruled out as a contributor to the clinical signs._x000D_
_x000D_
CBC, serum chemistry, and urinalysis is recommended.</t>
  </si>
  <si>
    <t xml:space="preserve">
1.This result detects mild or less commonly equivocal/borderline cardiomegaly. _x000D_
2.This result detects a minimal to mild interstitial pulmonary pattern.  _x000D_
3.This result detects a minimal to mild, or uncommonly moderate bronchial pulmonary pattern._x000D_
4.Rarely, this result detects a mild alveolar pulmonary pattern._x000D_
5.This result does not detect pulmonary vasculature enlargement._x000D_
6.This result does not detect pleural fissure lines/fluid.  </t>
  </si>
  <si>
    <t>Two radiographs of the abdomen dated 26 February 2024 are available for review. There are no previous radiographs available for comparison. _x000D_
_x000D_
Intra-abdominal findings: On either side of the urinary bladder and there is a smoothly marginated viscus, superimposed on the bladder margins in the lateral image. At the tip of the bladder in the lateral image there is faint irregular/linear mineral opacity. This cannot be visualised on the ventrodorsal. The urinary bladder is moderately filled. The hepatic silhouette is normal in size with smooth borders. The spleen is normal in shape, size and position. The kidneys are partially obscured by gastrointestinal contents, but the visible aspect are normal. The stomach contains granular food material. The small intestines are distributed evenly and are within normal limits for shape, size and contents. The ascending, transverse and descending colon have a normal position and contain gradually more formed faeces. The serosal detail is normal._x000D_
_x000D_
Extra-abdominal findings: No significant abnormalities are detected._x000D_
_x000D_
Included thorax: No significant abnormalities are detected.</t>
  </si>
  <si>
    <t>1. The soft tissue opacities are consistent with partially distended uterine horns  consistent with the reported history. No foetal skeleton is visible. _x000D_
 The mineralised opacity may be part of uterine involution, or remnant of a deceased foetus, less likely mineral debris within the tip of the urinary bladder.</t>
  </si>
  <si>
    <t>Ultrasonic evaluation may be considered. Alternatively, observational/empiric management for uterine involution is advised.</t>
  </si>
  <si>
    <t>Four orthogonal survey radiographs of the thorax and abdomen and 3 radiographs of the pelvis and pelvic limbs dated 26 February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unremarkable. No nodules or masses are seen._x000D_
_x000D_
Cardiovascular findings: The cardiac silhouette has a mild Valentine shape in the ventral dorsal image, slightly rounded on the lateral images. The pulmonary vasculature is normal. The mainstem vessels are normal._x000D_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There is a moderate amount of granular food material intermixed with mineral debris and gas in the stomach. On the left lateral image there is filling of the pylorus, with soft tissue opaque material and some bony fragments. The small intestines are distributed evenly and are within normal limits for shape, size and contents. The ascending, transverse and descending colon have a normal position and contain gradually more formed faeces. The urinary bladder is normal. The serosal detail is normal._x000D_
_x000D_
Musculoskeletal findings: The vertebral column is normal.  The iliosacral joints are symmetric. There is good coverage of the femoral heads by the acetabuli.  No degenerative remodelling is noted at the acetabular rim and femoral heads and there is good articular congruency. The pelvic and caudal thigh musculature is symmetric.The patella are in an anatomical position. Both stifle joints are normal. The included tarsi are normal. No localised or diffuse soft tissue swelling is noted.</t>
  </si>
  <si>
    <t>1. The cardiac findings may be positional, however early hypertrophic cardiomyopathy (idiopathic, thyrotoxic) should be considered._x000D_
2. The gastric findings may be post-prandial, however the soft tissue and mineral in the pylorus may indicate partial pyloric outflow obstruction (gravel sign). This needs to be correlated with the time of last feeding and any vomiting. Otherwise normal post-prandial abdomen._x000D_
3. No musculoskeletal findings can explain the presenting signs. Generalised weakness due to systemic disease should be considered. Extradural compression of the spinal cord causing paresis is considered unlikely.</t>
  </si>
  <si>
    <t>A complete neurologic evaluation is advised. Consider T4 testing, ECG, blood pressure measurements and echocardiography. Consider complete post fasting abdominal ultrasonographic examination.</t>
  </si>
  <si>
    <t>4 images of the entire body are provided for review.  The cardiac silhouette is mildly widened with mild rounding of the left ventricular border.  No pulmonary infiltrates are seen.  The pulmonary vasculature is normal in size.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</si>
  <si>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6 images of the thorax and abdomen are provided for review. The cardiovascular structures are normal. There is a diffuse bronchial pulmonary pattern. No pulmonary nodules or enlarged intrathoracic lymph nodes are seen. The pleural and mediastinal structures are normal. Abdominal serosal detail is adequate. The stomach contains ingesta with mineral. The small intestines are normal in size. Gas and feces are present in the colon. The remaining abdominal organs are normal.</t>
  </si>
  <si>
    <t>Gastric mineral contents. Diffuse bronchial pulmonary pattern=ZZ90= consider asthma, heartworm, lungworm, bronchitis.</t>
  </si>
  <si>
    <t xml:space="preserve">
1.This result detects a minimal to mild, or rarely moderate interstitial pulmonary pattern.  _x000D_
2.This result does not detect pulmonary vasculature enlargement._x000D_
3.This result does not detect pleural fissure lines/fluid.  _x000D_
4.This result detects equivocal/borderline to mild cardiomegaly. _x000D_
5.This result detects a minimal to mild, or rarely moderate bronchial pulmonary pattern._x000D_
6.Rarely, this result detects a minimal to mild alveolar pulmonary pattern.</t>
  </si>
  <si>
    <t>Orthogonal radiographs of the thorax/abdomen are provided. The cardiac silhouette is normal size on the lateral view. The heart appears somewhat larger on the VD projection due to adjacent fat deposition and partial expiration. There are no abnormalities in the pulmonary parenchyma or pleural space. Normal tracheal diameter and position. No esophageal dilation. In the abdomen there is large volume gas filling the stomach. Small bowel are minimally distended. Moderate volume formed feces in the colon. No radiopaque foreign material. Normal-sized liver, spleen, kidneys. There is the appearance of a round 5.2 cm soft tissue opacity in the cranial right quadrant on the VD projection, not appreciated on the lateral view. Punctate nephrolith is likely incidental. The urinary bladder is not included on the lateral views. No osseous abnormalities.</t>
  </si>
  <si>
    <t>Soft tissue contour in the cranial right quadrant on the VD projection is most likely incidental appearance caused by normal liver with summating stomach and adjacent caudal lung margin. A mass lesion originating from the liver is given lesser consideration. Otherwise normal abdomen and thorax.</t>
  </si>
  <si>
    <t>Recommend visual inspection of the pharyngeal/laryngeal region to further workup the gagging behavior. A CBC, blood chemistry profile, and abdominal ultrasound should also be considered.</t>
  </si>
  <si>
    <t xml:space="preserve">
1.This result detects mild to moderate, or less commonly equivocal/borderline cardiomegaly._x000D_
2.Rarely,  this result detects minimal pleural fissure lines/fluid.  _x000D_
3.This result detects minimal to mild, mixed interstitial and bronchial pulmonary patterns._x000D_
4.This result does NOT detect an alveolar pulmonary pattern.  _x000D_
5.Uncommonly, this result detects minimal to mild pulmonary vasculature enlargement.</t>
  </si>
  <si>
    <t>Cleo Shannon. Date of study: 02/24/24. Abdominal radiography (2 view, 3 images. 1 VD, 2 Lateral). No prior radiographs are available for comparison. _x000D_
_x000D_
Liver: The liver is normal in size and shape. The caudoventral margins are normal._x000D_
_x000D_
Spleen: The spleen is normal in size and shape with well-defined margins._x000D_
_x000D_
Kidneys: The kidneys are normal in size and shape. Punctate mineral opacity is present overlaying the left kidney. _x000D_
_x000D_
Urinary bladder: The urinary bladder is moderately distended with smooth, well-defined margins and homogeneous soft tissue opacity. No mineral is identified._x000D_
_x000D_
Gastrointestinal: The stomach is empty. On the left lateral projection, the pylorus is appropriately gas filled. The small intestine diffusely contains gas, fluid and is overall uniform in size. The colon contains an increased amount of formed fecal material and gas. There is no evidence of mechanical obstruction. _x000D_
_x000D_
Peritoneum: The serosal detail is normal._x000D_
_x000D_
Musculoskeletal: The musculoskeletal structures are unremarkable.</t>
  </si>
  <si>
    <t>1. The mineral opacities in the left kidney may represent nephroliths and/or nephrocalcinosis. No evidence of obstruction. _x000D_
2. Mild urinary bladder distension. No radiopaque calculi evident in bladder or urethra. Non-radiopaque bladder stones may be present. Bladder neck neoplasia is considered less likely. Voluntary retention is possible._x000D_
3. Mild constipation. This may be secondary to mild dehydration secondary to chronic kidney disease.</t>
  </si>
  <si>
    <t>UA and culture if not recently performed. Abdominal ultrasound for further evaluation of liver and kidneys given elevated bloodwork values and continued polydypsia.</t>
  </si>
  <si>
    <t>Three orthogonal radiographs of the abdomen dated 24 February 2024 are available for review. There are no previous radiographs available for comparison. _x000D_
_x000D_
Intra-abdominal findings: There is a moderate amount of gas in the stomach, with a normal axis. There is appropriate gas in the pylorus on the left lateral image. The small intestines are diffusely moderately to severely dilated with only gas. The ascending, transverse and descending colon are also completely gas dilated.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A mild to moderate bronchointerstitial pattern is present throughout the lung parenchyma.</t>
  </si>
  <si>
    <t>1. Moderate to severe gas filling of the entire gastrointestinal tract: This may be due to severe aerophagia secondary to respiratory difficulty. Alternatively, a diffuse enteropathy such as infectious-inflammatory gastroenteritis should be considered, however some gastrointestinal signs would be expected._x000D_
2. Diffuse moderate bronchointerstitial pattern: Consideration should be given to normal ageing/fibrosis from previous disease. Allergic bronchitis, chronic bacterial /viral bronchitis +/- parasitic bronchitis should also be considered. Less likely are hyperardenocorticism, neoplasia (such a lymphoma) or idiopathic pulmonary fibrosis.</t>
  </si>
  <si>
    <t xml:space="preserve">
1.This result detects mild to moderate cardiomegaly._x000D_
2.This result does NOT detect  an alveolar pulmonary pattern._x000D_
3.This result does NOT detect soft tissue pulmonary nodules.  _x000D_
4.This result does NOT detect pleural fissure lines. _x000D_
5.This result detects a minimal to mild bronchial pulmonary pattern._x000D_
6.This result detects a minimal to mild interstitial pulmonary pattern.</t>
  </si>
  <si>
    <t>4 images of the entire body are provided for review. There is a severe bronchial pattern in all lung lobes.  The cardiovascular structures are normal.  An apparent mediastinal shift is secondary to obliquity in the thoracic region.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</si>
  <si>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Severe bronchial pulmonary pattern.  Considerations include asthma, heartworm, lungworm, atypical infection, bronchitis.</t>
  </si>
  <si>
    <t xml:space="preserve">
1.This result does not detect pulmonary vasculature enlargement._x000D_
2.This result detects a minimal to mild interstitial pulmonary pattern.  _x000D_
3.This result detects a minimal to mild, or rarely moderate bronchial pulmonary pattern._x000D_
4.Rarely, this result detects a minimal alveolar pulmonary pattern._x000D_
5.Rarely, this result detects minimal pleural fissure lines/fluid.  _x000D_
6.This result detects none, or equivocal/borderline to moderate cardiomegaly. </t>
  </si>
  <si>
    <t>Evaluate the need/benefit of a bronchoscopy with BAL, culture, cytology, Baermann test and deworming.</t>
  </si>
  <si>
    <t>3 views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large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</si>
  <si>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inflammatory bowel disease, infiltrative neoplasia, etc.  Abdominal ultrasound could be considered in further evaluation.  Cardiomegaly without current evidence of cardiogenic pulmonary edema.</t>
  </si>
  <si>
    <t>Three radiographs of the thorax/abdomen are provided. The cardiac silhouette and pulmonary vessels are normal size and shape. There are no abnormalities in the pulmonary parenchyma or pleural space. Normal tracheal diameter. Degenerative change noted within the elbows. In the abdomen the urinary bladder is poorly delineated but likely obscured by adjacent bowel loops and superimposed pelvic limbs. No radiopaque urolithiasis is appreciated. Large volume gas and formed feces in the colon. Small intestines are moderately filled with gas and fluid. Large volume formed soft tissue opaque ingesta in the stomach. The appearance of round ring-like 2.8 cm soft tissue density in the lateral left abdomen is incidental appearance of a loop of small bowel. Normal size kidneys, liver, spleen. No significant osseous abnormalities.</t>
  </si>
  <si>
    <t>Small intestinal functional ileus, a nonspecific finding that may be due to stress/discomfort, metabolic abnormality, primary intestinal disorder, sedation. Otherwise normal abdomen and thorax. No evidence of radiopaque urolithiasis.</t>
  </si>
  <si>
    <t>A CBC, blood chemistry profile, and urinalysis are recommended.</t>
  </si>
  <si>
    <t>Orthogonal thoracoabdominal views are provided. Previous radiographs dated 2-15-24 compared._x000D_
_x000D_
There is a mild increase in the volume of small intestinal gas. Most of the visible intestines have a thickened appearance. None appear fluid dilated in the current study. The overall increase in intestinal diameter appears to be consistent with wall thickening rather than pathologic bowel distention. No plication is seen. There is a small to moderate quantity of amorphous soft tissue dense ingesta in the stomach which is compatible with food. There is a small quantity of soft appearing fecal material in the colon. The other organs are within normal limits._x000D_
The cardiopulmonary structures are within normal limits._x000D_
There is severe narrowing and curved contour involving the lumbosacral joint which is compatible with congenital deformity.</t>
  </si>
  <si>
    <t>In the current study, the intestines are gas filled and have a thickened appearance. The appearance of fluid dilation seen in the previous study is no longer present._x000D_
Infiltrative intestinal disease should be ruled out with more advanced imaging such as ultrasound. Primary rule outs would include inflammatory bowel disease, lymphoreticular neoplasia, and infectious enteritides.</t>
  </si>
  <si>
    <t>Ultrasound is recommended to assess the layering pattern and thickness of the small intestine.</t>
  </si>
  <si>
    <t>Patient Name : Florence Horton, Date of study: Feb 23, 2024
3 images are provided for review
Feline Thorax (3 Images) - 2 Lateral, 1 Vd
There are no previous radiographs for comparison.
FINDINGS: In the right lateral image and ventrodorsal image, the base of the cardiac silhouette is equivocally rounded. In the right lateral image, pulmonary vasculature in the caudodorsal lung is prominent, but this is less well-identified in the alternate image.   A mild diffuse bronchial pattern is present. The mediastinum and pleural space are normal.  The included musculoskeletal structures are normal.</t>
  </si>
  <si>
    <t xml:space="preserve">1. Mild diffuse bronchial pattern due to fibrosis from prior disease, age-related changes, infectious/inflammatory lower airway disease (mycoplasma spp. versus parasitism such as aleurostrongylus spp.) and/or unlikely other.
2. Equivocal cardiomegaly and atrial enlargement.  
- This may be due to artifact from phase of the cardiopulmonary cycle versus evolving cardiomyopathy or least likely evolving heartworm disease.  
- There is no evidence of cardiogenic pulmonary edema.    </t>
  </si>
  <si>
    <t xml:space="preserve">Depending on results of pending diagnostics, consider echocardiography.  In the interim, empirical therapy for infectious/inflammatory lower airway disease or anti-parasitics depending on fecal analysis result.  Recheck radiographs as directed, or sooner if signs acutely change or worsen.  If suspected cardiomegaly persists or progresses, consider echocardiography if not already performed.  </t>
  </si>
  <si>
    <t>Three view orthogonal radiographs (5 images) of the thorax and cranial abdomen dated February 23, 2024, are available for interpretation. No prior images are available for comparison.
The cat was sedated with 2 mg/kg (10 mg) alfaxolone, 0.2 mg/kg (1.0 mg) butorphanol, and 0.1 mg/kg (0.5 mg) midazolam IM.
Thorax:
Airway/pulmonary: The caudal lungs have a diffuse, mild interstitial pattern. On the VD projection, a portion of this appearance may be secondary to hypoinflation however the interstitial pattern is more severe in the caudal lung lobes. No nodules or masses are noted.
Cardiovascular: The cardiac silhouette is mildly enlarged. The pulmonary vasculature is also mildly distended only on the non-inflated lateral thorax but normal on the inflated lateral thoracic radiographs. The pulmonary vasculature tapers normally. The descending aorta is normal. The CVC is normal.
Mediastinum: A subtle soft tissue opacity overlies the region dorsal to the S2-3 region on all lateral projections. Gas is present in the thoracic esophagus on the lateral projections. Mild gas dilation of the nasopharynx is also present on the lateral projections. 
Pleural space: Normal. No pneumothorax noted.
Cranial abdomen: Cranial abdominal detail is normal. The stomach is empty.
Msk: Normal</t>
  </si>
  <si>
    <t>1) Minimal cardiomegaly with rounded appearance to the cardiac silhouette. No evidence of heart failure on this study with the interstitial pattern attributed to pulmonary hypoinflation.
2) Gas in the thoracic esophagus. Gas dilation of the nasopharynx. DDx: secondary to sedation vs. consider an upper airway partial obstruction given the nasopharyngeal gas dilation.</t>
  </si>
  <si>
    <t>See same day cardiac and abdominal ultrasound reports. No contraindications to thyroid scan or I-131 therapy.
Repeat thoracic radiographs at the time of repeat cardiac ultrasound. Further evaluation of the upper airway if stridor or stertor are present.</t>
  </si>
  <si>
    <t xml:space="preserve">
1.This result does not detect pulmonary vasculature enlargement._x000D_
2.This result detects equivocal/borderline to mild cardiomegaly. _x000D_
3.This result detects a minimal to mild interstitial pulmonary pattern.  _x000D_
4.This result detects a mild, or rarely moderate bronchial pulmonary pattern._x000D_
5.Rarely, this result detects a minimal alveolar pulmonary pattern._x000D_
6.Rarely, this result detects minimal pleural fissure lines/fluid.  </t>
  </si>
  <si>
    <t>Orthogonal radiographs of the thorax, and three views of the abdomen are provided. Images dated 7/3/23 were reviewed for comparison. There is rounding of the left ventricle, and the heart appears prominent on both views. This is more pronounced than on the previous study. Pulmonary vessels are normal size. There is arborizing mineral density in the cranioventral lungs, similar to the previous study and consistent with incidental vascular mineralization/granuloma. No soft tissue pulmonary nodules or pleural effusion. Normal tracheal diameter._x000D_
_x000D_
In the abdomen there is no effusion. The liver and spleen are normal size. The kidneys are obscured. The stomach contains small volume soft tissue opaque ingesta. The small bowel are diffusely moderately filled with a mixture of fluid and gas. Large volume gas and formed feces fills the colon. No radiopaque cystic calculi. The suspect mass lesion previously seen in the lateral right abdomen is not appreciated today. There are loops of bowel in this area. Moderate degenerative change in the right coxofemoral joint.</t>
  </si>
  <si>
    <t>1. Mild cardiomegaly, slightly progressed since the previous study and consistent with cardiomyopathy. There is no evidence of heart failure._x000D_
2. Small intestinal functional ileus, present on the previous study. This is a nonspecific finding that may be due to stress/discomfort, sedation, enteritis, or other primary gastrointestinal disorder. No other abdominal abnormalities.</t>
  </si>
  <si>
    <t>An echocardiogram is recommended. Abdominal ultrasound could also be considered but is given secondary priority to an echocardiogram.</t>
  </si>
  <si>
    <t>6 images of the thorax are provided for review. There is a moderate bronchial pattern in all lung lobes.  The cardiovascular structures are normal.  The mediastinal and pleural structures are normal.  Cranial abdominal detail is adequate.</t>
  </si>
  <si>
    <t>Study:_x000D_
Thoracic radiography: right lateral and orthogonal views (two images dated February 22, 2024_x000D_
_x000D_
Findings:_x000D_
The cardiac silhouette is accentuated by pericardial fat but is normal in size and shape. The pulmonary vasculature is normal in size. There is a mild to moderate generalized bronchial pulmonary pattern. The pleural space is normal. There is no intrathoracic lymphadenopathy. The trachea is normal in diameter. The included abdomen is normal. No skeletal abnormalities are present.</t>
  </si>
  <si>
    <t>1. There is no radiographic evidence of heart disease. Consider echocardiography for further evaluation of the reported heart murmur._x000D_
2. In the absence of any reported coughing, the generalized bronchial pulmonary pattern may indicate subclinical allergic/inflammatory bronchitis (asthma). Infectious, parasitic and inhaled irritant etiologies are considered unlikely. Airway sampling plus/minus heartworm testing and Baermann fecal flotation can be considered if the patient begins to exhibit any coughing or wheezing.</t>
  </si>
  <si>
    <t>3 views of the abdomen are presented for review.  Serosal detail is adequate in all quadrants.  The stomach contains a small amount of gas.  The small intestines are normal in size.  Gas and feces are present in the colon.  The urinary bladder is small.  The remaining abdominal organs are normal.</t>
  </si>
  <si>
    <t>Radiographically normal abdomen.  This does not rule out gastroenteritis, inflammatory bowel disease, etc.</t>
  </si>
  <si>
    <t>Orthogonal whole body and abdominal radiographs (5 images) dated February 22,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The intrathoracic esophagus is mildly distended with gas. No intrathoracic lymphadenopathy is evident._x000D_
The liver is moderately enlarged. The spleen is unremarkable in size and shape. Both kidneys are normal in size and shape. The urinary bladder is small and fluid opaque. The stomach contains an atypical and moderate amount of gas and small amount of fluid. The small intestine is unremarkable in size, course, and content and is mostly empty/collapsed. The colon contains unremarkable appearing stool and has a normal course. There is mildly reduced peritoneal detail just caudal to the stomach. The remainder the peritoneal space is normal. Retroperitoneal detail is normal. No regional lymphadenopathy is evident._x000D_
No aggressive or clinically significant osseous pathology is identified.</t>
  </si>
  <si>
    <t>1. Non-obstructive gastroenteritis.  The reduced peritoneal detail just caudal to the stomach is concerning for pancreatitis vs. mesenteric inflammation from gastroenteritis vs. less likely a mass. Rule out dietary indiscretion or toxin vs. food allergy/intolerance vs. flareup of a chronic enteropathy (ex: IBD or GI LSA) vs. GI infectious vs. systemic/extra GI causes (liver or kidney injury/disease, endocrine disorder, systemic infection, non-GI neoplasia)._x000D_
2. Esophageal distention with gas is suggestive of esophagitis. A true dysmotility is unlikely._x000D_
3. Hepatomegaly. Rule out a benign metabolic/vacuolar hepatopathy vs. hepatitis/cholangiohepatitis vs. infiltrative round cell neoplasia.</t>
  </si>
  <si>
    <t>Supportive care with fluid rehydration, antiemetics, gastroprotectants/omeprazole, and bland diet.  General health profile (CBC, chemistry, UA, FeLV/FIV, fecal), fPLI, and abdominal ultrasound.</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</si>
  <si>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is present in the colon.  The urinary bladder is distended.  The remaining abdominal organs are normal.</t>
  </si>
  <si>
    <t>Prominent rugal folds consistent with gastritis.  This does not rule out underlying pancreatitis or infiltrative neoplasia.  Radiographically normal thorax for patient of this age.</t>
  </si>
  <si>
    <t>Moderate bronchial pulmonary pattern.  Considerations include asthma, heartworm, lungworm, atypical infection, bronchitis.  No radiographic evidence of aspiration type pneumonia.</t>
  </si>
  <si>
    <t>Given the lack of cardiomegaly but reported history, consider a cardiology consultation with ECG and echocardiogram.</t>
  </si>
  <si>
    <t>Three orthogonal radiographs of the abdomen dated 21 February 2024 are available for review. There are no previous radiographs available for comparison. _x000D_
_x000D_
Intra-abdominal findings: The hepatic silhouette is normal. There is a moderate amount of gas in the stomach with a normal axis. The small intestines are variably filled with either fluid/soft tissue opaque material or gas. There are some mild to moderately distended loops of small intestines. There is some significantly gas distended loops, however these are most likely part of the ascending transverse and descending colon. Formed faeces are present in the distal descending colon. The urinary bladder is normal. The serosal detail is normal. The kidneys are partially obscured by gastrointestinal contents, but the visible aspect are normal. The head of the spleen is normal._x000D_
_x000D_
Extra-abdominal findings: No significant abnormalities are detected._x000D_
_x000D_
Included thorax: No significant abnormalities are detected.</t>
  </si>
  <si>
    <t>1. The partial gas dilation of small intestinal loops is concerning for a partial obstruction by non-radiopaque foreign material, potentially in the distal aspect of the small intestines. However, a non-specific gastroenteritis due to dietary indiscretion or infectious-inflammatory reasons should equally be considered. The gas in the stomach may be due to aerophagia secondary to distress, or a gastritis. There is no evidence for pyloric outflow obstruction.</t>
  </si>
  <si>
    <t>Supportive management including rehydration, gastroprotectants,  full blood work,   is advised, if not already performed. Repeat 3-view radiographs depending on clinical progression or consider an abdominal ultrasound.</t>
  </si>
  <si>
    <t>Opposite lateral and ventrodorsal whole body radiographs (5 images) dated February 21, 2024._x000D_
_x000D_
_x000D_
_x000D_
The cardiac silhouette, pulmonary vasculature, and great vessels are within normal limits. The pulmonary parenchyma as a moderate diffuse bronchial pattern with a milder unstructured interstitial component. No pulmonary nodules, alveolar infiltrates, or other pathology is detected. The pleural space and diaphragm are normal. No mediastinal abnormalities are appreciated. The trachea is normal in diameter and course with gas filling its lumen. The intrathoracic esophagus is mildly gas distended. No intrathoracic lymphadenopathy is evident._x000D_
The liver and spleen are normal in size and shape. The stomach contains a mild volume of gas. The small intestine is empty/collapsed and has an unremarkable course. The colon contains a small amount of normal appearing stool and also has a normal course. Both kidneys are normal in size and shape. The urinary bladder is small and fluid opaque. Retroperitoneal and peritoneal detail are normal. No regional lymphadenopathy is evident._x000D_
No aggressive or clinically significant osseous pathology is identified. The patient is of appropriate body condition with no evidence of cachexia or obesity.</t>
  </si>
  <si>
    <t>Bronchitis. Rule out eosinophilic/feline asthma vs. infectious (bacterial or parasitic [including heartworm]) vs. chronic inhaled irritants._x000D_
Unremarkable abdomen.</t>
  </si>
  <si>
    <t>6 images of the thorax are provided for review. There is a moderate bronchial pattern in all lung lobes.  The cardiovascular structures are normal.  Fat is present in the pericardium.  The mediastinal and pleural structures are normal.  Cranial abdominal detail is adequate.</t>
  </si>
  <si>
    <t>3 views of the thorax are provided for review. The cardiovascular structures are normal. There is a marked bronchial pattern in all lung lobes. The right middle and left cranial lung lobes are partially collapsed. No pulmonary nodules or enlarged intrathoracic lymph nodes are seen. The pleural and mediastinal structures are normal. Cranial abdominal detail is adequate.</t>
  </si>
  <si>
    <t>Severe bronchial pulmonary pattern consistent with chronic lower airway disease such as asthma or bronchitis. Partial collapse of lung lobes are likely secondary to bronchial plugging.</t>
  </si>
  <si>
    <t>Two orthogonal thoracic radiographs dated 21 February 2024 are available for review. These are compared with previous radiographs dated 7 February 2024_x000D_
_x000D_
Airway findings: The cervical and thoracic trachea have a normal size, outline and position. The carina, tracheal bifurcation and mainstem bronchi are normal. The thoracic volume is increased. Throughout the lung parenchyma there is a bronchial opacification. There is partial collapse of the right middle lung lobe causing a Lobar sign. There is reduction in volume of the right cranial lung lobe. This is mildly improved in comparison with previous radiographs._x000D_
_x000D_
Cardiovascular findings: The cardiac silhouette is partially effaced. The overall silhouette is within normal is for size. The visible pulmonary vessels are normal._x000D_
_x000D_
Mediastinum and pleural space: There is mild ventral soft tissue opacification. This has reduced in comparison with previous radiographs._x000D_
_x000D_
Musculoskeletal findings: No significant abnormalities are detected._x000D_
_x000D_
Included abdomen: No significant abnormalities are detected.</t>
  </si>
  <si>
    <t>1. Diffuse moderate bronchial pattern with collapse of the right middle lung lobe likely due to mucous plugging is most consistent with feline asthma. Infectious-inflammatory bronchitis, environmental bronchitis is considered less likely. The reduction of pleural effusion is likely due to the diuretic therapy.</t>
  </si>
  <si>
    <t>Human digits are visible in the central beam. Please adhere to ALARA principles for your own safety. _x000D_
Respiratory workup including CBC, serum chemistry, urinalysis, Baermann faecal testing, 4DX, +/- respiratory panel as indicated is advised.  Alternatively, empirical therapy for feline asthma, empirical deworming, and removal of allergens and environmental irritants (i.e. smoke, dust, perfumes, etc.) can be considered. If the patient=ZZ91=s signs continue despite supportive care, bronchoscopy/BAL vs. endotracheal wash +/- consultation with an Internist should be considered.</t>
  </si>
  <si>
    <t>WHOLE-BODY (three radiographs for review). No previous for comparison._x000D_
_x000D_
- Peritoneal serosal detail is normal._x000D_
- Stomach contains a moderate gas and mild gas stippled soft-tissue opaque material._x000D_
- Small intestine mild multifocal gas and homogenous soft-tissue/fluid._x000D_
- Colon contains formed fecal material and gas._x000D_
- Liver, spleen, kidneys, urinary bladder and remaining abdominal structures normal._x000D_
- Cardiac silhouette, pulmonary parenchyma, pulmonary vasculature, pleural space, trachea, mediastinum, esophagus and remaining included intrathoracic structures unremarkable._x000D_
- Included musculoskeletal structures normal.</t>
  </si>
  <si>
    <t>1. The appearance of the stomach is nonspecific and may be compatible with a combination of aerophagia and generalized functional ileus. Otherwise, the abdomen is unremarkable and there is no evidence of small intestinal foreign material and/or mechanical obstruction. If clinically indicated, consider abdominal ultrasound for further assessment._x000D_
_x000D_
2. Normal thorax.</t>
  </si>
  <si>
    <t>THORAX (four radiographs for review). No priors._x000D_
_x000D_
- Excessive body habitus._x000D_
- Rightward mediastinal shift._x000D_
- Moderate diffuse bronchial pattern with pulmonary hyperinflation, resulting in a tenting of the diaphragm. On the lateral projections, a thickened pleural lining of the lung can be appreciated caudodorsally._x000D_
- Marked enlargement of the aortic root. Cardiac silhouette otherwise remains within normal limits for size, shape and margins._x000D_
- Remaining intrathoracic structures normal.</t>
  </si>
  <si>
    <t>1. The appearance of the lungs and airways are compatible with a severe, chronic lower airway disease with chornic pleuritis/pleural fibrosis. Although primary consideration would be feline asthma, especially given the patient is a purebred cat and is young, bronchitis of infectious parasitic, bacterial or inhaled irritant etiologies remain possible. Consider empirical treatment for lower airway disease and if the patient does not improve or worsens, internal medicine consultation and/or thoracic CT with lower airway sampling (e.g. BAL) might be reasonable._x000D_
_x000D_
2. The presence of a prominent aortic root in a cat is typically incidental, however has been associated with systemic hypertension. This is a surprising finding in a cat is young as one year of age, and for this reason systemic blood pressure measurement and echocardiography/ECG may be reasonable in this case (especially if there is a murmur audible)._x000D_
_x000D_
3. Mildly excessive body habitus.</t>
  </si>
  <si>
    <t xml:space="preserve">
1.This result detects equivocal/borderline to moderate cardiomegaly._x000D_
2.This result does NOT detect soft tissue pulmonary nodules.  _x000D_
3.This result does NOT detect pleural fissure lines._x000D_
4.This result detects a mild to severe bronchial pulmonary pattern._x000D_
5.This result detects a minimal to mild interstitial pulmonary pattern._x000D_
6.Rarely, this result detects a minimal to moderate alveolar pattern. </t>
  </si>
  <si>
    <t>THORAX (four radiographs for review). No priors._x000D_
_x000D_
- moderate-to-severe cardiomegaly._x000D_
- Mild distention of the pulmonary arteries._x000D_
- Mild to moderate bilateral pleural effusion causing a rounding of the lung lobe margins and multiple widen pleural fissure lines. The retracted lung lobes have mildly irregular margins and mild unstructured interstitial pattern._x000D_
- Mild distention of the caudal vena cava._x000D_
- Remaining intrathoracic structures within normal limits._x000D_
- Mild hepatomegaly._x000D_
- Heterogeneous decrease in peritoneal serosal detail._x000D_
- Stomach is mildly distended with gas and mild gas stippled soft-tissue opaque material._x000D_
- Small intestine mild multifocal gas and soft-tissue opaque material._x000D_
- Colon relatively large amount of gas and heterogeneous, formed fecal material.</t>
  </si>
  <si>
    <t>1. Moderate to severe cardiomegaly with bicavitary effusion (pleural, peritoneal), caudal vena cava distention and hepatomegaly raises concern for congestive heart failure (mostly right sided, however given the patient is a cat and feline heart failure is complex/atypical, concurrent left-heart failure is possible as well). Primary consideration would be cardiomyopathy (e.g. hypertrophic, restrictive, unclassified). Given the size of the cardiac silhouette, a pericardial effusion is not excluded.  I would recommend considering initiation of therapy for congestive heart failure, diagnostic thoracocentesis/abdominocentesis if able, and echocardiography/ECG for further assessment. Recheck radiographs may also be of utility to assess the heart size and volume of effusion with therapy._x000D_
_x000D_
2. Aerophagia.</t>
  </si>
  <si>
    <t>Right lateral and ventrodorsal thoracic radiographs (2 images) dated February 20, 2024._x000D_
_x000D_
The cardiac silhouette is normal in size and shape on the lateral view. There is mild widening of the cardiac silhouette at the level of the cranial heart based on the VD projection. The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mostly empty stomach, included bowel segments, and cranial peritoneal detail are normal._x000D_
No aggressive or clinically significant osseous pathology is identified.</t>
  </si>
  <si>
    <t>1. Mild widening of the cardiac base on the VD view is concerning for mild cardiomegaly. Rule out a thyrotoxic or primary cardiomyopathy vs. artifactual finding due to silhouetting pericardial fat. There is no evidence of heart failure._x000D_
2. The remainder of the thorax is normal.</t>
  </si>
  <si>
    <t>Systemic blood pressure evaluation and cardiac proBNP testing. If abnormal, consider echocardiogram.</t>
  </si>
  <si>
    <t>A two view thoracoabdominal study is provided for interpretation._x000D_
_x000D_
There is a moderate bronchial pulmonary pattern involving all lung fields. There is also a mild diffuse increase in interstitial lung opacity. No pulmonary nodules or pleural effusion are identified. The cardiac silhouette appears mildly enlarged secondary to increase pericardial fat. Actual heart size is suspected to be normal. Pulmonary vessels are normal. There are a few loops of small intestine that are slightly dilated. The other abdominal organs are unremarkable. Abdominal serosal detail is normal.</t>
  </si>
  <si>
    <t>There is a moderate bronchointerstitial pattern compatible with inflammatory lower airway disease._x000D_
Asthma would be most common, but considering the short-term history in this patient infectious bronchitis or viral pneumonitis should be ruled out. Although less common, parasitic infection such as lungworms or heartworm disease should also be ruled out.</t>
  </si>
  <si>
    <t>CBC, Baermann fecal exam for lungworms, and heartworm testing is recommended._x000D_
_x000D_
Antibiotic therapy should be considered, especially if infectious disease is supported by the lab work._x000D_
_x000D_
If clinical signs persist, sampling from the lower airways via BAL/TTW should be considered for cytology and culture.</t>
  </si>
  <si>
    <t>Six orthogonal survey radiographs of the thorax and abdomen dated 20 February 2024 are available for review. There are no previous radiographs available for comparison. _x000D_
_x000D_
Airway findings: The trachea, carina and mainstem bronchi are within normal limits for width and position. The pulmonary parenchyma is within normal limits for age.  _x000D_
_x000D_
Cardiovascular findings: The cardiac silhouette has a normal position, shape and size. The pulmonary vasculature and caudal vena cava are unremarkable. _x000D_
_x000D_
Mediastinum and pleural space:  There is no evidence of thoracic lymphadenomegaly or pleural effusion. _x000D_
_x000D_
Musculoskeletal findings: No significant abnormalities are detected.  _x000D_
_x000D_
Abdomen: The hepatic silhouette is normal in size with smooth borders. The spleen is normal in shape, size and position. The kidneys are partially obscured by gastrointestinal contents, but the visible aspect are normal. The stomach contains some granular food material. The small intestines are distributed evenly and are within normal limits for shape, size and contents. The ascending, transverse and descending colon have a normal position and contain an increased amount of compacted faeces. The serosal detail is normal._x000D_
_x000D_
Musculoskeletal findings: There is minor coxofemoral osteoarthritis.</t>
  </si>
  <si>
    <t>1. Normal thorax._x000D_
2. The mild constipation present may be due to diet and inactivity, however mild dehydration secondary to chronic kidney disease should be considered.</t>
  </si>
  <si>
    <t>Human digits are visible in the central beam. Please adhere to ALARA principles for your own safety. _x000D_
Consider dietary management, full blood work and urinalysis, potentially abdominal ultrasonography for evaluation of chronic kidney disease.</t>
  </si>
  <si>
    <t>WHOLE-BODY (three radiographs for review). No previous for comparison._x000D_
_x000D_
- Mild diffuse bronchial pattern._x000D_
- Cardiac silhouette, pulmonary vasculature, pleural space, trachea, mediastinum and remaining included intrathoracic structures normal._x000D_
- Peritoneal serosal detail normal._x000D_
- Stomach mild to moderate gas and mild gas stippled soft-tissue opaque material._x000D_
- Small intestine homogenous soft-tissue/fluid, mild gas and a few weeks contain heterogeneous mineral opaque material._x000D_
- colon mild gas and desiccated formed fecal material._x000D_
- Liver, spleen, kidneys, urinary bladder and will included musculoskeletal structures normal.</t>
  </si>
  <si>
    <t>1.  Moderate diffuse bronchial pattern. Most compatible with chronic lower airway.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Aerophagia and mild constipation. Otherwise relatively unremarkable abdomen.</t>
  </si>
  <si>
    <t>A two view study of the thorax that includes most of the abdomen is provided._x000D_
_x000D_
The heart is within normal size and shape limits. Pulmonary vessels are normal. No pulmonary infiltrates or pleural effusion are identified. Bronchial markings are slightly increased, but within the limits of age related change. The stomach and the colon are mildly gas distended. The small intestine is unremarkable. Both kidneys are smaller than normal. A small calculus is suspected in the right kidney. There is moderate cranial lumbar spondylosis.</t>
  </si>
  <si>
    <t>No cardiovascular abnormalities are seen in the radiographs. Ventricular hypertrophy compatible with HCM could still be present without radiographic abnormalities._x000D_
_x000D_
The mild gas dilation the stomach and colon is most likely a transient incidental finding. Follow up imaging to assess gastric motility and function may be indicated if relevant clinical signs of GI disease are present._x000D_
The kidneys are small, most likely secondary to chronic generalized nephrosis.</t>
  </si>
  <si>
    <t>No cardiac abnormalities are seen in the radiographs. Echocardiography could be considered for more complete evaluation.</t>
  </si>
  <si>
    <t xml:space="preserve">
1.This result does not detect pleural fissure lines/fluid.  _x000D_
2.This result detects equivocal/borderline to mild cardiomegaly. _x000D_
3.This result does not detect pulmonary vasculature enlargement._x000D_
4.This result detects a minimal to mild, or rarely moderate interstitial pulmonary pattern.  _x000D_
5.This result detects a minimal to mild, or rarely moderate bronchial pulmonary pattern._x000D_
6.Rarely, this result detects a minimal to mild alveolar pulmonary pattern.</t>
  </si>
  <si>
    <t>WHOLE-BODY (three radiographs for review). No previous for comparison._x000D_
_x000D_
- Fairly large, well-defined, rounded soft-tissue opaque mass in the right caudal lung lobe measuring 4 x 2.5 cm._x000D_
- mild rightward mediastinal shift._x000D_
- Mild unstructured interstitial pattern in the right lung lobes._x000D_
- Moderate diffuse bronchial pattern._x000D_
- Cardiac silhouette, pulmonary vasculature, pleural space and remaining included intrathoracic structures unremarkable._x000D_
- Stomach mildly to moderately distended with gas._x000D_
- Small intestine mild multifocal gas and soft-tissue opaque material._x000D_
- Colon gas and desiccated formed fecal material._x000D_
- Kidneys small mineral opacities superimposed over the margins bilaterally._x000D_
- Spleen, urinary bladder normal._x000D_
- Included musculoskeletal structures normal.</t>
  </si>
  <si>
    <t>1. Fairly large right caudal lung lobe mass. Primary consideration is neoplasia (e.g. pulmonary carcinoma). Nonneoplastic etiologies such as pulmonary abscess, granuloma or cyst are possible but less likely. The lesion seems fairly peripheral and may be amenable to fine needle aspiration under ultrasound guidance. Thoracic CT and/or recheck radiographs may be considered for further evaluation. Consultation with a veterinary oncologist is reasonable._x000D_
_x000D_
2.  Moderate diffuse bronchial pattern. Most compatible with chronic lower airway disease. The primary differential diagnosis is feline asthma. Chronic bronchitis of infectious (e.g. parasitic, bacterial) vs. inhaled irritant or allergic etiologies may also be possible. Consider empirical treatment for asthma/chronic lower airway disease._x000D_
_x000D_
3. Bilateral nephrolithiasis._x000D_
_x000D_
4. Mild constipation._x000D_
_x000D_
5. Aerophagia.</t>
  </si>
  <si>
    <t>Thorax: The cardiac silhouette and pulmonary vasculature are unremarkable.  On the lateral view there is a wispy soft tissue opacity superimposed over the cranial dorsal aspect of the cardiac silhouette.  This is not identified on the ventrodorsal views.  There is a moderate amount of pericardial fat.  There are no abnormalities involving the pulmonary parenchyma.  There is no evidence of pleural effusion or lymphadenopathy.  There is moderate bilateral shoulder osteoarthrosis.</t>
  </si>
  <si>
    <t>The wispy soft tissue opacity superimposed over the cardiac silhouette may represent a summation artifact with moderate amount of pericardial fat.  Alternatively this may represent lower airway disease or less likely pneumonia.</t>
  </si>
  <si>
    <t>Opposite lateral and ventrodorsal thoracic and abdominal radiographs (6 images) dated February 19, 2024._x000D_
_x000D_
_x000D_
The cardiac silhouette, pulmonary vasculature, and great vessels are within normal limits. The pulmonary parenchyma has mild bronchial markings. No pulmonary nodules, infiltrates, or other pathology is detected. The pleural space and diaphragm are normal. No mediastinal abnormalities are appreciated. The trachea is normal in diameter and course with gas filling its lumen. No intrathoracic lymphadenopathy is evident._x000D_
The liver and spleen are normal in size and shape. The stomach is mildly distended with homogeneous soft-tissue/fluid content and and a small volume of gas. The small intestine has a mild and unremarkable variation in diameter with the more distended segments containing gas. The course of the small bowel is unremarkable. The colon contains normal appearing stool mixed with gas and has a normal course. Both kidneys are normal in size and shape. The urinary bladder is small and fluid opaque. Retroperitoneal and peritoneal detail are normal. No regional lymphadenopathy is evident._x000D_
No aggressive or clinically significant osseous pathology is identified.</t>
  </si>
  <si>
    <t>1. Mild bronchial pattern is suspicious for bronchitis. Rule out eosinophilic/feline asthma vs. infectious (bacterial or parasitic [including heartworm]) vs. chronic inhaled irritants. Remainder of the thorax is normal._x000D_
2. No definitive abnormalities are identified in the gastrointestinal tract. There is no convincing evidence of a gastrointestinal mechanical obstruction.  Rule out dietary indiscretion or toxin vs. food allergy/intolerance vs. flareup of a chronic enteropathy (ex: IBD or GI LSA) vs. GI infectious vs. systemic/extra GI causes (liver or kidney injury/disease, pancreatitis, endocrine disorder, systemic infection, non-GI neoplasia).</t>
  </si>
  <si>
    <t>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unknown._x000D_
_x000D_
Supportive care with fluid rehydration, antiemetics, gastroprotectants/omeprazole, and bland diet.  General health profile (CBC, chemistry, UA, fecal) +/- fPLI could be considered to screen for underlying causes. Abdominal ultrasound could also be considered.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</si>
  <si>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  The irregular soft tissue mass is seen in the subcutaneous tissues of the right axilla.</t>
  </si>
  <si>
    <t>Radiographically normal abdomen.  Radiographically normal thorax for patient of this age.  Right axillary soft tissue mass.</t>
  </si>
  <si>
    <t>WHOLE-BODY (3 radiographs for review). No previous for comparison._x000D_
_x000D_
- Prominent and enlarged aortic root._x000D_
- Remainder of the cardiac silhouette within normal limits for size, shape and margins._x000D_
- Pulmonary vasculature normal._x000D_
- Pulmonary parenchyma, pleural space, trachea, mediastinum and remaining intrathoracic structures are normal._x000D_
- Excessive body habitus._x000D_
- Stomach markedly distended with gas._x000D_
- Small intestine, colon, liver, kidneys, urinary bladder normal_x000D_
- Included musculoskeletal structures normal.</t>
  </si>
  <si>
    <t>1. An enlarged aortic root may be an incidental finding in an older cat, however has been associated with systemic hypertension, which in this case given that there is a reported cardiac murmur may be causing secondary concentric cardiac hypertrophy (although the heart is within normal size in this study). A primary cardiomyopathy (e.g. hypertrophic, restrictive, unclassified) does still remain possible. Consider systemic blood pressure measurement and echocardiography for further assessment._x000D_
_x000D_
2. Otherwise normal thorax._x000D_
_x000D_
3. Aerophagia. Otherwise normal abdomen._x000D_
_x000D_
4. Excessive body habitus</t>
  </si>
  <si>
    <t>A distinct cause for the reported ADR is not clearly identified in this examination. Abdominal ultrasound may be considered for further assessment.</t>
  </si>
  <si>
    <t>THORAX and ABDOMEN (three total radiographs for review). No previous for comparison._x000D_
_x000D_
- Mild diffuse bronchial pattern._x000D_
- Cardiac silhouette, pulmonary vasculature, pleural space, trachea, mediastinum and remaining intrathoracic structures unremarkable._x000D_
- Peritoneal serosal detail normal._x000D_
- Stomach, small intestine, colon, liver, spleen, kidneys and included portions of the caudal abdomen normal._x000D_
- Included musculoskeletal structures within normal limits._x000D_
- Excessive body habitus.</t>
  </si>
  <si>
    <t>1. Mild diffuse bronchial pattern. Most compatible with chronic lower airway disease.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Excessive body habitus.</t>
  </si>
  <si>
    <t>Three radiographs of the thorax, and three views of the abdomen are provided. Images dated 4/7/23 are available for comparison. The cardiac silhouette is normal size and shape. There is a small area of increased opacity with suspect small air bronchograms cranioventral to the heart on the right lateral view, the affected area appearing smaller than on the previous study, however there is fat deposition along the ventral thorax on this view. On the VD projection, there is soft tissue opacity in the cranial left thorax, increased in size compared to the previous study. No pleural effusion. Faint bronchial markings are present as before, likely incidental. Normal tracheal diameter. No esophageal dilation._x000D_
_x000D_
In the abdomen formed feces fills the colon. The fecal column is normal size for this patient, measuring up to 2.1 cm diameter. Small bowel are mildly filled with fluid and gas. The stomach is minimally distended. Normal size liver, kidneys, spleen. No radiopaque urolithiasis. No lumbar spinal abnormalities. The coxofemoral joints are congruent. Punctate mineral density in the cranial aspect of one of the stifle joints is incidental meniscal mineralization.</t>
  </si>
  <si>
    <t>1. The appearance of the left cranial lung is concerning for mild aspiration pneumonia, with the significant increased density seen on the VD projection felt to be due to fat deposition. A lung or pleural space mass lesion is not definitively ruled out. Otherwise normal thorax._x000D_
2. Normal abdomen. There is no evidence of constipation.</t>
  </si>
  <si>
    <t>Abdominal ultrasound is recommended. Ultrasound investigation of the left cranial thorax could be performed at the same time.</t>
  </si>
  <si>
    <t>Opposite lateral and ventrodorsal thoracic radiographs (3 images) dated February 19, 2024._x000D_
_x000D_
The cardiac silhouette is at the upper limits of normal size. The pulmonary vasculature and caudal vena cava are prominent in size, as is the aortic arch on the VD view. The pulmonary parenchyma is relatively hypoinflated and has very subtle bronchial markings as well as unstructured interstitial pattern. No pulmonary nodules, masses, or infiltrates identified. No intrathoracic lymphadenopathy is present. The trachea is normal in diameter and course with gas filling its lumen. The pleural space, mediastinum, and diaphragm are normal. The liver, empty stomach, and cranial peritoneal detail are normal._x000D_
No aggressive or clinically significant osseous pathology is identified.</t>
  </si>
  <si>
    <t>1. Mild bronchial markings are of unknown clinical relevance and may be incidental related to pulmonary hypoinflation or represent bronchitis/bronchiolitis (DDx: eosinophilic/feline asthma vs. infectious [bacterial or parasitic (including heartworm)] vs. chronic inhaled irritants)._x000D_
2. The cardiovascular structures are suspected to be incidental due to sedation. A pathologic process, such as anemia or cardiac disease (cardiomyopathy or congenital) is relatively unlikely.</t>
  </si>
  <si>
    <t>Six radiographs of the thorax and abdomen are provided. The cardiac silhouette and pulmonary vessels are normal size and shape. Caudal vena cava size is normal. There is a well-defined round 0.8 cm soft tissue opaque nodule in the caudal dorsal aspect of the left caudal lung lobe. Ovoid 2.2 x 1.2 cm soft tissue opacity dorsal to the cranial sternum. No pleural effusion. In the abdomen peritoneal detail is markedly poor. Gastric axis position is normal. The kidneys are normal size. The spleen is obscured. Moderate volume gas and soft tissue opaque ingesta fill the stomach. Several small mineral opaque fragments in the stomach and distal colon, incidental. No radiopaque urolithiasis. Mild degenerative change in the coxofemoral joints.</t>
  </si>
  <si>
    <t>Solitary pulmonary nodule, sternal lymphadenopathy, and moderate peritoneal effusion. With the confirmed hemorrhagic peritoneal effusion, neoplasia such as splenic hemangiosarcoma is most likely, with metastatic pulmonary nodule and sternal lymph node.</t>
  </si>
  <si>
    <t>Abdominal ultrasound could be considered to confirm a mass lesion and determine if there are multiple lesions which may preclude surgical intervention, although complete surgical resection is not possible due to the intrathoracic lesions.
(amended on 02/20/2024 08:09)
Discussed the case with Dr. Paredes. Patient is outdoors, known history is limited. After received vit K, PCV and patient status significantly improved. While coagulopathy (rat bait ingestion) is possible cause for hemoabdomen, the thoracic changes remain most consistent with neoplasia._x000D_
--The sternal lymphadenopathy is typically due to neoplasia (less likely inflammation) originating from the cranial abdomen._x000D_
--The lung nodule is well-delineated so not consistent with hemorrhage due to coagulopathy. Hemorrhagic pulmonary bullae can have this appearance, but the sternal lymph node enlargement makes neoplasia most likely.</t>
  </si>
  <si>
    <t>Three radiographs of the thorax and two views of the thoracic limbs are provided. The cardiac silhouette and pulmonary vessels are normal size and shape. On the VD projection there is the appearance of a thick-walled ovoid 1.2 x 0.8 cm lucent structure within the right 11th intercostal space, however this is not definitively seen on the other projections and may be artifact caused by summating rib and vessels. No pleural effusion. Normal cranial abdomen. No proximal thoracic limb osseous abnormalities. The left cubital joint and both carpal joints are congruent. No metacarpal or phalangeal osseous abnormalities. No definitive soft tissue swelling or emphysema, although soft tissue evaluation is limited by technique. The 2nd and 3rd phalanges are also superimposed limiting evaluation on the dorsopalmar view. On the edge of the left lateral thoracic limb image, there is a small area of suspect thickening in the cutaneous axillary tissues, but no definitive foreign material or mass lesion.</t>
  </si>
  <si>
    <t>1. Questionable cavitary nodule in the right caudal lung, concerning for neoplasia versus abscess. This could also be an artifact caused by summating normal anatomy. Otherwise normal thorax._x000D_
2. Equivocal mild left axillary soft tissue thickening. No other definitive thoracic limb abnormalities.</t>
  </si>
  <si>
    <t>A spread-toe lateral view could be considered to further evaluate the phalanges. With the lack of improvement despite antibiotics, cytology/histopathology of the digit may be necessary for a definitive diagnosis.</t>
  </si>
  <si>
    <t>Thorax. Four radiographs (3 laterals, 1 VD) of the thorax/abdomen dated February 17, 2024 are provided. As requested, the thorax is interpreted. _x000D_
_x000D_
Pulmonary: There is a moderate to marked diffuse bronchial pattern. The small airways are thickened and conspicuous. There are several small nodule-like foci scattered throughout the pulmonary parenchyma, many of which have a gas-filled center (airway). There are branching linear foci in the cranioventral and right caudodorsal thorax, thought to be bronchial plugs. _x000D_
_x000D_
Cardiovascular: The cardiac silhouette and pulmonary vessels are within normal limits. _x000D_
_x000D_
Mediastinum: The trachea is normal. There is no intrathoracic lymphadenopathy. _x000D_
_x000D_
Pleural space: The pleural space is normal, without effusion. _x000D_
_x000D_
Musculoskeletal: The skeletal structures are within normal limits.</t>
  </si>
  <si>
    <t>1. There is a moderate to marked bronchial pattern. Several soft tissue nodule-like foci are consistent with bronchial plugs and/or thickened airways. _x000D_
-These findings are most consistent with feline asthma. _x000D_
-Lung worm is also considered. _x000D_
-Bronchitis of infectious/inflammatory, irritant, and allergic etiologies cannot be excluded but is thought to be less likely. _x000D_
2. The cardiovascular structures are normal.</t>
  </si>
  <si>
    <t>-Treatment for feline asthma, including a bronchodilator, is recommended. _x000D_
-A Baermann fecal analysis is recommended to screen for lung worms. _x000D_
-If clinical signs do not improve, airway sampling would be recommended (respiratory PCR, lavage/wash).</t>
  </si>
  <si>
    <t xml:space="preserve">
1.Uncommonly, this result detects minimal to mild pulmonary vasculature enlargement._x000D_
2.This result detects mild to moderate cardiomegaly._x000D_
3.This result detects a minimal to mild, or rarely moderate interstitial pulmonary pattern._x000D_
4.This result detects a minimal to moderate bronchial pulmonary pattern._x000D_
5.Rarely, this result detects a minimal alveolar pulmonary pattern._x000D_
6.This result does not detect soft tissue pulmonary nodules._x000D_
7.Rarely, this result detects minimal pleural fissure lines/fluid.  </t>
  </si>
  <si>
    <t>Study:_x000D_
Thoracic/abdominal radiography: seven images dated February 16,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The small intestines are gas and fluid-filled and normal in size and course. The colon contains poorly formed fecal material. The liver and spleen are normal in size and margin. The kidneys are normal in size and contour. The urinary bladder is normal in size and opacity. The osseous structures are unremarkable.</t>
  </si>
  <si>
    <t>1. Unremarkable abdomen. A cause of the reported anorexia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 There is no radiographic evidence of cardiopulmonary disease.</t>
  </si>
  <si>
    <t>Patient Name : Kuzya Osnovsky, Date of study: Feb 16, 2024
3 images are provided for review
Feline Whole Body (3 Images) - 1 Vd, 2 Lateral
There are no previous radiographs for comparison.
FINDINGS: Throughout the lungs are multiple, well-defined, small soft tissue nodules.  The largest of these are in the caudal and ventral lungs in the left lateral image.  An interstitial to alveolar pattern is present in the right cranial and middle lung lobes.  Slight lobar margination with the right middle and caudal lung lobes is identified.  An alveolar pattern is suspected in the cranial subsegment of the left cranial lung lobe, best identified in the ventrodorsal image.  A well-defined air-bronchogram is in the left cranial lung lobe in the right lateral image. The lungs are hypoinflated, best identified in the lateral image.  Mild pleural fluid is present, with retraction of lung lobe margins from the ventral body wall, rounding of the lungs in the diaphragmatic recesses, and widening of pleural fissures between the right middle/caudal lung lobes.  A minimal underlying bronchial pulmonary pattern is suspected.  
The cranial mediastinum is normal.  The cardiac silhouette is normal.  The identified pulmonary arteries and veins are normal in size and subjectively taper as expected in the periphery of the lungs.
A moderate to severe volume of peritoneal fluid is present, and peritoneal serosal detail is reduced.  Fluid opaque striations are present throughout the abdomen.  The liver is equivocal enlarged and occupies approximately 4 intercostal spaces length, with slight caudal displacement of the gastric axis suspected. The urinary bladder is enlarged and homogeneous soft tissue.  The spleen is obscured without obvious enlargement.  The stomach contains gas and is normal in size.  The small intestine contains fluid or is empty, with a uniform population for size.  The colon contains mild soft tissue material and gas.  The kidneys are at the lower limits of normal size with smooth, well-defined margins and homogeneous soft tissue opacity.</t>
  </si>
  <si>
    <t>1. Multifocal small pulmonary soft tissue nodules such as from metastatic neoplasia, or less likely granulomatous/fungal disease (blastomycosis spp.) or other.  
2. Interstitial to alveolar pattern in the left cranial, right cranial and middle lung lobes.
- This may be due to evolving neoplasia (primary versus metastatic), versus hemorrhage, or less likely due to atelectasis from pleural fluid and/or underlying bronchial pulmonary pattern.bronchial plugging and infectious/inflammatory lower airway disease. 
3. Minimal underlying bronchial pulmonary pattern.  
4. Mild pleural effusion such as from  neoplastic effusion (primary/multicentric carcinoma), hemorrhage, or less likely other.
5. Moderate-severe peritoneal effusion such as from malignancy, hemorrhage, or less likely other.
6. Mild-moderate hepatomegaly due evolving neoplasia (primary or less likely other), or less likely hepatitis/cholangiohepatitis, or unlikely vacuolar change.
7. Equivocal small intestinal changes such as from systemic disease and/or non-specific enteritis.
8. Urine retention/urinary bladder enlargement due to behavioral etiologies versus urethral/uirinary bladder obstruction.
9. Equivocally small kidneys versus individual variation of normal.  
Differential diagnoses include evolving FIP infection with presumed infectious bronchopneumonia/pneumonitis from hematogenous spread/septic emboli versus atypical metastatic neoplasia (lymphosarcoma) such as from a primary pulmonary mass/lesion versus other primary carcinoma (i.e.: mammary gland).</t>
  </si>
  <si>
    <t xml:space="preserve">Recommendations:  Consider routine blood work, and thoracic/abdominal ultrasonography with thoracocentesis/abdominocentesis and fluid analysis/cytology.  Coagulation testing and hepatic tissue sampling, or possibly percutaneous sampling of a pulmonary nodule may be also be beneficial.  Oncologist consultation depending on results.  Empirical therapy and supportive care in the interim as needed.  if concern for urinary tract/urethral obstruction, consider urethral catheterization and confirm peritoneal fluid is not due to uroabdomen.  </t>
  </si>
  <si>
    <t xml:space="preserve">
1.This result detects equivocal/borderline to severe cardiomegaly._x000D_
2.This result detects a minimal to moderate bronchial pulmonary pattern._x000D_
3.This result detects a mild to moderate interstitial pulmonary pattern._x000D_
4.Rarely, this result detects a minimal to mild alveolar pulmonary pattern._x000D_
5.Rarely, this result detects minimal to mild pulmonary vasculature enlargement._x000D_
6.This result detect minimal to mild, or rarely moderate pleural fissure lines/fluid. </t>
  </si>
  <si>
    <t>THORAX (three radiographs for review). No priors._x000D_
_x000D_
- Diffusely throughout the pulmonary parenchyma there are numerous variably sized, well-defined from a rounded soft-tissue opaque nodules and small masses. At least one mass in the region of the right accessory lung lobe appears to have a centralized gas cavitation._x000D_
- Cardiac silhouette, pulmonary vasculature , pleural space, mediastinum normal._x000D_
- Remaining included intrathoracic structures unremarkable._x000D_
- Mild enlargement of the liver. The remaining cranial abdominal structures normal._x000D_
- Included musculoskeletal structures normal.</t>
  </si>
  <si>
    <t>1. This is a very interesting case. In consideration of the reported history, and furthermore noting the suspicion of lesional cavitation, the multifocal large pulmonary nodules/small masses are prioritized as pulmonary abscesses (secondary to anaerobic or aerobic bacterial etiologies). The second consideration would be parasitic cysts secondary to trematode infection (paragonimus kellicoti). Less likely pulmonary granulomas (such as from endemic fungal etiologies) or neoplasia. _x000D_
_x000D_
I would recommend considering a thoracic CT in this patient. Multiple of these nodules are peripherally located in the thorax and are theoretically amenable to fine needle aspiration/sampling via the ultrasound guidance. If antibiotics are to be initiated, recheck thoracic radiographs in 7-10 days or sooner if clinically indicated may be of utility to assess for improvement or worsening of the pulmonary changes._x000D_
_x000D_
I am very interested and invested in this case and would be very grateful for follow-up, especially if a diagnosis is reached. steven.robi.acvr=ZZ95=gmail.com</t>
  </si>
  <si>
    <t xml:space="preserve">
1.This result does not detect pulmonary vasculature enlargement._x000D_
2.Rarely, this result detects minimal pleural fissure lines/fluid._x000D_
3.This result detects no cardiomegaly to equivocal/borderline cardiomegaly. _x000D_
4.This result detects a minimal, or rarely mild interstitial pulmonary pattern._x000D_
5.This result detects a minimal  mild, or rarely moderate bronchial pulmonary pattern._x000D_
6.Rarely, this result detects a minimal alveolar pulmonary pattern._x000D_
7.This result does not detect pulmonary soft tissue nodules.</t>
  </si>
  <si>
    <t>THORAX (three radiographs for review). No priors._x000D_
_x000D_
- Moderate diffuse bronchial pattern._x000D_
- Moderate pulmonary hyperinflation._x000D_
- Tracheal undulation._x000D_
- Cardiac silhouette within normal limits for size, shape and margins. Pulmonary vasculature unremarkable._x000D_
- Mediastinum, esophagus and remaining included thoracic structures unremarkable._x000D_
- Moderate volume of gas in the stomach, which also contains mild gas stippled soft-tissue opaque material. _x000D_
- Mild hepatomegaly._x000D_
- Mild cranial lumbar spondylosis deformans.</t>
  </si>
  <si>
    <t>1.  Moderate diffuse bronchial pattern with pulmonary hyperinflation and tracheal undulation. Most compatible with chronic lower airway disease with secondary air-trapping.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The cardiac silhouette and pulmonary vasculature are within normal limits radiographically._x000D_
_x000D_
3. Mild hepatomegaly. DDx metabolic (vacuolar) hepatopathy, less likely cholangiohepatitis, congestion or neoplasia. If there is a history of hepatic enzyme elevation, sonographic assessment of the liver +/- FNA may be considered._x000D_
_x000D_
4. Aerophagia and recent meal.</t>
  </si>
  <si>
    <t>Thorax and skull. Three radiographs of the thorax (2 laterals, 1 VD) and three radiographs of the skull (DV, lateral, and oblique views) dated February 16, 2024 are provided. _x000D_
_x000D_
Thorax_x000D_
The pulmonary parenchyma is normal with no abnormal pattern, nodules, or masses. The cardiac silhouette and pulmonary vessels are within normal limits. There is no intrathoracic lymphadenopathy. The cranial mediastinum and pleural space are normal. The trachea is within normal limits. The cranial abdomen is unremarkable. The skeletal structures are within normal limits. _x000D_
_x000D_
Skull_x000D_
The right mandible is superimposed with the right nasal cavity on the DV view. There is no obvious lysis of the nasal turbinates or maxillary flat bones. There is not an increase of soft tissue and no subcutaneous/cutaneous thickening. The frontal sinuses and tympanic bullae are normal and gas-filled.</t>
  </si>
  <si>
    <t>1. A cause for the clinical signs is not identified. Infectious upper respiratory disease (i.e. rhinitis) is considered most likely._x000D_
2. Normal thorax.</t>
  </si>
  <si>
    <t>-Nasal sampling is recommended to guide treatment. _x000D_
-A skull CT could be considered for additional anatomic information.</t>
  </si>
  <si>
    <t xml:space="preserve">
1.Rarely, this result detects a minimal to mild alveolar pulmonary pattern._x000D_
2.This result does NOT detect pleural fissure lines.  _x000D_
3.This result detects mild to severe cardiomegaly._x000D_
4.This result detects minimal to mild, mixed interstitial and bronchial pulmonary patterns.</t>
  </si>
  <si>
    <t>ABDOMEN (three radiographs for review). No previous for comparison._x000D_
_x000D_
- Peritoneal serosal detail remains within normal limits._x000D_
- The stomach is markedly distended with multiple smoothly marginated, thick linear/curvilinear mineral opaque structures. A few of the structures proceed towards and potentially enter into the pyloric canal, however there there is no discrete evidence of small intestinal plication or pathologic segmental dilation._x000D_
- The visible small intestinal segments contain mild multifocal gas and soft-tissue opaque material. The colon contains formed fecal material and gas._x000D_
- The liver, spleen, kidneys, urinary bladder and remaining abdominal structures are normal._x000D_
- The included musculoskeletal structures and caudal portion of the thorax are normal.</t>
  </si>
  <si>
    <t>1. While there is no obvious extension of the large degree of foreign material (likely hair ties as is clinically suspected) within the stomach into the small intestinal tract, you may consider abdominal ultrasonography to rule this out and confirm the radiographic findings prior to endoscopic removal (or gastrotomy).</t>
  </si>
  <si>
    <t>Study:_x000D_
Thoracic/abdominal radiography: three images dated February 15,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gas and formed fecal material with a normal diameter. The liver and spleen are normal in size and margin. The kidneys are normal in size and contour. The urinary bladder is normal in size and opacity. The osseous structures are unremarkable.</t>
  </si>
  <si>
    <t>1. Unremarkable abdomen. A cause of the reported inappropriate defecation is not evident. Abdominal sonography can be considered for further evaluation before considering behavioral issues._x000D_
2. Normal thorax. There is no radiographic evidence of cardiopulmonary disease.</t>
  </si>
  <si>
    <t>Study:_x000D_
Thoracic radiography: three images dated February 15, 2024_x000D_
_x000D_
Findings:_x000D_
The cardiac silhouette is normal in size and shape. The pulmonary vasculature is normal in size. The pulmonary parenchyma is unremarkable. The pleural space is normal. There is no intrathoracic lymphadenopathy. The trachea is normal in diameter and course. The stomach contains heterogeneous soft tissue material presumed to be ingesta. No skeletal abnormalities are present.</t>
  </si>
  <si>
    <t>Normal thorax. There is no radiographic evidence of cardiopulmonary disease.</t>
  </si>
  <si>
    <t>There are no radiographic contraindications to anesthesia.</t>
  </si>
  <si>
    <t>THORAX (three radiographs for review). No priors._x000D_
_x000D_
- Excessive body habitus._x000D_
- Mild diffuse bronchial pattern._x000D_
- Mild generalized unstructured interstitial pattern._x000D_
- Prominent cardiac silhouette, most likely due to pericardiac/cranial mediastinal fat deposition. Pulmonary vasculature normal._x000D_
- Remaining included intrathoracic structures unremarkable._x000D_
- Stomach moderately distended with gas stippled/granular soft-tissue opaque material. The remaining cranial abdominal structures normal._x000D_
- Included musculoskeletal structures unremarkable.</t>
  </si>
  <si>
    <t>1. Mild diffuse bronchial pattern. Most compatible with chronic lower airway disease.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Recent meal and aerophagia._x000D_
_x000D_
3. Excessive body habitus with large degree of pericardiac fat deposition and secondarily prominent cardiac silhouette or less likely cardiovascular disease.</t>
  </si>
  <si>
    <t>Study:_x000D_
Thoracic and abdominal radiography: six images dated February 15,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large amount of unstructured heterogeneous soft tissue material, presumed to be ingesta, with interspersed granular mineral. Similar granular mineral is scattered throughout the small intestines. The small intestines are normal in size and course. The colon contains formed fecal material. The liver and spleen are normal in size and margin. The renal silhouettes are normal in size and contour. The urinary bladder is normal in size and opacity. No skeletal abnormalities are present.</t>
  </si>
  <si>
    <t>1. The granular mineral material throughout the gastrointestinal tract may indicate dietary indiscretion or may be an incidental finding depending on the contents of the patient=ZZ91=s normal diet and treats._x000D_
2. The abdomen is otherwise unremarkable._x000D_
3. Normal thorax. There is no radiographic evidence of cardiopulmonary disease.</t>
  </si>
  <si>
    <t>Abdominal sonography can be considered for further evaluation of the reported proteinuria.</t>
  </si>
  <si>
    <t>Opposite lateral and ventrodorsal thoracic radiographs (3 images) dated February 15, 2024 and compared to an anesthetized study from the day prior._x000D_
_x000D_
The pulmonary parenchyma is better inflated and has a diffuse bronchial pattern as well as a small triangular alveolar pattern in the right middle lung lobe._x000D_
The cardiac silhouette, pulmonary vasculature, and great vessels are within normal limits. The pleural space and diaphragm are normal. No mediastinal abnormalities are appreciated. The trachea is normal in diameter and course with gas filling its lumen. No intrathoracic lymphadenopathy is evident._x000D_
Stomach is dilated with a large amount of gas. The liver, kidneys, spleen, included bowel segments, and cranial peritoneal detail are normal.</t>
  </si>
  <si>
    <t>1. Diffuse bronchial pattern and small alveolar pattern in the right middle lung lobe coupled with the clinical history is strongly suggestive of bronchopneumonia._x000D_
2. Gas-filled stomach is concerning for aerophagia from respiratory distress.</t>
  </si>
  <si>
    <t>Initiate antibiotic therapy for bronchopneumonia and obtain recheck thoracic radiographs at day 12-14 of treatment to assess pulmonary clearance, or sooner if clinically indicated.</t>
  </si>
  <si>
    <t>Three orthogonal survey radiographs of the thorax and abdomen dated 15 February 2024 are available for review. There are no previous radiographs available for comparison. _x000D_
_x000D_
Thorax: _x000D_
Airway findings: The thorax is hypoinflated. There is mild opacification of the ventral aspects of the right middle lung lobe and caudal aspect of the left cranial lung lobe. The pulmonary parenchyma is otherwise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is mainly empty. The small intestines are empty. The descending colon is distended with compacted faeces. The urinary bladder is small. The serosal detail is normal._x000D_
_x000D_
Musculoskeletal findings: No significant abnormalities are detected.</t>
  </si>
  <si>
    <t>1. Moderate constipation is present. This may be due to an activity and diet, or due to subclinical dehydration secondary to kidney disease. There is no evidence for small intestinal obstruction._x000D_
2. The ventral opacification of the lung lobes is most likely due to dependency induced atelectasis.</t>
  </si>
  <si>
    <t>Empiric management of constipation is advised.</t>
  </si>
  <si>
    <t>SKULL (single lateral radiograph for review). No previous for comparison._x000D_
_x000D_
Please note that assessment of the skull is somewhat limited due to lack of an orthogonal projection._x000D_
_x000D_
- Subtle increase in soft-tissue opacity at the level of the larynx._x000D_
- Mild caudal displacement of the hyoid apparatus._x000D_
- Moderate dilation of the caudal portion of the pharynx/caudal nasopharynx._x000D_
- Oral cavity and dental structures relatively unremarkable._x000D_
- Nasal cavity, cranial, auditory system normal._x000D_
- Cranial cervical vertebral column unremarkable.</t>
  </si>
  <si>
    <t>1. This is a challenging case. I have compared these radiographs against multiple similar age-matched feline patients and I believe there is a subtle increase in soft-tissue opacity at the level of the larynx, which could suggest a laryngeal lesion such as laryngitis or neoplasia (lymphoma, carcinoma). The caudal displacement of the hyoid apparatus and mild dilation of the caudal pharynx would suggest some degree of upper airway obstruction. As the findings are subtle, I am uncertain if they are real, however no discrete additional abnormalities within the oral cavity and/or skull to otherwise explain the clinical signs are appreciated._x000D_
_x000D_
2. I have briefly looked at the thorax (mild bronchial pattern suggesting chronic lower airway disease) and the abdomen (solitary large cystolith)</t>
  </si>
  <si>
    <t>I would recommend a sedated oral examination, particularly of the caudal pharyngeal/laryngeal region and if there are visible abnormalities, tissue sampling such as fine needle aspiration or biopsy might be considered. Alternative diagnostics that may be of utility in this patient may include head/neck CT or MRI._x000D_
_x000D_
I am particularly invested in this case and would greatly appreciate any follow-up. steven.robi.acvr=ZZ95=gmail.com</t>
  </si>
  <si>
    <t>Study:_x000D_
Thoracic/abdominal radiography: five images dated February 14,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a moderate amount of unstructured heterogeneous soft tissue material. The small intestines are normal in size, course and content. The colon contains gas and formed fecal material. The liver and spleen are normal in size and margin. The kidneys are normal in size and contour. The urinary bladder is normal in size and opacity. The osseous structures are unremarkable/age appropriate.</t>
  </si>
  <si>
    <t>1. The mild generalized bronchial pulmonary pattern may indicate allergic/inflammatory bronchitis (asthma). Infectious, parasitic and irritant bronchitis are also possible. Airway sampling, heartworm testing and Baermann fecal flotation can be considered for further evaluation._x000D_
2. Gastric contents likely represent ingesta. Foreign material cannot be completely excluded. The abdomen is otherwise unremarkable. Repeat fasted radiography can be considered to ensure gastric emptying if clinically relevant based on recent dietary history.</t>
  </si>
  <si>
    <t>Study:_x000D_
Thoracic radiography: four images dated February 14, 2024_x000D_
_x000D_
Findings:_x000D_
There is incidental cranioventral rotation of the cardiac silhouette and redundancy of the aorta. The cardiac silhouette is accentuated by pericardial fat but is normal in size and shape (VHS approximately 7.5). The pulmonary vasculature is normal in size. There is a mild generalized bronchial pulmonary pattern. No pulmonary nodules or masses are present. The pleural space is normal. There is no intrathoracic lymphadenopathy. The trachea is normal in diameter and course. The stomach contains heterogeneous soft tissue material presumed to be ingesta. The osseous structures are unremarkable. The patient is of obese body condition.</t>
  </si>
  <si>
    <t>1. Test negative for pulmonary metastatic disease._x000D_
2. The generalized bronchial pulmonary pattern may indicate allergic/inflammatory bronchitis (asthma). Infectious, parasitic and irritant bronchitis are also possible. Correlate with any reported coughing. Airway sampling plus/minus heartworm testing and Baermann fecal flotation can be considered for further evaluation if clinically relevant.</t>
  </si>
  <si>
    <t>Opposite lateral and ventrodorsal thoracic radiographs (3 images) dated February 14, 2024._x000D_
_x000D_
_x000D_
The cardiac silhouette, pulmonary vasculature, and great vessels are within normal limits. The pulmonary parenchyma has a bronchial pattern that is mildly excessive for a juvenile cat. No pulmonary nodules, alveolar infiltrates, or other pathology is detected. The pleural space and diaphragm are normal. No mediastinal abnormalities are appreciated. The trachea is normal in diameter and course with gas filling its lumen. No intrathoracic lymphadenopathy is evident._x000D_
Included abdomen and the juvenile osseous structures are normal.</t>
  </si>
  <si>
    <t>The bronchial pattern is considered excessive for a juvenile cat and is concerning for bronchitis. Concurrent upper airway disease remains possible._x000D_
Rule out infectious (bacterial or parasitic [including heartworm]) vs. eosinophilic/feline asthma vs. unlikely chronic inhaled irritants.</t>
  </si>
  <si>
    <t>URI pharyngeal swab PCR panel and sedated upper airway exam +/- lower airway sampling (BAL or TTW). Heartworm testing and fecal parasite screening (float and Baermann).  Empirical anti-inflammatory steroidal therapy +/- antibiotic therapy is reasonable to consider.  Internal medicine consultation if the patient remains clinical despite treatment and the cause remains unknown.</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</si>
  <si>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The sixth sternal segment is displaced dorsally and cranially.</t>
  </si>
  <si>
    <t>Radiographically normal thorax for patient of this age.  Sternal luxation.</t>
  </si>
  <si>
    <t>Opposite lateral and ventrodorsal thoracic radiographs (3 images) dated February 14, 2024._x000D_
_x000D_
_x000D_
The cardiac silhouette, pulmonary vasculature, and great vessels are within normal limits. The pulmonary parenchyma is unremarkable with no nodules, infiltrates, or other pathology detected=ZZ90= the lungs are poorly inflated due to anesthesia, resulting in a generalized unstructured interstitial pattern and volume loss. The pleural space and diaphragm are normal. No mediastinal abnormalities are appreciated. Patient is intubated, and the trachea is normal in diameter and course with gas filling its lumen. No intrathoracic lymphadenopathy is evident. Initially the stomach contains a large amount of heterogeneous soft-tissue content and some gas, indicative that the patient was not fasted. An orogastric tube is visible in the latter part of the study, and which the esophagus is also fairly gas distended. The stomach is significantly less distended in the images with the orogastric tube placement.</t>
  </si>
  <si>
    <t>Unremarkable anesthetized thorax with no evidence of pneumonia.</t>
  </si>
  <si>
    <t>Close clinical monitoring over the next 36 hours, as peracute pneumonia can sometimes be radiographically delayed. Repeat radiographs as indicated._x000D_
For anesthetized patients containing thoracic radiographs, applying positive pressure ventilation is almost always recommended (20-25 mmHg) briefly for each image acquisition for better diagnostic quality and confidence.</t>
  </si>
  <si>
    <t>Three radiographs of the thorax and three views of the abdomen are provided. The cardiac silhouette and pulmonary vessels are normal size and shape. The heart appears larger on the VD projection due to adjacent fat deposition and partial expiration. A mild bronchial pattern is present in the lungs. There is no pleural effusion. No lobar collapse is appreciated. Normal cranial mediastinal width and tracheal diameter._x000D_
_x000D_
In the abdomen there is large volume gas in the stomach and throughout the small bowel. Formed feces fills the colon. Normal size kidneys, liver, spleen. No radiopaque cystic calculi. Moderate degenerative change in the coxofemoral joints, incidental today.</t>
  </si>
  <si>
    <t>1. Mild bronchial pattern consistent with chronic airway inflammation such as asthma. There is no evidence of cardiovascular disease or pneumonia._x000D_
2. Large volume gas throughout the gastrointestinal tract consistent with aerophagia. Otherwise normal abdomen.</t>
  </si>
  <si>
    <t xml:space="preserve">
1.This result detects a minimal, or rarely mild interstitial pulmonary pattern.  _x000D_
2.This result detects a minimal to mild, or rarely moderate bronchial pulmonary pattern._x000D_
3.This result does not detect an alveolar pulmonary pattern._x000D_
4.This result does not detect pulmonary vasculature enlargement._x000D_
5.This result detects equivocal/borderline to mild cardiomegaly. _x000D_
6.This result does not detect pleural fissure lines/fluid.  </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</si>
  <si>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Liver extends beyond the costal arch with sharp margins._x000D_
Multifocal signs of chronic IVDD.</t>
  </si>
  <si>
    <t>1) Unremarkable thorax without signs of cardiomegaly (this does not exclude a cardiomyopathy or a hyperthyroidism) pulmonary metastases nor signs of thoracic lymphadenopathy._x000D_
2) Hepatomegaly: Metabolic vs Vacuolar infiltration vs Hepatic nodular hyperplasia vs Inflammatory vs Toxic vs Neoplastic or a combination of these differentials.</t>
  </si>
  <si>
    <t>Given the lack of cardiomegaly but audible murmur, consider a cardiology consultation with ECG and echocardiogram and abdominal US to further evaluate the hepatic parenchyma.</t>
  </si>
  <si>
    <t xml:space="preserve">
1.This result detects equivocal/borderline to mild cardiomegaly. _x000D_
2.This result detects a minimal to mild interstitial pulmonary pattern.  _x000D_
3.This result detects a minimal to mild, or rarely moderate bronchial pulmonary pattern._x000D_
4.Rarely, this result detects a minimal alveolar pulmonary pattern._x000D_
5.This result does not detect pleural fissure lines/fluid.  _x000D_
6.This result does not detect pulmonary vasculature enlargement.</t>
  </si>
  <si>
    <t>Study:_x000D_
Thoracic and abdominal radiography: five images dated February 13, 2024_x000D_
_x000D_
Findings:_x000D_
The cardiac silhouette is normal in size and shape. The pulmonary vasculature is normal in size. The pulmonary parenchyma is unremarkable. The pleural space is normal. There is no intrathoracic lymphadenopathy. The stomach is empty. The small intestines are normal in size, course and content. The colon contains formed fecal material. The liver and spleen are normal in size and margin. The left kidney is severely small with smooth margins. The left kidney is normal in size and contour. The urinary bladder is unremarkable. No skeletal abnormalities present.</t>
  </si>
  <si>
    <t>1. Unremarkable thorax. A cause of the respiratory signs is not evident. Consider upper airway disease. Lack of a definitive bronchial pulmonary pattern does not exclude the possibility of allergic/inflammatory, infectious, irritant or parasitic bronchitis airway sampling plus/minus heartworm testing and Baermann fecal flotation can be considered to further evaluate for lower airway disease._x000D_
2. There is no radiographic evidence of heart disease._x000D_
3. Small size of the right kidney is indicative of chronic kidney disease. Correlate with renal values, SDMA testing and urinalysis.</t>
  </si>
  <si>
    <t>3 views of the thorax are provided for review. There is a severe bronchial pattern in all lung lobes.  There is rounding of the left ventricular border the mediastinal and pleural structures are normal.  Cranial abdominal detail is adequate.</t>
  </si>
  <si>
    <t>Severe bronchial pulmonary pattern.  Considerations include asthma, heartworm, lungworm, atypical infection, bronchitis.  Consider empiric therapy versus further diagnostics such as heartworm testing, Baermann fecal, airway sampling.  Mild cardiomegaly without current evidence of cardiogenic pulmonary edema.  Echocardiography, proBNP, and thyroid testing may be helpful in further evaluation.</t>
  </si>
  <si>
    <t>Opposite lateral and ventrodorsal thoracic radiographs (3 images) dated February 13,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Included osseous structures are unremarkable. The liver and empty stomach are normal.</t>
  </si>
  <si>
    <t>Normal cardiovascular structures and thorax. The cause for the murmur is not radiographically apparent. Rule out a subclinical thyrotoxic or primary cardiomyopathy vs. a benign or physiologic flow murmur.</t>
  </si>
  <si>
    <t>CBC, chemistry, UA, T4, systemic blood pressure evaluation, and cardiac proBNP testing. Followed by echocardiogram.</t>
  </si>
  <si>
    <t>Opposite lateral and ventrodorsal whole body radiographs (3 images) dated February 13, 2024._x000D_
_x000D_
The cardiac silhouette, pulmonary vasculature, and caudal vena cava are within normal limits. The descending thoracic aorta has an undulation in its course. The pulmonary parenchyma has mild diffuse bronchial markings. No pulmonary nodules, infiltrates, or other pathology is detected. The pleural space and diaphragm are normal. No mediastinal abnormalities are appreciated. The trachea is normal in diameter and course with gas filling its lumen. No intrathoracic lymphadenopathy is evident._x000D_
The liver and spleen are unremarkable in size and shape. Both kidneys are normal in size and shape. The urinary bladder is fairly distended with homogeneous fluid opacity. The stomach contains a small amount of heterogeneous soft-tissue content that most closely resembles normal ingesta. The small intestine is unremarkable in diameter and course with the more distended segments containing gas. The colon contains normal appearing stool and has a normal course. Retroperitoneal and peritoneal detail are normal. No regional lymphadenopathy is evident._x000D_
No aggressive or clinically significant osseous pathology is identified.</t>
  </si>
  <si>
    <t>1. Mild bronchial markings are suspicious for bronchitis. Note, however, the sneezing represents an upper airway issue. Rule out eosinophilic/feline asthma vs. infectious (bacterial or parasitic [including heartworm]) vs. chronic inhaled irritants._x000D_
2. Undulation of the descending thoracic aortic and represent an incidental finding or systemic hypertension._x000D_
3. Unremarkable postprandial abdomen.</t>
  </si>
  <si>
    <t>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unknown._x000D_
Systemic blood pressure evaluation.</t>
  </si>
  <si>
    <t>Opposite lateral and ventrodorsal thoracic radiographs (3 images) dated February 13,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The intrathoracic cranial esophagus is mildly gas-filled. The common pharynx and nasopharynx are moderately gas distended. No abnormalities are detected the nasopharynx. The soft palate is unremarkable. A subtle hazy increased soft-tissue opacity is appreciable in the region of the larynx. No intrathoracic lymphadenopathy is evident._x000D_
The liver, fluid filled stomach, and cranial peritoneal detail are normal._x000D_
No aggressive or clinically significant osseous pathology is identified. There is concern for mild epaxial muscle wasting with slightly protruding dorsal spinous processes and lumbar region.</t>
  </si>
  <si>
    <t>1. A definitive cause for the respiratory clinical signs is not apparent, and the thorax is normal. The subtle increase in soft-tissue opacity in the region of the larynx could represent laryngitis or other causes for soft-tissue thickening (such as neoplasia or edema). Additionally, nasal disease can sometimes result in significant respiratory issues and cannot be ruled out. Lastly, mild bronchitis/bronchiolitis can sometimes be insensitive to radiographic detection._x000D_
2. Concern for mild epaxial muscle wasting in the lumbar spine. Correlate with exam findings.</t>
  </si>
  <si>
    <t>Sedated upper airway exam. If normal, head/nasal CT and/or lower airway sampling (ex: BAL).</t>
  </si>
  <si>
    <t>Three orthogonal thoracic radiographs dated 13 February 2024 are available for review. These are compared previous radiographs dated 18 October 2023._x000D_
_x000D_
Airway findings: The thorax is hypoinflated on all images. The cervical and thoracic trachea have a normal size, outline and position. The carina, tracheal bifurcation and mainstem bronchi are normal. Throughout the lung parenchyma there is a variable interstitial opacification. No localised region of alveolar opacification is present.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are some thickened pleural fissure lines._x000D_
_x000D_
Musculoskeletal findings: No significant abnormalities are detected._x000D_
_x000D_
Included abdomen: No significant abnormalities are detected.</t>
  </si>
  <si>
    <t>1. The hazy interstitial opacification may be due to hypoinflation and some motion artefact. Aspiration pneumonia is not visible. Feline asthma, pulmonary fibrosis should be considered. Viral pneumonia, eosinophilic bronchopneumopathy is considered unlikely.</t>
  </si>
  <si>
    <t>Discontinuation of antibiotic therapy needs to be based on clinical signs, laboratory pathology, and imaging findings. The imaging findings may lag the clinical improvement._x000D_
Respiratory workup including CBC, serum chemistry, urinalysis, Baermann faecal testing, 4DX, +/- respiratory panel or fungal testing as indicated is advised to differentiate infectious-inflammatory disease from feline asthma.  If the patient=ZZ91=s signs continue despite supportive care, bronchoscopy/BAL vs. endotracheal wash +/- consultation with an Internist should be considered.</t>
  </si>
  <si>
    <t xml:space="preserve">
1.This result detects minimal to mild, mixed interstitial and bronchial pulmonary patterns._x000D_
2.This result does NOT detect an alveolar pulmonary pattern.  _x000D_
3.Uncommonly, this result detects minimal to mild pulmonary vasculature enlargement._x000D_
4.This result detects mild to moderate, or less commonly equivocal/borderline cardiomegaly._x000D_
5.Rarely,  this result detects minimal pleural fissure lines/fluid.  </t>
  </si>
  <si>
    <t>Three radiographs of the thorax/abdomen are provided. Images dated 12/5/23 are available for comparison. The cardiac silhouette and pulmonary vessels are normal size. The heart appears larger on the VD projection due to adjacent fat deposition and phase of the cardiac cycle. The small round soft tissue density previously overlying the caudal heart on the right lateral view is questionably seen on this most recent study, although is lucent centrally and appears as a prominent bronchiole. Punctate soft tissue density again seen in the cranioventral lungs on the lateral views. No pleural effusion. Normal cranial mediastinal width and tracheal diameter. In the abdomen the gastrointestinal tract is mildly filled. There is no effusion or organomegaly. The urinary bladder is mildly filled and soft tissue opaque.</t>
  </si>
  <si>
    <t>1. The nodular contour previously seen overlying the heart is lucent and appears as a prominent bronchiole today. A mucous plug within a bronchiole may have been responsible for the appearance on the previous study. The punctate soft tissue densities are less concerning, and are likely granulomas. No definitive intrathoracic abnormalities today._x000D_
2. Normal abdomen.</t>
  </si>
  <si>
    <t>Opposite lateral whole body and ventrodorsal thoracic radiographs (3 images) dated February 12,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unremarkable. Both kidneys are normal in size and shape. The urinary bladder is fairly fluid-filled. The stomach contains a small amount of slightly in homogeneous soft-tissue content. The small intestine is unremarkable in size, course, and content. The colon contains normal appearing stool and has a normal course. Retroperitoneal and peritoneal detail are normal. No regional lymphadenopathy is evident._x000D_
No aggressive or clinically significant osseous pathology is identified.</t>
  </si>
  <si>
    <t>Unremarkable thorax and abdomen. The respiratory clinical signs are suspected be upper airway in nature exclusively.</t>
  </si>
  <si>
    <t>Treatment for URI. Sedated upper airway exam, skull radiographs, or ideally skull CT if clinical signs persist to look for other potential causes (ex: NP polyp).</t>
  </si>
  <si>
    <t>Study:_x000D_
Thoracic and abdominal radiography: six images dated February 12,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is gas distended. The pylorus is appropriately gas-filled on the left lateral image and in the correct anatomic location. The small intestines are diffusely mildly gas distended. The colon contains formed fecal material. The liver and spleen are normal in size and margin. The renal silhouettes are normal in size and contour. The urinary bladder is normal in size and opacity. There is in situ mineralization of the L2-L3 and L6-L7 intervertebral discs. There mineral opacities caudal to the stifles on the left lateral view. This may represent external debris or soft tissue mineralization.</t>
  </si>
  <si>
    <t>1. The diffuse gastrointestinal dilation is suggestive of nonspecific functional ileus. There is no radiographic evidence of gastrointestinal foreign material or small intestinal mechanical obstruction. Abdominal sonography can be considered for further evaluation if clinical signs persist or worsen in spite of medical management._x000D_
2. The generalized bronchial pulmonary pattern may indicate allergic/inflammatory bronchitis (asthma). Infectious, parasitic and irritant bronchitis are also possible. Airway sampling plus/minus heartworm testing and Baermann fecal flotation can be considered for further evaluation. This suspected lower disease may be unrelated to the concurrent sneezing and nasal discharge. Infectious respiratory disease PCR testing, computed tomography of the nasal passages and rhinoscopy can be considered for further evaluation of the upper respiratory signs._x000D_
3. L2-L3 and L6-L7 in situ degenerative disease.</t>
  </si>
  <si>
    <t>Orthogonal views of the thorax are provided:_x000D_
_x000D_
Thorax:_x000D_
_x000D_
Cardiac silhouette has a normal shape and size._x000D_
Pulmonary vessels are within normal limits of size and shape._x000D_
Pulmonary parenchyma shows a solitary oval shaped partially mineralized mass in the accessory lung lobe. No evidence of concomitant pulmonary nodules/masses.Pleural space, mediastinum, diaphragm and thoracic wall within normal limits._x000D_
_x000D_
Tiny left renoliths.</t>
  </si>
  <si>
    <t>1) Solitary pulmonary mass in the accessory lung lobe most consistent with a solitary primary pulmonary neoplasia vs other differentials such as solitary pulmonary metastatic nodule, granuloma, abscess or hamartoma are less likely._x000D_
2) No signs of cardiomegaly (this does not exclude a cardiomyopathy or a hyperthyroidism)._x000D_
3) Tiny left renoliths.</t>
  </si>
  <si>
    <t>Given the lack of cardiomegaly but audible murmur, consider a cardiology consultation with ECG and echocardiogram prior to a CT of the thorax to completely rule out concomitant metastases._x000D_
Consider abdominal US to further evaluate the urinary tract with renal function test, urinalysis, UPC and urine culture.</t>
  </si>
  <si>
    <t>Study:
Thoracic radiography: three images dated February 12, 2023
Findings:
The cardiac silhouette and pulmonary vasculature are normal in size. The pulmonary parenchyma is unremarkable. The pleural space is normal. There is no intrathoracic lymphadenopathy. The trachea is normal in diameter and course. The stomach and some small intestinal segments contain granular soft tissue material presumed to be ingesta. No skeletal abnormalities are present.</t>
  </si>
  <si>
    <t>Infectious respiratory disease PCR testing, airway sampling plus/minus heartworm testing and Baermann fecal flotation can be considered to further evaluate the reported coughing.</t>
  </si>
  <si>
    <t>Seven orthogonal survey radiographs of the thorax and abdomen dated 12 February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There is mild hilar mineralisation in the left kidney. The outline of the left kidney is mildly irregular. The right kidney is normal. The head of the spleen is mildly irregular. There is soft tissue attenuation medial to the spleen. The stomach contains granular food material and has a normal axis. The small intestines are distributed evenly and are within normal limits for shape, size and contents. The ascending, transverse and descending colon have a normal position and contain gradually more formed faeces. The urinary bladder is small. The serosal detail is increased due to body habitus._x000D_
_x000D_
Musculoskeletal findings: The patient is overweight. There is mild spondylosis deformans.</t>
  </si>
  <si>
    <t>1. Differentials for the left kidney include mild infarcts, early chronic kidney disease. The hilar mineralisation may be incidental, however pyelonephritis cannot be excluded._x000D_
2. The opacity medial to the spleen is most likely the normal left limb of the pancreas visible due to abdominal fat, however pancreatitis cannot be excluded.</t>
  </si>
  <si>
    <t>Further work-up for neurologic, or diffuse musculoskeletal hoof abnormality is advised. Urinalysis and abdominal ultrasonography may be considered.</t>
  </si>
  <si>
    <t>Study:
Thoracic/abdominal radiography: three images dated February 12, 2024
Findings:
The cardiac silhouette and pulmonary vasculature are normal in size. There is a mild generalized bronchial pulmonary pattern. The pleural space is normal. There is no intrathoracic lymphadenopathy. The trachea is normal in diameter and course. There is a small volume of gas in the esophagus on the left lateral view. The stomach contains unstructured heterogeneous/granular soft tissue material presumed to be ingesta. Similar material is present in some small intestinal segments. The small intestines are normal in size and course. The colon contains formed fecal material. The liver and spleen are normal in size and margin. The kidneys are normal in size and contour. The urinary bladder is normal in size and opacity. There is mild T 13-S1 spondylosis deformans. The patient is of obese body condition.</t>
  </si>
  <si>
    <t>1. Postprandial G.I. tract=ZZ90= otherwise, unremarkable abdomen. Abdominal sonography can be considered for further evaluation if clinical signs persist or worsen in spite of medical management for the reported diabetes.
2. In the absence of any reported respiratory signs, the mild generalized bronchial pulmonary pattern may indicate subclinical allergic/inflammatory bronchitis (asthma). Infectious, parasitic and irritant bronchitis are also possible. Airway sampling plus/minus heartworm testing and Baermann fecal flotation can be considered for further evaluation if cochlear relevant.</t>
  </si>
  <si>
    <t>Thorax. Three radiographs (2 laterals, 1 VD) dated February 12, 2024 are provided. _x000D_
_x000D_
There is a moderate diffuse bronchial pattern. The pulmonary parenchyma is otherwise normal. The cardiac silhouette and pulmonary vessels are within normal limits. There is a small volume of pericardial fat present. The cranial mediastinum and pleural space are unremarkable. There is no evidence of intrathoracic  lymphadenopathy. The trachea is normal. _x000D_
_x000D_
There is normal detail in the cranial abdomen. The liver, kidneys, and gastrointestinal tract are unremarkable. The included skeletal structures are within normal limits.</t>
  </si>
  <si>
    <t>1. The pulmonary bronchial pattern is most consistent with lower airway inflammation / feline asthma. Consider chronic bronchitis of allergic, infectious/inflammatory, and parasitic etiologies. _x000D_
-This is of unknown significance in the absence of respiratory signs. _x000D_
2. A cause for ataxia and weakness is not identified.</t>
  </si>
  <si>
    <t>-If not already performed a full neurological exam is recommended to screen for a cause of clinical signs. Consultation with a neurologist may be beneficial.</t>
  </si>
  <si>
    <t>Six radiographs of the thorax and abdomen are provided. The cardiac silhouette is upper normal size, with mild rounding of the caudal heart on the lateral views. The heart lies relatively flat along the sternum, an incidental aged feline variant. This also results in the soft tissue bulge along the cranial left aspect of the heart on the VD view (incidental aortic knob). Pulmonary vessels are normal size. No abnormalities in the pulmonary parenchyma. No pleural effusion. Normal tracheal diameter._x000D_
_x000D_
In the abdomen there is large volume formed feces filling the distal descending colon. Small bowel are minimally filled. Large volume gas, stippled soft tissue density, and small volume mineral opaque debris in the stomach. The mineral debris is likely incidental. Normal-sized liver, spleen, kidneys. No radiopaque urolithiasis. Normal osseous structures.</t>
  </si>
  <si>
    <t>1. Probable mild cardiomegaly, most consistent with cardiomyopathy. There is no evidence of heart failure. Otherwise normal thorax._x000D_
2. Normal abdomen.</t>
  </si>
  <si>
    <t>An echocardiogram and abdominal ultrasound are recommended.</t>
  </si>
  <si>
    <t>3 views of the thorax are provided for review.  The cardiac silhouette is widened with rounding of the left ventricular border.  Interstitial to alveolar opacities present in the right caudal lung lobe.  Pleural fluid is present, most pronounced on the left.  The mediastinal structures are normal.  Cranial abdominal detail is adequate.</t>
  </si>
  <si>
    <t>Cardiomegaly.  Pleural effusion.  Pulmonary infiltrates consistent with cardiogenic pulmonary edema.  Changes are consistent with congestive heart failure.</t>
  </si>
  <si>
    <t>Consider repeat radiographs following diuretic therapy and therapeutic thoracocentesis.  Cytology and fluid analysis could be considered to rule out other causes of pleural effusion.  Overall, heart failure may be recurrent and cardiac disease requires lifelong management.</t>
  </si>
  <si>
    <t xml:space="preserve">
1.This result detects mild to severe cardiomegaly._x000D_
2.This result detects a mild to severe interstitial pulmonary pattern._x000D_
3.This result detects a mild to severe bronchial pulmonary pattern._x000D_
4.This result detects a minimal to moderate alveolar pulmonary pattern._x000D_
5.This result detects minimal to severe pleural fissure lines/fluid._x000D_
6.Rarely, this result detects minimal to moderate pulmonary vasculature enlargement.  </t>
  </si>
  <si>
    <t>Eight orthogonal radiographs of the abdomen dated 10 February 2024 are available for review. There are no previous radiographs available for comparison. _x000D_
_x000D_
Intra-abdominal findings: The hepatic silhouette is smoothly enlarged. The stomach is empty, containing some gas. The small intestines are variably filled with gas, irregular soft tissue opaque material and fluid. The descending colon contains an increased amount of gas. The urinary bladder is normal. The kidneys are partially obscured by gastrointestinal contents, but the visible aspect are normal. The spleen is normal. There is mild loss of serosal detail in the region of the small intestines._x000D_
_x000D_
Extra-abdominal findings: The patient is obese._x000D_
_x000D_
Included thorax: No significant abnormalities are detected.</t>
  </si>
  <si>
    <t>1. The intestinal findings are suspicious of a enterocolitis, which may be infectious/inflammatory, or considering chronicity due to IBD, food allergy, intestinal lymphoma._x000D_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</si>
  <si>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A complete abdominal ultrasonographic examination is advised, with a view to FNA of abnormal organs, after complete blood work, and a normal coagulation panel. A dietary trial may be considered.</t>
  </si>
  <si>
    <t>Eight radiographs are provided, with images of the thorax, abdomen, pelvic limbs. The cardiac silhouette is mildly enlarged on all views. Pulmonary vessels and caudal vena cava are normal size. No abnormalities in the pulmonary parenchyma or pleural space. Normal tracheal diameter and position. In the abdomen there is small volume gas and formed feces in the colon. The stomach and small bowel are minimally filled. Punctate nephroliths are likely incidental. Normal size kidneys, liver, spleen. Equivocal punctate cystic calculi. Narrowed T11-12 intervertebral disc space. Normal coxofemoral joints. Well delineated soft tissue opacity overlying the cranial aspect of the stifle joints is likely superimposed skinfold. No stifle degenerative change or popliteal lymphadenomegaly.</t>
  </si>
  <si>
    <t>1. Mild cardiomegaly, concerning for cardiomyopathy. Sedation could also cause this appearance. Otherwise normal thorax._x000D_
2. Equivocal sand-like cystic calculi versus summating normal anatomy. No other abdominal abnormalities._x000D_
3. The appearance of T11-12 is suggestive of the protruded/extruded intervertebral disc. This could explain the pelvic limb deficits but does not explain the other abnormalities._x000D_
4. Normal proximal pelvic limbs.</t>
  </si>
  <si>
    <t>A CBC, blood chemistry profile, and cardiac proBNP evaluation should be considered.</t>
  </si>
  <si>
    <t>Orthogonal views of the thorax are provided:_x000D_
_x000D_
Thorax:_x000D_
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limits._x000D_
_x000D_
Irregular nodular opacities are seen arising or superimposed with the anti mesenteric border of the spleen.</t>
  </si>
  <si>
    <t>1) Unremarkable lungs do not exclude a chronic lower airway disease such as asthma, chronic bronchitis or parasitic bronchitis._x000D_
2) Rule out splenic nodules/masses vs a mass superimposed with the spleen.</t>
  </si>
  <si>
    <t>Consider CT of the nasal cavity/thorax with bronchoscopy, BAL, culture, cytology followed (in this order) by rhinoscopy and biopsies with culture, with deworming vs empirical treatment for upper and lower inflammatory/infectious/parasitic airway disease._x000D_
Consider an abdominal US to further evaluate the splenic area with +/-  US guided FNAs.</t>
  </si>
  <si>
    <t>Study:_x000D_
Thoracic radiography: three images dated February 10, 2024_x000D_
_x000D_
Findings:_x000D_
The cardiac silhouette is normal in size and shape. The pulmonary vasculature is normal in size. Innumerable nodular soft tissue opacities are scattered throughout the pulmonary parenchyma. There is also a severe generalized bronchial pulmonary pattern. The pleural space is normal. There is a ovoid soft tissue opaque mass dorsal to the third sternabrae likely indicating sternal lymphadenopathy. The trachea is normal in diameter and course. The stomach contains unstructured heterogeneous soft tissue material.</t>
  </si>
  <si>
    <t>1. The soft tissue nodule scattered throughout the pulmonary parenchyma likely indicate metastatic disease. Granulomas related to the possible concurrent lower airway disease are considered less likely._x000D_
2. The diffuse bronchial pulmonary pattern may indicate endobronchial metastasis or severe allergic/inflammatory, infectious, parasitic, cellular or fungal bronchitis._x000D_
3. The sternal lymphadenopathy may be neoplastic or reactive.</t>
  </si>
  <si>
    <t>Computed tomography of the thorax can be considered for further evaluation. Oncology consultation should also be considered.</t>
  </si>
  <si>
    <t xml:space="preserve">
1.Uncommonly, this result detects a minimal to mild alveolar pulmonary pattern._x000D_
2.This result commonly detects pulmonary soft tissue nodules and masses._x000D_
3.This result does not detect pulmonary vasculature enlargement._x000D_
4.This result commonly detects minimal to mild, or rarely moderate pleural fissure lines/fluid._x000D_
5.This result detects no or equivocal/borderline cardiomegaly most commonly.  Rarely, this result detects mild or moderate cardiomegaly._x000D_
6.This result detects a minimal to mild, or less commonly moderate interstitial pulmonary pattern.  _x000D_
7.This result detects a moderate to severe, or less commonly mild  bronchial pulmonary pattern.</t>
  </si>
  <si>
    <t>Thorax: There is a mild bronchointerstitial pattern.  The cardiac silhouette and pulmonary vasculature are unremarkable.  There is no evidence of pleural effusion or lymphadenopathy.  On the visible portion of the abdomen there appears to be diffuse small intestinal wall thickening.  The remainder of the abdomen is unremarkable.  There is subluxation of the right coxofemoral joint.</t>
  </si>
  <si>
    <t>Mild bronchiointerstitial pattern most likely secondary to her lower airway inflammatory process._x000D_
_x000D_
Possible diffuse small intestinal wall thickening.  This is not a definitive finding on survey radiography.  Differential considerations include artifactual, variation of normal, enteritis, IBD, or less likely neoplasia._x000D_
_x000D_
Right coxofemoral joint subluxation</t>
  </si>
  <si>
    <t>Study:_x000D_
Thoracic/abdominal radiography: three images dated February 9,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gas and formed fecal material. The liver and spleen are normal in size and margin. The kidneys are normal in size and contour. The urinary bladder is normal in size and opacity. There is mild L5-L6 and L7-S1 spondylosis deformans.</t>
  </si>
  <si>
    <t>1. Unremarkable abdomen. There is no radiographic evidence of gastrointestinal foreign material or small intestinal mechanical obstruction._x000D_
2. Normal appearance of the liver does not exclude a hepatopathy._x000D_
3. Normal thorax.</t>
  </si>
  <si>
    <t>Abdominal sonography should be considered for further evaluation of the reported elevated ALT.</t>
  </si>
  <si>
    <t>Study:_x000D_
Thoracic/abdominal radiography: right lateral and orthogonal views (two images) images dated February 9,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minimal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unremarkable/age appropriate.</t>
  </si>
  <si>
    <t>1. The generalized bronchial pulmonary pattern may indicate allergic/inflammatory bronchitis (asthma). Infectious, irritant or, less likely, bronchitis are also possible. Infectious respiratory disease PCR testing, airway sampling plus/minus heartworm testing and Baermann fecal flotation can be considered for further evaluation._x000D_
2. Unremarkable abdomen.</t>
  </si>
  <si>
    <t xml:space="preserve">
1.This result does not detect pleural fissure lines/fluid.  _x000D_
2.This result detects equivocal/borderline to mild cardiomegaly. _x000D_
3.This result does not detect pulmonary vasculature enlargement._x000D_
4.This result detects a minimal, or less commonly mild interstitial pulmonary pattern.  _x000D_
5.This result does not detect an alveolar pulmonary pattern._x000D_
6.This result detects a mild or rarely moderate bronchial pulmonary pattern.</t>
  </si>
  <si>
    <t>Study:_x000D_
Thoracic/abdominal radiography: three images dated February 9, 2024_x000D_
_x000D_
Findings:_x000D_
The cardiac silhouette and pulmonary vasculature are normal in size. There is a mild generalized bronchial pulmonary pattern. No pulmonary nodules or masses are present. The pleural space is normal. There is no intrathoracic lymphadenopathy. The trachea is normal in diameter and course. The stomach contains unstructured heterogeneous/granular soft tissue material presumed to be ingesta. Similar material is present in some small intestinal segments. The small intestines are normal in size and course. The colon contains formed fecal material. The liver and spleen are normal in size and margin. The kidneys are normal in size and contour. The urinary bladder is normal in size and opacity. The L1 vertebra is transitional. There is mild L2-L3 and L3-L4 spondylosis deformans. There is a small mineral body in the cranial aspect of the left stifle joint space indicative of incidental meniscal mineralization. There is a round 4 cm swelling in the subcutaneous tissues of the mid-ventral abdomen. There is no defect in the adjacent body wall.</t>
  </si>
  <si>
    <t>1. Mid ventral abdominal subcutaneous swelling. Rule out benign or malignant neoplasia. While there is no apparent defect in the abdominal body wall. An umbilical hernia containing inflamed fat cannot be completely excluded. Sonography and tissue sampling of the lesion can be considered for further evaluation._x000D_
2. The generalized bronchial pulmonary pattern may indicate allergic/inflammatory bronchitis (asthma). Infectious, parasitic and irritant bronchitis are also possible. Correlate with any reported coughing. Airway sampling, heartworm testing and Baermann fecal flotation can be considered for further evaluation if clinically relevant._x000D_
3. Postprandial gastrointestinal tract=ZZ90= otherwise, unremarkable abdomen.</t>
  </si>
  <si>
    <t>THORAX and ABDOMEN (6 radiographs for review). Previous examination 05/31/23._x000D_
_x000D_
- Mild weight loss in the interim._x000D_
- Similar mild diffuse bronchial pattern._x000D_
- Cardiac silhouette, pulmonary vasculature, pleural space normal._x000D_
- Trachea, pleural space, remaining intrathoracic structures normal._x000D_
- Stomach contains mild gas and gas-stippled soft-tissue opaque material._x000D_
- Small intestine contains mild multifocal gas and soft-tissue/fluid._x000D_
- Colon contains gas and mildly mineralized fecal material._x000D_
- Liver, spleen, kidneys, urinary bladder normal._x000D_
- Included musculoskeletal structures normal.</t>
  </si>
  <si>
    <t>1. A discrete cause for the mild weight loss is not clearly identified._x000D_
_x000D_
2. Persistent, mild diffuse bronchial pattern, likely compatible with chronic lower airway disease (e.g. feline asthma vs. bronchitis)._x000D_
_x000D_
3. Mild constipation=ZZ90= otherwise normal abdomen.</t>
  </si>
  <si>
    <t>Consider abdominal ultrasonography for further screening of the abdomen for a discrete cause of reported weight loss.</t>
  </si>
  <si>
    <t>3 views of the entire body are provided for review. There is a mild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partial fusions of vertebrae L3-4 and L6-7.  The left pelvic limb is absent.</t>
  </si>
  <si>
    <t>Radiographically normal abdomen.  Mild bronchial pulmonary pattern.  Considerations include asthma, heartworm, lungworm, atypical infection, bronchitis.  Consider empiric therapy versus further diagnostics such as heartworm testing, Baermann fecal, airway sampling.  Previous left pelvic limb amputation.  Congenital block vertebrae.</t>
  </si>
  <si>
    <t xml:space="preserve">
1.This result detects equivocal/borderline cardiomegaly._x000D_
2.Rarely, this result detects minimal pleural fissure lines/fluid._x000D_
3.This result detects a minimal to mild interstitial pulmonary pattern._x000D_
4.This result detects a minimal to mild bronchial pulmonary pattern._x000D_
5.This result does NOT detect an alveolar pulmonary pattern.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</si>
  <si>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remaining abdominal organs are normal.</t>
  </si>
  <si>
    <t>Radiographically normal abdomen.  Radiographically normal thorax for patient of this age.  Lack of specific changes does not rule out bronchitis or other lower airway disease.</t>
  </si>
  <si>
    <t>Patient name: Toby Humbert_x000D_
THORAX (3 views, 3 images=ZZ90= [2 lateral, 1 VD])_x000D_
Images are dated February 9, 2024._x000D_
There are no previous radiographs for comparison. _x000D_
The patient is rotated with respect to the x-ray beam in the VD view.  _x000D_
_x000D_
Airway/Pulmonary: The lungs are adequately inflated. Diffusely throughout the lungs a mild increase in bronchial opacity is observed. No distinct soft tissue pulmonary nodules are detected.  Tracheal and mainstem bronchial diameter is normal. _x000D_
_x000D_
Cardiovascular: The cardiac silhouette is normal in size and shape. Mild pericardial fat is detected. Pulmonary vessels are normal in width. _x000D_
_x000D_
Mediastinum: No lymph node enlargement is detected.  The caudal vena cava is normal in height.  _x000D_
_x000D_
Pleural space: The pleural space is unremarkable=ZZ90= no pleural effusion is seen. _x000D_
_x000D_
Cranial abdomen: A moderate volume of falciform fat is observed.  Visible portions of the liver, spleen, kidneys, stomach, small intestine, and colon are within normal limits. _x000D_
_x000D_
Musculoskeletal: Moderate periarticular osteophytes are detected in both elbows.</t>
  </si>
  <si>
    <t>1) Mild diffuse bronchial pattern.  Consistent with allergic bronchitis / feline asthma as the cause of coughing/wheezing.  Infectious, parasitic and irritant bronchitis are also possible.  _x000D_
2) Bilateral elbow osteoarthrosis.</t>
  </si>
  <si>
    <t>Continue empirical treatment, the addition of bronchodilators could be considered. Airway sampling plus/minus heartworm testing and Baermann fecal flotation can be considered if there is no improvement.</t>
  </si>
  <si>
    <t xml:space="preserve">
1.This result detects a minimal to mild bronchial pulmonary pattern._x000D_
2.This result detects a minimal to mild interstitial pulmonary pattern._x000D_
3.This result does NOT detect an alveolar pulmonary pattern._x000D_
4.This result does NOT detect pulmonary soft tissue nodules._x000D_
5.This result does NOT detect pleural fissure lines._x000D_
6.This result detects equivocal/borderline to moderate cardiomegaly.</t>
  </si>
  <si>
    <t>Study:_x000D_
Thoracic radiography: three images dated February 9,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included abdomen is normal. No skeletal abnormalities are present.</t>
  </si>
  <si>
    <t>Abdomen: Both kidneys are small.  There is a nephrolith associated with suspected left kidney.  The liver and spleen are unremarkable.  There are no abnormalities involving the gastrointestinal tract or urinary bladder.  Serosal detail is normal.  There are no abnormalities involving the thorax.  There is increased soft tissue thickening along the dorsal aspect of the thorax with ill-defined lucent regions (subcutaneous fluids?).</t>
  </si>
  <si>
    <t>Bilaterally small kidneys and suspected left nephrolith._x000D_
_x000D_
The thickened soft tissues dorsal to the thorax are suspected to be secondary to subcutaneous fluid administration.  Alternatively a mass or possible abscess at this level cannot be ruled out.</t>
  </si>
  <si>
    <t xml:space="preserve">
1.Rarely, this result detects a minimal alveolar pulmonary pattern._x000D_
2.Cardiac silhouette: Normal in most cases; rarely, minimal to mild generalized cardiomegaly is present._x000D_
3.Negative for pulmonary vasculature enlargement._x000D_
4.Rarely, this result detects a minimal to mild interstitial pulmonary pattern._x000D_
5.Uncommonly, this result detects a minimal to mild bronchial pulmonary pattern._x000D_
6.Negative for pleural fissure lines/pleural fluid.</t>
  </si>
  <si>
    <t>THORAX (3 radiographs for review). No previous for comparison._x000D_
_x000D_
- Questionable, mild generalized cardiomegaly characterized only by a subtle rounding of the cardiac margins and increased cardiothoracic width._x000D_
- Pulmonary vasculature normal._x000D_
- Moderate diffuse bronchial pattern, with mild pulmonary hyperinflation._x000D_
- Remaining thoracic structures are normal._x000D_
- Included cranial abdomen and MSK structures normal._x000D_
- Mildly excessive body habitus.</t>
  </si>
  <si>
    <t>1. Questionable, mild left-sided cardiomegaly without pulmonary vasculature congestion or congestive heart failure. The changes are prioritized as real/pathology (e.g. hypertrophic, restrictive or unclassified cardiomyopathy) given there is an audible cardiac murmur, however admittedly the changes are subtle and could be a prominent normal patient variant and/or due to the cardiac cycle. Regardless, I would consider echocardiography for further assessment in this case._x000D_
_x000D_
2. Moderate diffuse bronchial pattern with mild pulmonary hyperinflation. DDx chronic lower airway disease (e.g. feline asthma, bronchitis of infectious parasitic or bacterial etiologies, less likely inhaled irritant).</t>
  </si>
  <si>
    <t xml:space="preserve">
1.Rarely, this result detects a minimal to mild alveolar pulmonary pattern._x000D_
2.This result does not detect pleural fissure lines/fluid.  _x000D_
3.This result does not detect pulmonary vasculature enlargement._x000D_
4.This result detects equivocal/borderline to mild cardiomegaly. _x000D_
5.This result detects a minimal to mild, or rarely moderate interstitial pulmonary pattern.  _x000D_
6.This result detects a minimal to mild, or rarely moderate bronchial pulmonary pattern.</t>
  </si>
  <si>
    <t>Study:_x000D_
Thoracic and abdominal radiography: six images dated February 8, 2024_x000D_
_x000D_
Findings:_x000D_
The cardiac silhouette and pulmonary vasculature are normal in size. The pulmonary parenchyma is unremarkable. The pleural space is normal. There is no intrathoracic lymphadenopathy. The trachea is normal in diameter and course. There is a small volume of gas in the esophagus. The stomach contains a small volume of gas. The small intestines are normal in size, course and content. The colon contains formed fecal material. The liver and spleen are normal in size and margin. The left kidney is small with smooth margins. The right kidney is normal in size. The urinary bladder is normal in size and opacity. The osseous structures are unremarkable.</t>
  </si>
  <si>
    <t>1. Small size of the left kidney likely indicates chronic kidney disease. Correlate with renal values, SDMA testing and urinalysis._x000D_
2. The gastrointestinal tract is unremarkable. Abdominal sonography and a G.I. panel can be considered to further evaluate for an enteropathy._x000D_
3. Unremarkable thorax. There is no radiographic evidence of cardiopulmonary or metastatic disease.</t>
  </si>
  <si>
    <t>WHOLE-BODY (3 radiographs for review). No previous for comparison._x000D_
_x000D_
- Mild right-sided mediastinal shift._x000D_
- Cardiac silhouette, pulmonary parenchyma, pleural space normal._x000D_
- Pulmonary vasculature, trachea normal._x000D_
- Remaining included intrathoracic structures normal._x000D_
- Peritoneal serosal detail normal._x000D_
- Stomach contains moderate gas-stippled soft-tissue opaque material and gas._x000D_
- Small intestine contains mild multifocal gas and soft-tissue/fluid._x000D_
- Colon contains gas and formed fecal material._x000D_
- Spleen is mildly to moderately enlarged._x000D_
- Liver, kidneys, urinary bladder normal._x000D_
- Hypoplastic left rib T13._x000D_
- Vertebral column, ribs, pelvis and remaining MSK structures normal.</t>
  </si>
  <si>
    <t>1. Mild right-sided pulmonary atelectasis, likely due to recumbency-associated pulmonary atelectasis and incidental._x000D_
_x000D_
2. Otherwise normal thorax._x000D_
_x000D_
3. Mild splenomegaly. DDx congestion from sedation, lymphoid hyperplasia, EMH, less likely neoplasia._x000D_
_x000D_
4. Aerophagia._x000D_
_x000D_
5. Incidental transitional thoracolumbar vertebral segment.</t>
  </si>
  <si>
    <t>Consultation with a veterinary neurologist may be high-yield in this case, given the reported history and lack of significant radiographic findings.</t>
  </si>
  <si>
    <t>Patient name: Miss Boo Hafer_x000D_
THORAX (3 view whole body, 3 images=ZZ90= [2 lateral, 1 VD])_x000D_
Images are dated February 8, 2024._x000D_
There are no previous radiographs for comparison._x000D_
_x000D_
Airway/Pulmonary: The lungs are adequately inflated. Diffusely throughout the lungs a mild increase in bronchointerstitial opacity is noted. No soft tissue pulmonary nodules are detected. Tracheal and mainstem bronchial diameter is normal._x000D_
_x000D_
Cardiovascular: The cardiac silhouette is normal in size and shape. Pulmonary vessels are normal in width._x000D_
_x000D_
Mediastinum: No lymph node enlargement is detected. The caudal vena cava is normal in height._x000D_
_x000D_
Pleural space: The pleural space is normal=ZZ90= no pleural effusion is identified._x000D_
_x000D_
Cranial abdomen: A large volume of falciform fat is observed. The stomach is empty. The small intestines are predominantly fluid filled with scant gas. No distinct radiopaque gastrointestinal foreign material or dilation is detected. Several small mineral foci are observed superimposing both kidneys._x000D_
_x000D_
Musculoskeletal: Wet fur artifact is present. A moderate to large volume of subcutaneous fat is noted. Mild smooth new bone formation is noted along the ventral aspects of C6-C7, T9-T10, T12-13 to L1-2, L5-L6, and L7-S1=ZZ90= variably bridging the intervertebral disc spaces.</t>
  </si>
  <si>
    <t>1) A definitive cause of decreased appetite is not radiographically identified. Gastritis and/or pancreatitis are possible. Reported cough could be due to regurgitation/microaspiration._x000D_
2) Mild diffuse bronchointerstitial pattern is likely due to combination of age-related change, summation of subcutaneous fat, and wet fur artifact but underlying bronchitis (inflammatory, infectious, allergic) could be present as a cause of cough._x000D_
3) Bilateral nephrolithiasis._x000D_
4) Incidental multifocal thoracic and lumbar spondylosis_x000D_
5) Excessive body habitus.</t>
  </si>
  <si>
    <t>Consider routine blood work, GI panel, and fecal analysis/deworming if not recently performed. Consider abdominal ultrasonography for further evaluation. Empirical therapy and supportive care as needed in the interim.</t>
  </si>
  <si>
    <t xml:space="preserve">
1.Rarely, this result detects minimal pleural fissure lines/fluid.  _x000D_
2.This result detects none, or equivocal/borderline to mild cardiomegaly. _x000D_
3.This result does not detect pulmonary vasculature enlargement._x000D_
4.This result detects a minimal to mild, or rarely moderate interstitial pulmonary pattern.  _x000D_
5.This result detects a minimal to mild bronchial pulmonary pattern._x000D_
6.This result does not detect an alveolar pulmonary pattern._x000D_
7.This result does not detect pulmonary soft tissue nodules.</t>
  </si>
  <si>
    <t>THORAX (3 radiographs for review). No previous for comparison._x000D_
_x000D_
- Mild pulmonary hyperinflation._x000D_
- Mild diffuse bronchial pulmonary pattern._x000D_
- Cardiac silhouette, pulmonary vasculature, remaining thoracic structures normal._x000D_
- Stomach has a post prandial appearance and contains mild gas._x000D_
 - Remaining cranial abdominal structures, musculoskeletal structures normal.</t>
  </si>
  <si>
    <t>1. The presence of mild pulmonary hyperinflation and a mild diffuse bronchial pattern can be compatible with chronic lower airway disease and secondary air-trapping. Feline asthma is the first differential diagnosis, however the changes could be bronchitis of infectious parasitic, bacterial or inhaled irritant etiologies. Consider initiation of empirical therapy for lower airway disease, with thoracic CT or lower airway sampling if the patient does not improve or worsens despite medical management._x000D_
_x000D_
2. Recent meal.</t>
  </si>
  <si>
    <t>Study:_x000D_
Thoracic radiography: three images dated February 7, 2024_x000D_
_x000D_
Compared to prior study dated December 18, 2020_x000D_
_x000D_
Findings:_x000D_
The cardiac silhouette is accentuated by excessive pericardial fat but is normal in size and shape. The pulmonary vasculature is normal in size. There is a static mild generalized bronchial pulmonary pattern. The pleural space is normal. There is no intrathoracic lymphadenopathy. The trachea is normal in diameter. The stomach contains heterogeneous soft tissue material presumed to be ingesta. There is a small mineral body adjacent to the medial epicondyle of the humerus bilaterally. The patient is of overweight body condition.</t>
  </si>
  <si>
    <t>1. There is no radiographic evidence of heart disease. Consider echocardiography for further evaluation of the reported elevated proBNP._x000D_
2. Static mild bronchial pulmonary pattern. In the absence of any reported coughing, this finding may indicate subclinical allergic/inflammatory bronchitis (asthma)._x000D_
3. Bilateral humeral medial epicondylitis.</t>
  </si>
  <si>
    <t xml:space="preserve">
1.This result detects equivocal/borderline to mild cardiomegaly. _x000D_
2.This result detects a minimal to mild, or rarely moderate interstitial pulmonary pattern.  _x000D_
3.This result does not detect pulmonary vasculature enlargement._x000D_
4.This result detects a minimal to mild, or rarely moderate bronchial pulmonary pattern._x000D_
5.Rarely, this result detects a minimal to mild alveolar pulmonary pattern._x000D_
6.This result does not detect pleural fissure lines/fluid.  </t>
  </si>
  <si>
    <t>Three radiographs of the thorax are provided. The cardiac silhouette is normal size. There is a mild to moderate unstructured interstitial pattern with faint bronchial markings in the lungs. No pleural effusion. Normal tracheal diameter. No esophageal dilation. The cranial abdomen is unremarkable.</t>
  </si>
  <si>
    <t>Mild to moderate interstitial pattern with faint bronchial markings, most likely infectious bronchopneumonia.</t>
  </si>
  <si>
    <t>Antibiotics are recommended.</t>
  </si>
  <si>
    <t xml:space="preserve">
1.This result detects none, or a minimal to mild bronchial pulmonary pattern._x000D_
2.Rarely, this result detects a minimal alveolar pulmonary pattern._x000D_
3.This result does not detect pulmonary soft tissue nodules._x000D_
4.This result does not detect pleural fissure lines/fluid.  _x000D_
5.This result detects equivocal/borderline to mild, or rarely moderate cardiomegaly. _x000D_
6.This result does not detect pulmonary vasculature enlargement._x000D_
7.This result detects none, or a minimal to mild interstitial pulmonary pattern.  </t>
  </si>
  <si>
    <t>Study:_x000D_
Thoracic/abdominal radiography: four images dated February 7,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a small amount of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skeletal abnormalities present.</t>
  </si>
  <si>
    <t>1. The mild generalized bronchial pulmonary pattern likely indicates allergic/inflammatory bronchitis (asthma). Infectious, parasitic and irritant bronchitis are also possible. Airway sampling plus/minus heartworm testing and Baermann fecal flotation can be considered for further evaluation. Alternatively, a treatment trial for asthma can be considered._x000D_
2. Unremarkable abdomen.</t>
  </si>
  <si>
    <t>2 views of the thorax are submitted for review.  The cardiac silhouette and pulmonary vasculature are within normal limits.  Mild bronchial markings are noted throughout the lung fields.  No evidence of intrathoracic lymphadenopathy is seen.  No pleural effusion or mediastinal abnormalities are noted.  The trachea is normal in diameter.  The visible cranial abdomen and musculoskeletal system is unremarkable.</t>
  </si>
  <si>
    <t>Mild bronchial markings in the lung fields.  This is nonspecific but could be consistent with chronic inflammatory airway disease such as chronic bronchitis or feline asthma, or incidental age-related change.</t>
  </si>
  <si>
    <t>Nine Five orthogonal survey radiographs of the thorax and abdomen dated 7 February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hyperlucent. The thoracic volume is increased. Variably there is a smoothly marginated soft tissue opacity in the caudal dorsal lung region contiguous with the diaphragm. Gas lucencies are visible within in some images._x000D_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There is a diffusely reduced serosal detail in the abdomen. The stomach contains some gas and has a normal axis. There is loss of serosal detail in the cranial right aspect of the abdomen. The head of the spleen is visible. The kidneys are partially obscured by gastrointestinal contents, but the visible aspect are normal. The small intestines are homogenously mildly dilated with increased gas, and some fluid/soft tissue opaque material. The small intestines have a stacked appearance. The urinary bladder is filled._x000D_
_x000D_
Musculoskeletal findings: The animal is in a thin body condition.</t>
  </si>
  <si>
    <t>1. The abdominal findings are suggestive of a diffuse enteropathy. Differentials include IBD, food allergy, lymphoma, FIP  considering chronic history. The reduction in serosal detail is partly due to the body habitus, however an inflammatory transudate is suspected. An infectious-inflammatory enteritis is considered less likely._x000D_
2. Sliding hiatal hernia, paraesophageal hernia, less likely sliding diaphragmatic hernia containing part of the stomach. This is likely an incidental finding.</t>
  </si>
  <si>
    <t>A complete abdominal ultrasonographic examination is advised, with a view to FNA of abnormal organs, after complete blood work, and a normal coagulation panel. Faecal analysis is also advised.</t>
  </si>
  <si>
    <t>Three radiographs of the thorax and three views of the abdomen are provided. The cardiac silhouette and pulmonary vessels are normal size and shape. The lungs are clear. There is no pleural effusion. The diaphragm is intact and no rib fractures are present to suggest trauma. No spinal abnormalities._x000D_
_x000D_
In the abdomen the spleen appears prominent on the right lateral view but is not persistent and is likely positional variant. Normal-sized liver and left kidney. Right kidney is incompletely visible. Small volume amorphous soft tissue density in the stomach. Small bowel are mildly filled with a mixture of fluid and gas. Several loops of small bowel appear thickened, however this must be interpreted with caution, as fluid-gas interface can mimic wall thickening. No radiopaque urolithiasis. Punctate mineral density in one of the stifles is incidental meniscal mineralization. Osseous structures are otherwise unremarkable.</t>
  </si>
  <si>
    <t>1. Gastroenteritis secondary to dietary indiscretion is suspected. Soft tissue density in the stomach may be normal ingesta versus foreign material causing pyloric outflow obstruction. There is no evidence of small bowel obstruction._x000D_
2. Normal thorax.</t>
  </si>
  <si>
    <t>Recommend routine blood work and supportive care. If vomiting persists, options to rule out gastric foreign material include a positive contrast gastrogram or strictly fasting abdominal ultrasound.</t>
  </si>
  <si>
    <t>Opposite lateral and ventrodorsal thoracic radiographs (3 images) dated February 7,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unremarkable in size and shape. The stomach contains a small amount of unremarkable ingesta. The included bowel segments and cranial peritoneal detail are normal. The splenic head is unremarkable. No aggressive or clinically significant osseous pathology is identified.</t>
  </si>
  <si>
    <t>Unremarkable thorax. The cause for the coughing is not radiographically apparent and is suspected to be upper airway in nature (ex: URI, chronic rhinitis, polyp, etc).</t>
  </si>
  <si>
    <t>Sedated upper airway exam, pharyngeal PCR infectious swab submission, empirical treatment for URI. If nor improvement, consider nasal/head CT.</t>
  </si>
  <si>
    <t>Four radiographs of the thorax and abdomen are provided. The cardiac silhouette and pulmonary vessels are normal size and shape. There are several (at least six) well-defined variably sized small round soft tissue opaque nodules within the lungs. These measure up to 1.1 cm. A mild bronchial pattern is also present. No pleural effusion. In the abdomen the liver is mildly enlarged with smoothly irregular margins. Small volume peritoneal fluid. The right kidney is reduced in size and has a punctate nephrolith. The left kidney is normal size. Large accumulation of punctate sand-like mineral opaque debris in the urinary bladder. The gastrointestinal tract is minimally filled. Degenerative change at the lumbosacral junction.</t>
  </si>
  <si>
    <t>1. Irregular, enlarged liver with mild peritoneal effusion and pulmonary metastatic disease. This is most consistent with malignant neoplasia._x000D_
2. Small right kidney consistent with chronic renal disease._x000D_
3. Sand-like cystic calculi._x000D_
4. Bronchial pattern suggestive of chronic airway disease such as asthma. In the absence of a chronic cough, significance is doubtful.</t>
  </si>
  <si>
    <t>If a definitive diagnosis is desired, ultrasound evaluation of the liver and guided sampling could be considered.</t>
  </si>
  <si>
    <t xml:space="preserve">
1.This result does not detect pulmonary vasculature enlargement._x000D_
2.This result detects equivocal/borderline to mild, or rarely moderate cardiomegaly. _x000D_
3.This result detects none, or a minimal to mild bronchial pulmonary pattern._x000D_
4.This result detects none, or a minimal to mild interstitial pulmonary pattern.  _x000D_
5.This result does not detect pleural fissure lines/fluid.  _x000D_
6.Rarely, this result detects a minimal alveolar pulmonary pattern._x000D_
7.This result does not detect pulmonary soft tissue nodules.</t>
  </si>
  <si>
    <t>8 images of the thorax, skull,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mildly prominent.  The small intestines are normal in size.  Gas and feces are present in the colon.  The urinary bladder is small.  The remaining abdominal organs are normal.  The nasal cavity is air filled with visible turbinates.  No overt skull abnormalities are seen</t>
  </si>
  <si>
    <t>Prominent rugal fold suggestive of gastritis.  This does not rule out underlying pancreatitis or infiltrative neoplasia.  Abdominal ultrasound could be considered.  Radiographically normal thorax for patient of this age.  Unremarkable skull on the view provided.</t>
  </si>
  <si>
    <t>Study:_x000D_
Thoracic radiography: three images dated February 6, 2024_x000D_
_x000D_
Findings:_x000D_
There is incidental cranioventral rotation of the cardiac silhouette and redundancy of the aorta. The cardiac silhouette is normal in size and shape. The pulmonary vasculature is normal in size. There is a mild to moderate generalized bronchial pulmonary pattern. The pleural space is normal. There is no intrathoracic lymphadenopathy. The trachea is normal in diameter. There is a small volume of gas in the esophagus. The included abdomen is unremarkable. There is multifocal thoracic intervertebral disc space narrowing and mild to moderate spondylosis deformans.</t>
  </si>
  <si>
    <t>1. The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considered._x000D_
2. There is no radiographic evidence of heart disease. Consider echocardiography and ECG for further evaluation of the reported arrhythmia.</t>
  </si>
  <si>
    <t>Three orthogonal thoracic radiographs dated 6 February 2024 are available for review. These are compared with previous radiographs dated 23 January 2024._x000D_
_x000D_
Airway findings: The cervical and thoracic trachea have a normal size, outline and position. The carina, tracheal bifurcation and mainstem bronchi are normal. There is moderate interstitial opacification of the caudal aspect of the left cranial lung lobe. This is comparable to previous examination. In the caudal dorsal lung feels there is now also a more prominent bronchointerstitial opacification which is previously not present._x000D_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No significant abnormalities are detected.</t>
  </si>
  <si>
    <t>1. The findings are a mild deterioration in comparison with previous images. Lower airway infectious/inflammatory disease is most likely. This may be viral-bacterial, parasitic, or allergic. Lung worm cannot be excluded. Fungal lower airway disease is considered less likely.</t>
  </si>
  <si>
    <t>Study:_x000D_
Thoracic/thoracic limb radiography: three images dated February 6, 2024_x000D_
_x000D_
Findings:_x000D_
The cardiac silhouette is normal in size and shape. The pulmonary vasculature is normal in size. Numerous soft tissue opaque nodules measuring up to 0.4 cm are scattered throughout the pulmonary parenchyma. The pleural space is normal. There is no intrathoracic lymphadenopathy. The trachea is normal in diameter. There is a small mineral opacity superimposed with the left liver. The osseous structures are unremarkable. There is no evidence of aggressive osseous disease. There is soft tissue swelling with no defined margins along the lateral aspect of the left proximal brachium.</t>
  </si>
  <si>
    <t>1. Left proximal thoracic limb proximal soft tissue swelling without evidence of aggressive osseous disease. Neoplasia (sarcoma) is prioritized. Computed tomography can be considered for surgical planning._x000D_
2. Pulmonary metastatic disease. Oncology consultation can also be considered._x000D_
3. The mineral opacity in the cranial abdomen may represent a cholelith or a Bates bodies (nodular fat necrosis).</t>
  </si>
  <si>
    <t xml:space="preserve">
1.This result does not detect pulmonary soft tissue nodules._x000D_
2.This result does not detect pleural fissure lines/fluid.  _x000D_
3.This result does not detect pulmonary vasculature enlargement._x000D_
4.This result detects none, or equivocal/borderline to mild cardiomegaly. _x000D_
5.This result detects a minimal to mild interstitial pulmonary pattern.  _x000D_
6.This result detects a minimal to mild, or rarely moderate bronchial pulmonary pattern._x000D_
7.Rarely, this result detects a minimal to mild alveolar pulmonary pattern.</t>
  </si>
  <si>
    <t>ABDOMEN (four radiographs for review). No previous for comparison._x000D_
_x000D_
- Peritoneal serosal detail is normal._x000D_
- The stomach is moderately distended with gas stippled soft-tissue opaque material and gas._x000D_
- The small intestine contains mild multifocal gas and soft-tissue/fluid._x000D_
- The colon contains mildly desiccated fecal material and gas._x000D_
- The liver, spleen, kidneys, urinary bladder and remaining abdominal structures are normal._x000D_
- The included musculoskeletal structures and thorax are normal._x000D_
- Moderate wet hair artifact.</t>
  </si>
  <si>
    <t>1. Relatively unremarkable postprandial abdomen with mild constipation. A discrete cause for the reported chronic intermittent vomiting is not clearly identified. Radiographic sensitivity for subtle intestinal lesions and/or generalized functional ileus such as infiltrative bowel disease can be limited. Abdominal ultrasonography should be considered if clinically indicated for further assessment.</t>
  </si>
  <si>
    <t>3 views of the entire body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mineral opaque feces are present in the colon.  The left kidney is small with irregular margins.  The right kidney is slightly below normal limits for size.  The urinary bladder is small.  The remaining abdominal organs are normal.</t>
  </si>
  <si>
    <t>THORAX and ABDOMEN (four radiographs for review). No previous for comparison._x000D_
_x000D_
- Moderate to severe diffuse bronchial pattern._x000D_
- Moderate pulmonary hyperinflation._x000D_
- Cardiac silhouette, pulmonary vasculature normal._x000D_
- Trachea, pleural space, mediastinum and remaining could intrathoracic structures unremarkable._x000D_
- Liver is mildly enlarged, extending caudal to the costal arch with rounded margins._x000D_
- The stomach is moderately distended with gas._x000D_
- The small intestine contains mild multifocal gas and soft-tissue opaque material._x000D_
- The colon contains gas and formed fecal material._x000D_
- The spleen, kidneys, urinary bladder and remaining abdominal structures are normal._x000D_
- There is mild multifocal spondylosis deformans present._x000D_
- The remaining musculoskeletal structures are normal.</t>
  </si>
  <si>
    <t>1. Moderate to severe diffuse bronchial pattern with pulmonary hyperinflation likely indicates chronic lower airway disease with secondary air-trapping. Feline asthma is the first differential diagnosis, however bronchitis of infectious parasitic, bacterial or inhaled irritant etiologies are also considered. Consider empirical treatment for lower airway disease and sampling (e.g. BAL) for further cytologic guidance if clinically indicated. Thoracic CT may be useful to further characterize the lower airway changes._x000D_
_x000D_
2. Mild hepatomegaly. DDx metabolic (vacuolar) hepatopathy, less likely cholangiohepatitis, congestion or neoplasia. If there is a history of hepatic enzyme elevation, sonographic assessment of the liver +/- FNA may be considered._x000D_
_x000D_
3. Aerophagia. Otherwise unremarkable abdomen.</t>
  </si>
  <si>
    <t xml:space="preserve">
1.This result does not detect pleural fissure lines/fluid.  _x000D_
2.This result detects a minimal to mild interstitial pulmonary pattern.  _x000D_
3.This result detects a minimal to mild bronchial pulmonary pattern._x000D_
4.Rarely, this result detects a minimal alveolar pulmonary pattern._x000D_
5.This result detects equivocal/borderline to mild, or rarely moderate cardiomegaly. _x000D_
6.This result does not detect pulmonary vasculature enlargement.</t>
  </si>
  <si>
    <t>Opposite lateral and ventrodorsal whole body radiographs (5 images) dated February 5, 2024._x000D_
_x000D_
The cardiac silhouette is prominent in size, the caudal vena cava is enlarged. The pulmonary vasculature and aorta are normal. The lungs have a mild diffuse bronchial pattern. There is also variable unstructured interstitial pattern that is secondary to relative hypoinflation, and is most evident on the VD projection. The intrathoracic esophagus is moderately gas-filled on some the lateral views. The trachea is normal in diameter and course with gas filling its lumen. The pleural space, mediastinum, and diaphragm are normal._x000D_
The liver is unremarkable in size and shape. The spleen is prominent in size and normal in shape/margination. The stomach contains gas and a scant amount of fluid. Small intestine is empty/collapsed, soft-tissue opaque, and has course. The colon contains a small amount of stool. Both kidneys are normal in size and shape. The urinary bladder is fairly distended with homogeneous fluid opacity. Retroperitoneal and peritoneal detail are normal. No regional lymphadenopathy is evident._x000D_
No aggressive or clinically significant osseous pathology is identified.</t>
  </si>
  <si>
    <t>1. Mild diffuse bronchial pattern is suggestive of bronchitis. Rule out eosinophilic/feline asthma vs. infectious (bacterial or parasitic [including heartworm]) vs. chronic inhaled irritants._x000D_
2. Prominent cardiovascular structures, pulmonary hypoinflation, esophageal distention with gas, and splenomegaly are findings consistent with sedation._x000D_
3. Unremarkable abdomen.</t>
  </si>
  <si>
    <t>Four radiographs of the thorax/abdomen are provided. The cardiac silhouette and pulmonary vessels are normal size and shape. The lungs are clear. There is no pleural effusion. In the abdomen serosal detail is normal. Both kidneys are normal size and shape. The urinary bladder is mildly filled and soft tissue opaque. Formed feces fills the distal colon. The stomach and small bowel are minimally filled. No significant osseous abnormalities. Inguinal lymph nodes are visible and not significantly enlarged.</t>
  </si>
  <si>
    <t>Urinalysis is also recommended in addition to current diagnostics.</t>
  </si>
  <si>
    <t>A ventral dorsal and both lateral radiographs of the thorax/abdomen are provided. The cardiac silhouette and pulmonary vessels are normal size. There are no abnormalities in the pulmonary parenchyma or along the plane of the esophagus. In the abdomen serosal detail is normal. There is scant gas in the stomach. Small intestines are diffusely moderately distended with fluid and small volume gas. The colon is minimally distended. No radiopaque foreign material. Normal-sized liver and spleen. Both kidneys are reduced in size, and the left kidney is misshapen. No radiopaque urolithiasis. Degenerative change in the right coxofemoral joint.</t>
  </si>
  <si>
    <t>1. Small kidneys, misshapen on the left. This is most consistent with chronic renal disease._x000D_
2. Small intestinal functional ileus, a nonspecific finding that may be due to metabolic abnormality, enteritis, other primary intestinal disorder. There is no convincing evidence of an obstructive process. Small radiolucent gastric foreign material/trichobezoar remains possible._x000D_
3. Normal thorax.</t>
  </si>
  <si>
    <t>A CBC, blood chemistry profile, and abdominal ultrasound are recommended.</t>
  </si>
  <si>
    <t>Thorax. Three radiographs of the thorax/abdomen dated February 3, 2024 are provided. The thorax is interpreted._x000D_
_x000D_
There is an interstitial to alveolar pattern in the ventral aspect of the left cranial lung lobe (cranial subsegment). The cardiac silhouette is normal in size and shape. The pulmonary vessels are unremarkable. The mediastinum and pleural space are within normal limits. The trachea is normal. The cranial thoracic esophagus contains a small volume of gas. The stomach is moderately gas dilated. There is a soft tissue mass on the left aspect of the thorax from the 5th to 8th ribs. The ribs are normal.</t>
  </si>
  <si>
    <t>1. There is ventrally distributed pulmonary disease in the left cranial lung, most consistent with pneumonia._x000D_
2. Mild gas dilation of the stomach is likely due to aerophagia.</t>
  </si>
  <si>
    <t>Recheck radiographs following a course of antibiotics are recommended.</t>
  </si>
  <si>
    <t xml:space="preserve">
1.Rarely, this result detects minimal to mild pulmonary vasculature enlargement._x000D_
2.Rarely,  this result detects minimal pleural fissure lines/fluid.  _x000D_
3.This results detects a minimal to mild interstitial pulmonary pattern._x000D_
4.This result detects a minimal to mild bronchial pulmonary pattern._x000D_
5.This result detects equivocal/borderline to mild cardiomegaly._x000D_
6.Rarely, this result detects a minimal alveolar pulmonary pattern. </t>
  </si>
  <si>
    <t>Three radiographs of the thorax are provided. The cardiac silhouette is normal size on the lateral views. The heart appears larger on the VD projection due to adjacent fat deposition and partial expiration. Pulmonary vessels are normal size. There is a mild bronchial pattern in the lungs. The prominent bronchial markings and adjacent vessels causes the appearance of small nodules in the caudodorsal lungs on the lateral views. There is no pleural effusion. Fat deposition in the cranial mediastinum causes a hazy appearance ventral to the trachea on the lateral views. Tracheal diameter and position are normal.</t>
  </si>
  <si>
    <t>Mild bronchial pattern most consistent with airway inflammation such as asthma. There is no evidence of cardiovascular disease or pneumonia.</t>
  </si>
  <si>
    <t>If the patient does not respond to treatment for allergic airway disease (if discontinued previously), airway cytology should be considered.</t>
  </si>
  <si>
    <t>Three view orthogonal radiographs (3 images) of the thorax and cranial abdomen dated February 2, 2024, are available for interpretation. No prior images are available for comparison._x000D_
_x000D_
The cat was sedated with 1 mg/kg (5 mg) alfaxolone and 0.15 mg/kg (0.7 mg) butorphanol IM._x000D_
_x000D_
Thorax:_x000D_
Airway/pulmonary: The lungs have a diffuse, mild bronchial pattern. On the VD projection, a mild interstitial pulmonary pattern is also present in the caudal lung lobes. _x000D_
_x000D_
Cardiovascular: On the right lateral projection, mild widening to the heart base is present and the main pulmonary artery, dorsal to the carina is mildly enlarged. Also, slight rounding to the caudal cardiac margin is present. On the left lateral projection, the caudal pulmonary vasculature is mildly distended centrally and appears mildly tortuous overlying the 9th intercostal space. Peripherally, the pulmonary vasculature tapers normally. The descending aorta is normal. The CVC is normal. _x000D_
_x000D_
Mediastinum: Normal_x000D_
_x000D_
Pleural space: Normal. No pneumothorax noted._x000D_
_x000D_
Cranial abdomen: Cranial abdominal detail is normal. The stomach contains a moderate amount of ingesta. _x000D_
_x000D_
Msk: Normal</t>
  </si>
  <si>
    <t>1) Mild widening to the heart base and main pulmonary artery enlargement. These changes are suggestive of pulmonary hypertension. _x000D_
2) Rounding to the caudal cardiac margin on the right lateral projection can be associated with occult LV wall thickening. Mild enlargement to the caudal pulmonary vasculature and mild interstitial pattern in the caudal lung lobes. DDx: secondary to early, emerging or resolving left heart failure vs. secondary to feline heartworm disease._x000D_
3) Mild, diffuse bronchial pattern. This finding in conjunction with suspected pulmonary hypertension could indicate previous or current feline heartworm infection vs. chronic lower airway disease with secondary pulmonary hypertension (cor pulmonale) vs. peribronchial edema secondary to low grade, emerging or resolving left heart failure.</t>
  </si>
  <si>
    <t>See same day cardiac ultrasound report. No contraindications to thyroid scan or I-131 therapy. Repeat thoracic radiographs if there is concern for respiratory disease to reassess the caudal lung lobes for the persistent interstitial and peribronchial pattern.</t>
  </si>
  <si>
    <t>Study:_x000D_
Thoracic and abdominal radiography: five images dated February 2, 2024_x000D_
_x000D_
Findings:_x000D_
The cardiac silhouette and pulmonary vasculature are normal in size. There is a mild generalized bronchial pulmonary pattern. The pleural space is normal. There is no intrathoracic lymphadenopathy. The trachea is normal in diameter and course. There is a small volume of gas in the esophagus on the left lateral view. The stomach is gas distended. The small intestines are also diffusely gas distended. The colon contains formed fecal material. The liver and spleen are normal in size and margin. The renal silhouettes are normal in size and contour. The urinary bladder is normal in size and opacity. The right 13th rib is hypoplastic._x000D_
_x000D_
A human digit is present in the primary beam on the right lateral projection timestamped 3:52 PM.</t>
  </si>
  <si>
    <t>1. The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considered._x000D_
2. The diffuse gastrointestinal gas dilation is likely secondary to aerophagia. Nonspecific functional ileus cannot be completely excluded in the absence of any reported vomiting.</t>
  </si>
  <si>
    <t>WHOLE-BODY (five radiographs for review). No previous for comparison._x000D_
_x000D_
- Mild diffuse bronchial pattern._x000D_
- Trachea is unremarkable._x000D_
- Cardiac silhouette, pulmonary vasculature, pleural space and remaining included intrathoracic structures unremarkable._x000D_
- Excessive body habitus._x000D_
- Stomach contains a mild to moderate volume of gas and gas stippled soft-tissue opaque material._x000D_
- Small intestine contains mild multifocal soft-tissue opaque material and gas._x000D_
- The colon contains gas and formed fecal material._x000D_
- Peritoneal serosal detail is normal._x000D_
- The liver, spleen, kidneys, urinary bladder and remaining abdominal structures are normal._x000D_
- The included musculoskeletal structures are normal.</t>
  </si>
  <si>
    <t>1. Mild diffuse bronchial pattern. May be compatible with chronic lower airway disease such as feline asthma, however it is somewhat atypical for the patient to present recently at the reported age. For this reason, a bronchitis of infectious (e.g. bacterial, parasitic), allergic or inhaled irritant etiologies are possible. The thorax is otherwise unremarkable. Consider treatment for lower airway disease (e.g. antibiotics, cough suppressants, corticosteroids) and if the patient does not improve or worsens despite medical management a thoracic CT with lower airway sampling (e.g. BAL) is might help guide treatment._x000D_
_x000D_
2. Aerophagia. A few small nonspecific mineral opacities are present within the gastric lumen enter likely incidental._x000D_
_x000D_
3. Excessive body habitus.</t>
  </si>
  <si>
    <t>Seven radiographs of the thorax and abdomen are provided. The cardiac silhouette and pulmonary vessels are normal size and shape. There are no abnormalities in the pleural space or pulmonary parenchyma. No enlarged intrathoracic lymph nodes. In the abdomen there is large volume kibble-like soft tissue density filling the stomach. Small bowel are minimally filled. Gas and small volume of formed feces in the colon. Normal-sized spleen, kidneys, liver. No radiopaque urolithiasis. Mild osteoarthrosis in the coxofemoral joints.</t>
  </si>
  <si>
    <t>Normal thorax and abdomen. The reason for weight loss is not identified.</t>
  </si>
  <si>
    <t>6 images of the thorax and abdomen are presented for review.  The cardiovascular structures are normal.  There is a marked bronchial pattern in all lung lobes.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kidneys are small with mineral in the pelvis.  The remaining abdominal organs are normal.</t>
  </si>
  <si>
    <t>Chronic renal changes with nephrolithiasis.  Severe bronchial pulmonary pattern.  Considerations include asthma, heartworm, lungworm, atypical infection, bronchitis.</t>
  </si>
  <si>
    <t>WHOLE-BODY (four radiographs for review). No previous for comparison._x000D_
_x000D_
- Peritoneal serosal detail is normal._x000D_
- The stomach contains a small volume of gas and mild gas stippled soft-tissue opaque material. The caudal portion of the thoracic esophagus contains a moderate volume of fluid._x000D_
- On the VD projection, in the right cranial abdomen closely associated with/superimposed over the proximal duodenum, there is a 1.5 x 1.3 cm rounded mixed soft-tissue and mineral opaque structure that cannot be distinctly noted orthogonally. The remaining small intestinal segments are relatively empty/nondistended._x000D_
- The colon contains gas and formed fecal material._x000D_
- The liver, kidneys, urinary bladder and spleen are normal._x000D_
- Besides the described changes to the esophagus, the remaining included intrathoracic structures are normal._x000D_
- The included musculoskeletal structures are unremarkable.</t>
  </si>
  <si>
    <t>1. I am suspicious of a foreign object in the proximal duodenum potentially causing a mechanical obstruction, gastritis and esophageal reflux/esophagitis. Although the appearance is not definitive (as the structure is not distinctly seen orthogonally and the abnormal region on the VD is also superimposed over the ascending colon), in combination with the reported history, the radiographic findings are concerning and I would recommend additional imaging (e.g. ultrasound) for further assessment of the radiographic findings. Ultimately, if the patient is declining clinically and ultrasound is not available, exploratory laparotomy would be reasonable.</t>
  </si>
  <si>
    <t>WHOLE-BODY (four radiographs for review). No previous for comparison._x000D_
_x000D_
- Moderate diffuse bronchial pattern._x000D_
- Mild pulmonary hyperinflation._x000D_
- Mild multifocal gas in the thoracic esophagus._x000D_
- Cardiac silhouette, pulmonary vasculature, pleural space and remaining included intrathoracic structures are unremarkable._x000D_
- Stomach has a postprandial appearance and contains a small volume of gas. Small intestine contains mild multifocal gas and heterogeneous soft-tissue opaque material. Colon contains gas and formed fecal material._x000D_
- Liver spleen and kidneys are normal._x000D_
- Numerous variably sized cystoliths in the urinary bladder, the largest measuring 1 x 1 cm._x000D_
- included musculoskeletal structures are normal.</t>
  </si>
  <si>
    <t>1.  Moderate diffuse bronchial pattern with pulmonary hyperinflation. Most compatible with chronic lower airway disease and secondary air-trapping.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Numerous cystoliths. For further assessment, sonographic assessment of the entire urinary tract might be indicated. Urinary dissolution diet versus cystotomy._x000D_
_x000D_
3. Recent meal.</t>
  </si>
  <si>
    <t>SPINE (six total radiographs for review). No previous for comparison._x000D_
_x000D_
- Cervical vertebral column normal._x000D_
- Thoracic vertebral column unremarkable._x000D_
- Thoracolumbar region normal._x000D_
- Lumbar vertebrae are unremarkable._x000D_
- Lumbosacral junction normal._x000D_
- Sacrum normal._x000D_
- Tail unremarkable._x000D_
- Coxofemoral joints unremarkable._x000D_
- Included portions of the proximal aspect of the pelvic limbs normal._x000D_
- The liver is moderately to markedly enlarged, with rounded margins._x000D_
- The gastrointestinal tract, spleen, kidneys, urinary bladder and remaining abdominal structures are normal._x000D_
- The thoracic structures are unremarkable.</t>
  </si>
  <si>
    <t>1. A discrete radiographic cause for the reported pelvic limb ataxia and fecal incontinence is not clearly identified. Radiographically the spine is unremarkable and there is no evidence of fracture, luxation, discospondylitis or aggressive bone lesions. Spinal radiography may have limited sensitivity. Given the reported history and that the patient is relatively young, consultation with a neurologic or internal medicine specialist may be considered._x000D_
_x000D_
2. Moderate hepatomegaly. DDx metabolic (vacuolar) hepatopathy, less likely cholangiohepatitis, congestion or neoplasia. If there is a history of hepatic enzyme elevation, sonographic assessment of the liver +/- FNA may be considered.</t>
  </si>
  <si>
    <t>A three view thoracoabdominal study is provided for interpretation._x000D_
_x000D_
The heart is at the upper end of normal size range. Pulmonary vessels are normal. There is a mild bronchointerstitial pulmonary pattern. There is subtle soft tissue opacity just cranial to the heart in the lateral views. The appearance is compatible with residual thymus tissue secondary to the young age of the patient._x000D_
Detail in the abdomen appears slightly reduced in the VD view. This is suspected to be superimposition artifact due to what appears to be wet fur or ultrasound gel causing hyperechoic streaky artifact on the ventrum. No foreign bodies are seen in the GI tract. Much of the small intestine appears fluid filled. No dilation of the stomach or intestine is identified. The other organs are within normal size and shape limits.</t>
  </si>
  <si>
    <t>No significant abdominal abnormalities are identified. There is no visible foreign body or obstructive pattern. Metabolic or stomach infectious disease should be ruled out._x000D_
_x000D_
There is a mild bronchointerstitial pattern. The appearance would be compatible with reactive lower airway disease such as asthma or inflammatory changes secondary to low-grade infectious bronchitis, allergic lung disease, or parasitic infection such as lungworms or heartworm disease.</t>
  </si>
  <si>
    <t>CBC, serum chemistry, and urinalysis is recommended._x000D_
Heartworm testing and Baermann fecal exam for lungworms is also recommended._x000D_
_x000D_
Supportive care and symptomatic therapy for gastroenteritis is recommended. Infectious causes should be ruled out.</t>
  </si>
  <si>
    <t xml:space="preserve">
1.This result detects a minimal to mild interstitial pulmonary pattern._x000D_
2.This result does NOT detect an alveolar pulmonary pattern. _x000D_
3.This result detects equivocal/borderline to mild cardiomegaly._x000D_
4.This result does NOT detect pleural fissure lines.  _x000D_
5.This result detects a minimal to moderate bronchial pulmonary pattern.</t>
  </si>
  <si>
    <t>WHOLE-BODY (six radiographs for review). No previous for comparison._x000D_
_x000D_
- Moderate with hair artifact._x000D_
- Excessive body habitus._x000D_
- Moderate diffuse bronchial pattern._x000D_
- Triangular soft-tissue opacity and reduction in volume of the right middle lung lobe with associated rightward mediastinal shift._x000D_
- Prominent aortic root._x000D_
- Mild generalized cardiomegaly. Pulmonary vasculature and parenchyma normal._x000D_
- Peritoneal serosal detail is normal._x000D_
- The stomach contains a small volume of gas stippled soft-tissue opaque material._x000D_
- The small intestine contains mild multifocal gas and soft-tissue opaque material._x000D_
- The colon contains gas and formed fecal material._x000D_
- The liver is mildly enlarged, extending caudal to the costal arch with rounded margins._x000D_
- The spleen, kidneys, urinary bladder and remaining abdominal structures are normal._x000D_
- There is moderate multifocal spondylosis deformans present._x000D_
- There is mild left elbow joint osteoarthritis (limited assessment).</t>
  </si>
  <si>
    <t>1. Moderate diffuse bronchial pattern with right middle lung lobe pulmonary atelectasis likely compatible with feline asthma and secondary bronchial mucus plugging._x000D_
_x000D_
2. The appearance of the aortic root may be incidentally seen in some older cats, however given the reported history can be due to/associated with systemic hypertension. There is a mild generalized cardiomegaly that is present that could indicate that there is concentric cardiac hypertrophy (remodeling) secondary to chronic hypertension. Primary cardiomyopathy (hypertrophic, restrictive, unclassified) is also possible. No evidence of pulmonary vascular congestion or congestive heart failure. Consider serial blood pressure measurement, cardiac auscultation and echocardiography/ECG._x000D_
_x000D_
3. Mild hepatomegaly. DDx metabolic (vacuolar) hepatopathy, less likely cholangiohepatitis, congestion or neoplasia. If there is a history of hepatic enzyme elevation, sonographic assessment of the liver +/- FNA may be considered._x000D_
_x000D_
4. Excessive body habitus. _x000D_
_x000D_
5. Mild left elbow osteoarthritis.</t>
  </si>
  <si>
    <t>Radiographically, it seems that most likely the patient=ZZ91=s clinical signs could be related to chronic lower airway disease such feline asthma and empirical treatment for this pathology may provide clinical benefit. Otherwise, an obvious radiographic cause for the reported clinical signs is not clearly identified.</t>
  </si>
  <si>
    <t xml:space="preserve">
1.This result detects mild to moderate, or less commonly equivocal/borderline cardiomegaly._x000D_
2.This result detects minimal to mild, mixed interstitial and bronchial pulmonary patterns._x000D_
3.This result does NOT detect an alveolar pulmonary pattern.  _x000D_
4.Uncommonly, this result detects minimal to mild pulmonary vasculature enlargement._x000D_
5.Rarely,  this result detects minimal pleural fissure lines/fluid.  </t>
  </si>
  <si>
    <t>Orthogonal radiographs of the thorax/abdomen are provided. The cardiac silhouette and pulmonary vessels are normal size. The lungs are clear. No pleural effusion. The plane of the esophagus is unremarkable. In the abdomen there is no effusion. Scant gas and equivocal small volume of amorphous soft tissue density in the stomach. Small bowel is minimally filled. Small volume formed feces in the colon. No radiopaque foreign material or urolithiasis.</t>
  </si>
  <si>
    <t>Equivocal soft tissue density in the stomach, concerning for foreign material/trichobezoar. Collapsed rugal folds could potentially cause this appearance. Otherwise normal thorax and abdomen.</t>
  </si>
  <si>
    <t>Consider strictly fasted abdominal ultrasound. None available, A positive contrast gastrogram is another option, as long as vomiting is at least somewhat controlled.</t>
  </si>
  <si>
    <t>WHOLE-BODY (three radiographs for review). No previous for comparison._x000D_
_x000D_
- The cardiac silhouette, pulmonary parenchyma and pleural space are normal._x000D_
- The cardiopulmonary structures are normal._x000D_
- The trachea, pleural space, mediastinum, esophagus and remaining included intrathoracic structures are unremarkable_x000D_
- The ribs and thoracic body wall are unremarkable._x000D_
- The vertebral column is unremarkable._x000D_
- Peritoneal serosal detail is normal._x000D_
- The stomach contains a small volume of gas and mild gas stippled soft-tissue opaque material. The small intestine contains mild multifocal gas and soft-tissue opaque material. The colon contains mildly desiccated fecal material and gas._x000D_
- The liver, spleen, kidneys, urinary bladder and remaining abdominal structures are normal._x000D_
- The included musculoskeletal structures are normal.</t>
  </si>
  <si>
    <t>1. Normal thorax. No radiographic evidence of pulmonary contusions or additional thoracic trauma. No rib fractures or thoracic body wall injuries identified. Please note that radiographic changes may lag behind clinical signs, however if the patient fell one week prior, the emergence of pulmonary contusions at this timepoint would be atypical. Nevertheless, if there is a persistent respiratory abnormalities or worsening, recheck thoracic radiographs may be considered._x000D_
_x000D_
2. Relatively unremarkable abdomen with mild constipation._x000D_
_x000D_
3. Unremarkable musculoskeletal structures without obvious radiographic evidence of trauma.</t>
  </si>
  <si>
    <t>No contraindication to general anesthesia for the reported dental procedure is identified.</t>
  </si>
  <si>
    <t xml:space="preserve">
1.This result does NOT detect soft tissue pulmonary nodules._x000D_
2.This result detects equivocal/borderline to mild, or rarely moderate to severe cardiomegaly._x000D_
3.This result does NOT detect pleural fissure lines._x000D_
4.This result detects a minimal to moderate bronchial pulmonary pattern._x000D_
5.This result detects a minimal to mild interstitial pulmonary pattern._x000D_
6.This result does NOT detect an alveolar pulmonary pattern.</t>
  </si>
  <si>
    <t>Study:_x000D_
Thoracic/abdominal radiography: three images dated February 1, 2024_x000D_
_x000D_
Findings:_x000D_
The cardiac silhouette and pulmonary vasculature are normal in size. There is a mild generalized bronchial pulmonary pattern. The pleural space is normal. There is indistinct increased soft tissue opacity within the cranial mediastinum just cranial to the cardiac silhouette on both lateral views thought to represent incidental thymic tissue.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renal silhouettes are normal in size and contour. The urinary bladder is normal in size and opacity. No skeletal abnormalities are present._x000D_
_x000D_
Human digits are present in the primary beam on the VD view.</t>
  </si>
  <si>
    <t>1.  The generalized bronchial pulmonary pattern may indicate allergic/inflammatory bronchitis (asthma). Infectious, parasitic and irritant bronchitis are also possible. Airway sampling plus/minus heartworm testing and Baermann fecal flotation can be considered for further evaluation._x000D_
2. Postprandial stomach=ZZ90= otherwise, unremarkable abdomen.</t>
  </si>
  <si>
    <t>The suspected lower airway disease may be unrelated to the reported concurrent sneezing and serous nasal discharge. Infectious respiratory disease PCR testing plus/minus computed tomography the head/nasal passages and rhinoscopy can be considered for further evaluation of the upper respiratory signs.</t>
  </si>
  <si>
    <t>THORAX and SPINE  (five total radiographs for review). No previous for comparison._x000D_
_x000D_
- Excessive body habitus._x000D_
- Moderate diffuse bronchial pattern._x000D_
- Prominent aortic root. Cardiac silhouette otherwise within normal limits for size, shape and margins. Pulmonary vasculature are unremarkable._x000D_
- In the ventral most portion of the left caudal lung lobe, there is a fairly well-defined, curvilinear, rounded soft-tissue opacity measuring 2.4 x 1.5 cm._x000D_
- The patient has six lumbar vertebrae._x000D_
- caudal cervical, thoracolumbar, lumbosacral vertebral column normal._x000D_
- Sacroiliac joints, coxofemoral joints, stifles and tarsi within normal limits bilaterally._x000D_
- the liver is moderately enlarged, extending caudal to the costal arch with rounded margins._x000D_
- The stomach contains mild gas and mild gas stippled soft-tissue opaque material._x000D_
- The small intestine contains mild multifocal gas and soft-tissue/fluid._x000D_
- The colon contains gas and desiccated formed fecal material.</t>
  </si>
  <si>
    <t>1. A prominent aortic root given the presence of a systolic heart murmur may indicate systemic hypertension with secondary concentric cardiac hypertrophy/remodeling however primary cardiomyopathy (hypertrophic, restrictive, unclassified) still remains possible. There is no discrete enlargement of the cardiac silhouette and pulmonary vasculature and no evidence of congestive heart failure. Consider systemic blood pressure measurement and echocardiography/ECG for further assessment._x000D_
_x000D_
2. I have concerns for the presence of a early/small mass in the ventral portion of the left caudal lung lobe which is prioritized as neoplasia (e.g. primary pulmonary carcinoma or less likely metastatic lesion) it may also be a benign, large pulmonary granuloma or abscess however this is less likely. I would recommend serial radiographs following up this area over time versus thoracic CT for further assessment. The lesion seems peripheral and is theoretically amenable to fine needle aspiration with ultrasound guidance_x000D_
_x000D_
3. Radiographically unremarkable spine, pelvis, coxofemoral joints and proximal portion of the pelvic limbs without discrete cause for the reported pain on hip/spine palpation_x000D_
_x000D_
4. Mild hepatomegaly. DDx metabolic (vacuolar) hepatopathy, less likely cholangiohepatitis, congestion or neoplasia. If there is a history of hepatic enzyme elevation, sonographic assessment of the liver +/- FNA may be considered._x000D_
_x000D_
5. Mild constipation._x000D_
_x000D_
6. Excessive body habitus.</t>
  </si>
  <si>
    <t>THORAX (three radiographs for review). No priors._x000D_
_x000D_
- Mild to moderate diffuse bronchial pattern._x000D_
- Prominent aortic root. Remainder of the cardiac silhouette within normal limits for size, shape and margins. Pulmonary vasculature normal._x000D_
- Trachea, pleural space, mediastinum and remaining included intrathoracic structures unremarkable._x000D_
- The stomach contains a moderate gas stippled soft-tissue opaque material and gas._x000D_
- The small intestine contains mild multifocal gas and soft-tissue/fluid._x000D_
- The colon contains mildly desiccated fecal material._x000D_
- There is mild multifocal spondylosis deformans present. The remaining included musculoskeletal structures are normal.</t>
  </si>
  <si>
    <t>1. Mild to moderate diffuse bronchial pulmonary pattern. Considering the patient has improved on antibiotic therapy, a bronchitis of infectious (e.g. bacterial) etiologies seems most likely, however the changes are nonspecific and could also reflect chronic lower airway disease (e.g. feline asthma) or inhaled irritant._x000D_
_x000D_
2. Prominent aortic root can be seen incidentally in older cats however may also be associated with systemic hypertension. Consider systemic blood pressure measurement. Secondary concentric cardiac hypertrophy could also be possible given the aortic root enlargement however no cardiomegaly is clearly identified. Auscultation for a murmur may be performed if not recently done._x000D_
_x000D_
3. Moderate nonspecific gastric soft-tissue opaque material._x000D_
_x000D_
4. Mild constipation.</t>
  </si>
  <si>
    <t xml:space="preserve">
1.This result detects a mild to moderate bronchial pulmonary pattern._x000D_
2.Rarely, this result detects a minimal alveolar pulmonary pattern._x000D_
3.Rarely, this result detects pulmonary soft tissue nodules._x000D_
4.This result detects equivocal/borderline to moderate cardiomegaly. _x000D_
5.This result does not detect pulmonary vasculature enlargement._x000D_
6.This result does not detect pleural fissure lines/fluid.  _x000D_
7.This result detects a minimal to mild, or rarely moderate interstitial pulmonary pattern.  </t>
  </si>
  <si>
    <t>Study:_x000D_
Thoracic radiography: three images dated January 31,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heterogeneous soft tissue material presumed to be ingesta. The osseous structures are unremarkable/age appropriate.</t>
  </si>
  <si>
    <t>Normal thorax. There is no radiographic evidence of cardiopulmonary disease. A cause of coughing is not evident. Lack of a definitive bronchial pulmonary pattern does not exclude the possibility of allergic/inflammatory, infectious, irritant or, less likely, parasitic bronchitis. Infectious respiratory disease PCR testing, airway sampling plus/minus heartworm testing and Baermann fecal flotation can be considered to further evaluate the reported coughing.</t>
  </si>
  <si>
    <t>SKULL (seven radiographs for review). No previous for comparison._x000D_
_x000D_
- Mild, bilateral increase in soft-tissue opacity within the nasal cavities, subjectively more severe on the left. No obvious evidence of nasal turbinate or maxillary bone osteolysis. The remaining included nasal structures and nasopharynx are normal._x000D_
- The dental structures are unremarkable._x000D_
- The mandible is normal._x000D_
- The tympanic bullae and ear canals are normal._x000D_
- The remaining included osseous/soft-tissue structures of the head are normal.</t>
  </si>
  <si>
    <t>1. Mild, bilateral (L =ZZ93= R) increase in soft-tissue opacity within the nasal cavities is nonspecific and may represent rhinitis (bacterial +/- viral, less likely fungal cryptococcus) or less likely neoplasia such as nasal lymphoma or a subtle intranasal epithelial neoplasia. No evidence of aggressive features such as osteolysis is noted.</t>
  </si>
  <si>
    <t>This patient may benefit from head CT +/- rhinoscopic biopsies if they are unresponsive or worsening despite medical management for rhinitis.</t>
  </si>
  <si>
    <t>Five orthogonal survey radiographs of the thorax and abdomen dated 31 January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There is a mild diffuse bronchial opacification._x000D_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splenic and renal silhouettes are normal. The stomach contains gas, and some mildly heterogenous soft tissue opaque material. The pylorus is appropriately gas-filled in the left lateral image. The small intestines are distributed evenly and are within normal limits for shape, size and contents. The ascending, transverse and descending colon have a normal position and contain gradually more formed faeces. The urinary bladder is normal. The serosal detail is normal._x000D_
_x000D_
Musculoskeletal findings:  [ ]</t>
  </si>
  <si>
    <t>Unremarkable abdomen. A gastritis due to dietary indiscretion, small soft tissue opaque foreign body, or a partial pyloric outflow obstruction cannot be excluded. Pancreatitis, cholangiohepatitis is considered less likely.</t>
  </si>
  <si>
    <t>Full blood work if not already performed. Empiric management for a gastritis is advised. Consider complete abdominal ultrasonographic examination depending on clinical response.</t>
  </si>
  <si>
    <t>Three radiographs of the thorax/abdomen are provided. The cardiac silhouette is upper normal size. Pulmonary vessels are normal size. There are no abnormalities in the pulmonary parenchyma. Hazy increased opacity overlying the cranioventral thorax on the lateral views is superimposed thoracic limb tissue. In the abdomen serosal detail is markedly poor. Large volume gas and semi-formed feces in the colon. A few loops of gas dilated small bowel are visible. Other abdominal organs are obscured. Smoothly contoured 2.1 cm soft tissue cranioventral left extra-abdominal tissues, of uncertain significance today. There is mild degenerative change in the coxofemoral joints.</t>
  </si>
  <si>
    <t>1. Severe peritoneal effusion of uncertain etiology. A neoplastic process is of concern. Inflammatory process or metabolic abnormality are next on the differential list._x000D_
2. Cranioventral left extra-abdominal mass, of uncertain significance._x000D_
3. Normal thorax.</t>
  </si>
  <si>
    <t>Peritoneal fluid evaluation and abdominal ultrasound are recommended.</t>
  </si>
  <si>
    <t>Four radiographs of the thorax and three views of the abdomen are provided. The cardiac silhouette and pulmonary vessels are normal size and shape. The heart appears larger on the VD projection due to adjacent fat deposition and expiration. There are no abnormalities in the pulmonary parenchyma. No pleural effusion. Gas dilated esophagus on the lateral views due to sedation._x000D_
_x000D_
In the abdomen serosal detail is normal. Large volume soft tissue opaque ingesta in the stomach. Small bowel are diffusely moderately filled with fluid and small volume gas. Formed feces fills the colon. No radiopaque foreign material or urolithiasis. Normal-sized liver, spleen, kidneys.</t>
  </si>
  <si>
    <t>Small intestinal functional ileus, a nonspecific finding that is most likely due to sedation. Metabolic abnormality, enteritis, stress/discomfort, other primary gastrointestinal disorder could also cause this appearance. Otherwise normal abdomen and thorax.</t>
  </si>
  <si>
    <t>Current diagnostics are appropriate. Based on blood work results and patient response to supportive care, abdominal ultrasound may be indicated.</t>
  </si>
  <si>
    <t>WHOLE-BODY (three radiographs for review). No previous for comparison._x000D_
_x000D_
- Peritoneal serosal detail is normal._x000D_
- Stomach contains a small volume of gas and mild gas stippled soft-tissue opaque material._x000D_
- The liver is moderately enlarged, with rounded margins._x000D_
- The small intestine contains mild multifocal gas and soft-tissue opaque material_x000D_
- The colon contains gas and formed fecal material._x000D_
- The kidneys and urinary bladder are unremarkable._x000D_
- The remaining included abdominal structures are normal._x000D_
- There is mild multifocal spondylosis deformans present._x000D_
- The cardiopulmonary structures, pleural space and remaining included intrathoracic structures are unremarkable.</t>
  </si>
  <si>
    <t>1. A discrete radiographic cause for reported polydipsia and/or vomiting is not clearly identified._x000D_
_x000D_
2. Mild constipation may be compatible with the reported history of straining to defecate._x000D_
_x000D_
3. Mild hepatomegaly. DDx metabolic (vacuolar) hepatopathy, less likely cholangiohepatitis, congestion or neoplasia. If there is a history of hepatic enzyme elevation, sonographic assessment of the liver +/- FNA may be considered._x000D_
_x000D_
4. Aerophagia and recent meal._x000D_
_x000D_
5. Normal aged thorax._x000D_
_x000D_
6. Mild lumbosacral spondylosis deformans._x000D_
_x000D_
7. Excessive body habitus.</t>
  </si>
  <si>
    <t>In this case, I would consider abdominal ultrasound for further assessment of the urinary system, colon and liver if clinically indicated.</t>
  </si>
  <si>
    <t xml:space="preserve">
1.This result detects a minimal to mild, or rarely moderate bronchial pulmonary pattern._x000D_
2.Rarely, this result detects a minimal alveolar pulmonary pattern._x000D_
3.This result does not detect pulmonary vasculature enlargement._x000D_
4.This result does not detect pleural fissure lines/fluid.  _x000D_
5.This result detects equivocal/borderline to mild cardiomegaly. _x000D_
6.This result detects a minimal to mild interstitial pulmonary pattern.  </t>
  </si>
  <si>
    <t>Opposite lateral and ventrodorsal thoracic radiographs (3 images) dated January 30, 2024._x000D_
_x000D_
Mild-moderate volume of pleural effusion is bilaterally present, resulting in partial border effacement of the cardiac silhouette, border effacement of the diaphragmatic cupula and caudal vena cava, and obscuration of the cranial mediastinal margins on the VD view. An irregularly shaped large pulmonary nodule measuring approximately 2.4 cm in maximal dimension is present in the left caudal lung lobe. A smaller more linear area of alveolar consolidation with some structure to it measure will 1.5 cm is present in the cranial lung field, although laterality is difficult to determine. There are other ill-defined areas of pulmonary consolidation and a few well-defined small round nodular opacities. This is associated with a generalized unstructured interstitial pattern and bronchial markings. Alveolar consolidation affects the right middle lung lobe. The cardiovascular structures that are visible are unremarkable. The trachea is normal in diameter and course with gas filling its lumen. No obvious intrathoracic lymphadenopathy is appreciable._x000D_
The liver is enlarged. The stomach contains a fair amount of gas. The included bowel segments are unremarkable. The urinary bladder appears distended with a large amount of fluid. Cranial peritoneal detail is normal._x000D_
No aggressive or clinically significant osseous pathology is identified. The protruding dorsal lumbar spine is processes is suspicious for epaxial muscle wasting.</t>
  </si>
  <si>
    <t>1. Pleural effusion with multiple variably sized pulmonary nodules is highly concerning for malignant neoplasia (ex: round cell such as lymphoma, or pulmonary carcinoma +/- pleural metastasis/carcinomatosis). Fungal granulomatous disease and pulmonary abscessation are less likely._x000D_
2. Hepatomegaly. Rule out a benign metabolic/vacuolar hepatopathy vs. infiltrative round cell neoplasia vs. hepatitis/cholangiohepatitis._x000D_
3. Evidence of epaxial muscle wasting suggests a catabolic disease process, such as secondary to neoplasia.</t>
  </si>
  <si>
    <t>Thoracocentesis for fluid analysis and cytology. The left caudal pulmonary nodule is peripheral enough where ultrasound-guided fine needle aspirates may be feasible for attempted cytologic diagnosis._x000D_
Abdominal ultrasound, CBC, chemistry, T4, fecal, systemic blood pressure evaluation, FeLV/FIV.</t>
  </si>
  <si>
    <t xml:space="preserve">
1.The cardiac silhouette and pulmonary vasculature are partially obscured by the pulmonary and pleural changes but cardiomegaly is suspected._x000D_
2.A diffuse, mixed interstitial and alveolar pattern has been detected with a perihilar component. A component of pulmonary hypoinflation is also present and is likely due to a combination of the pulmonary infiltrate; and partial atelectasis secondary to pleural effusion.._x000D_
3.Pleural fluid or pleural fissure lines have been detected.</t>
  </si>
  <si>
    <t>WHOLE-BODY (four radiographs for review). No previous for comparison._x000D_
_x000D_
- Cardiac silhouette, pulmonary vasculature, pulmonary parenchyma, pleural space and remaining included intrathoracic structures unremarkable._x000D_
- The liver is prominent, however this can be normal for a juvenile patient._x000D_
- Peritoneal serosal detail is normal._x000D_
- The stomach contains a small volume of gas stippled soft-tissue opaque material and mild gas._x000D_
- The small intestine contains mild multifocal gas and soft-tissue opaque material._x000D_
- The colon contains mildly desiccated, formed fecal material._x000D_
- The spleen, kidneys, urinary bladder and remaining abdominal structures are normal._x000D_
- The included musculoskeletal structures are unremarkable.</t>
  </si>
  <si>
    <t>1. Unremarkable thorax. A discrete cause for the reported trouble breathing is not clearly identified. Radiographic sensitivity for subtle lower airway disease such as asthma or infectious bronchitis may be limited. No evidence of pneumonia, cardiac disease or other intrathoracic lesions._x000D_
_x000D_
2. Mild constipation._x000D_
_x000D_
3. Recent meal._x000D_
_x000D_
4. Otherwise unremarkable abdomen.</t>
  </si>
  <si>
    <t>Although I cannot appreciate discrete airway or pulmonary changes, the patient may benefit from empirical treatment towards lower airway disease and if there is lack of improvement, recheck radiographs and/or thoracic CT or internal medicine consultation may be reasonable.</t>
  </si>
  <si>
    <t>THORAX (five radiographs for review). No priors._x000D_
_x000D_
- The airways and pulmonary parenchyma normal._x000D_
- The cardiac silhouette, pulmonary vasculature, pleural space normal._x000D_
- The trachea, esophagus, mediastinum and remaining included intrathoracic structures are unremarkable._x000D_
- The liver is mildly enlarged, extending caudal to the costal arch with rounded margins._x000D_
- The remaining included cranial abdominal structures are normal._x000D_
- The included musculoskeletal structures are unremarkable.</t>
  </si>
  <si>
    <t>1. Normal thorax. A discrete radiographic cause for the reported sporadic coughing/sneezing is not clearly identified. No discrete lower airway changes such as a bronchial pattern are identified to indicate bronchitis or asthma, however radiographic sensitivity may be limited. There is no evidence of pneumonia._x000D_
_x000D_
2. Mild hepatomegaly. DDx metabolic (vacuolar) hepatopathy, less likely cholangiohepatitis, congestion or neoplasia. If there is a history of hepatic enzyme elevation, sonographic assessment of the liver +/- FNA may be considered.</t>
  </si>
  <si>
    <t>Consider treatment for upper respiratory infection and if the patient does not improve or worsens despite medical management internal medicine consultation +/-  a thoracic CT may be reasonable.</t>
  </si>
  <si>
    <t>Thorax: The pulmonary parenchyma, cardiac silhouette, and pulmonary vasculature are unremarkable.  There is no evidence of pleural effusion or lymphadenopathy._x000D_
_x000D_
Abdomen: There is a moderate amount of heterogeneous soft tissue opacity within the gastric lumen.  There are no abnormalities involving the remainder of the gastrointestinal tract.  The liver and spleen are unremarkable.  The urinary tract is unremarkable.  Serosal detail is normal.</t>
  </si>
  <si>
    <t>Unremarkable thorax._x000D_
_x000D_
The soft tissue opacity within the gastric lumen most likely represents normal ingesta however foreign material cannot be ruled out.</t>
  </si>
  <si>
    <t>Opposite lateral and ventrodorsal thoracic radiographs (4 images) dated January 30,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Irregular soft-tissue thickening is associated with the ventral body wall subcutis at the level of the xiphoid._x000D_
No aggressive or clinically significant osseous pathology is identified. There is minimal caudal thoracic and cranial lumbar spondylosis deformans. The liver and stomach are unremarkable. Cranial peritoneal detail is normal.</t>
  </si>
  <si>
    <t>1. Unremarkable thorax with no evidence of metastatic neoplasia._x000D_
2. Focal soft tissue thickening ventral to the xiphoid may represent the reported mammary adenocarcinoma.</t>
  </si>
  <si>
    <t>Regional ultrasound of the axillary, superficial inguinal, and medial iliac lymph nodes, as these are common sites for regional metastatic disease from mammary carcinoma.</t>
  </si>
  <si>
    <t>Opposite lateral and ventrodorsal thoracic radiographs (3 images) dated January 29, 2024._x000D_
_x000D_
The cardiac silhouette, pulmonary vasculature, and great vessels are within normal limits. The pulmonary parenchyma has a severe bronchial pattern with bronchial wall thickening and peribronchial unstructured interstitial cuffing. No pulmonary nodules or masses are identified. There are conspicuous pleural fissure lines. The mediastinum and diaphragm are normal. The trachea is normal in diameter and course with gas filling its lumen. No intrathoracic lymphadenopathy is present. The liver is mildly enlarged. Cranial peritoneal detail is normal. No aggressive osseous lesions are identified. The more ventrally positioned tympanic bullae has a thickened wall and relative increased opacity within the chamber.</t>
  </si>
  <si>
    <t>1. Severe bronchitis. Rule out eosinophilic/feline asthma vs. infectious (bacterial or parasitic [including heartworm]) vs. chronic inhaled irritants._x000D_
2. The pleural fissure lines likely represent pleural thickening/fibrosis related a chronic lower airway disease. Scant pleural effusion is less likely._x000D_
3. Otitis media (laterality unknown)._x000D_
4. Hepatomegaly. Rule out a benign metabolic/vacuolar hepatopathy vs. hepatitis/cholangiohepatitis vs. least likely infiltrative round cell neoplasia.</t>
  </si>
  <si>
    <t>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unknown._x000D_
TFAST to rule out or confirm scant pleural effusion._x000D_
Sedated oblique, VD, and rostrocaudal skull radiographs to examine the tympanic bullae further vs. ideally sedated skull/bulla CT coupled with otoscopic exam.</t>
  </si>
  <si>
    <t xml:space="preserve">
1.This result detects a minimal to mild, or rarely moderate interstitial pulmonary pattern._x000D_
2.This result detects a minimal to moderate bronchial pulmonary pattern._x000D_
3.Rarely, this result detects a minimal alveolar pulmonary pattern._x000D_
4.This result does not detect soft tissue pulmonary nodules._x000D_
5.Rarely, this result detects minimal pleural fissure lines/fluid.  _x000D_
6.Uncommonly, this result detects minimal to mild pulmonary vasculature enlargement._x000D_
7.This result detects mild to moderate cardiomegaly.</t>
  </si>
  <si>
    <t>THORAX (four radiographs for review). A previous examination is available from 2023._x000D_
_x000D_
- Moderate diffuse bronchial pattern._x000D_
- Ill-defined, rounded soft-tissue opaque nodule in the right caudal lung lobe (1 x 1 cm)._x000D_
- Mild leftward mediastinal shift._x000D_
- Prominent aortic root._x000D_
- Cardiac silhouette and pulmonary vasculature are unremarkable._x000D_
- Trachea, esophagus, mediastinum and remaining included intrathoracic structures normal._x000D_
- Liver is mildly enlarged, with rounded margins._x000D_
- The spleen, kidneys, urinary bladder and remaining included abdominal structures are normal._x000D_
- The stomach and visible small intestinal segments contains mild multifocal gas and soft-tissue opaque material._x000D_
- The colon contains gas and formed fecal material._x000D_
- There is mild multifocal spondylosis deformans present.</t>
  </si>
  <si>
    <t>1. Moderate diffuse bronchial pulmonary pattern. Most likely compatible with chronic lower airway disease such as feline asthma, less likely bronchitis of allergic, inhaled irritant or infectious etiologies)._x000D_
_x000D_
2. Right caudal lung lobe soft-tissue opaque nodule. Considerations include neoplasia (early, primary lung tumor vs. less likely metastatic lesion) or less likely pulmonary granuloma or abscess._x000D_
_x000D_
3. Prominent aortic root can be seen incidentally in older cats, however may also be due to systemic hypertension. Consider blood pressure measurement._x000D_
_x000D_
4. Mild hepatomegaly. DDx metabolic (vacuolar) hepatopathy, less likely cholangiohepatitis, congestion or neoplasia. If there is a history of hepatic enzyme elevation, sonographic assessment of the liver +/- FNA may be considered._x000D_
_x000D_
5. Aerophagia.</t>
  </si>
  <si>
    <t>In regards to the current clinical complaint, radiographically the most likely cause is the lower airway disease and empirical treatment for this may provide clinical benefit._x000D_
_x000D_
Workup of the right caudal lung lobe nodule might also be considered, with thoracic/whole body CT and/or abdominal ultrasound for further assessment. Recheck radiographs to evaluate for change in size or number of nodules over time may also be reasonable.</t>
  </si>
  <si>
    <t>Patient name: JD Martin_x000D_
THORAX (3 views, 3 images=ZZ90= [2 lateral, 1 VD])_x000D_
Images are dated January 29, 2024._x000D_
There are no previous radiographs for comparison. _x000D_
_x000D_
Airway/Pulmonary: The lungs are adequately inflated. Diffusely throughout the lungs a mild increase in bronchial opacity is noted.  No distinct soft tissue pulmonary nodules are detected.  Tracheal and mainstem bronchial diameter is normal. _x000D_
_x000D_
Cardiovascular: The cardiac silhouette is mildly generally enlarged (VHS approximately 8.5).  The primary pulmonary vasculature are normal in width but the secondary vessels are prominent caudally._x000D_
_x000D_
Mediastinum: No lymph node enlargement is detected.  The caudal vena cava is normal in height.  _x000D_
_x000D_
Pleural space: No pleural effusion is seen. _x000D_
_x000D_
Cranial abdomen: the liver is mildly enlarged, with rounded margins. The visible portions of the spleen, kidneys, stomach, small intestine, colon, and urinary bladder are within normal limits. _x000D_
_x000D_
Musculoskeletal: The patient is moderately overconditioned.  No other abnormalities detected in the visible musculoskeletal structures.</t>
  </si>
  <si>
    <t>1. Mild generalized bronchial pattern is questionable and could indicate infectious bronchitis (e.g. bacterial, parasitic). It also may indicate a more chronic lower airway disease such as feline asthma. There is no evidence of aspiration pneumonia._x000D_
_x000D_
2. Mild to moderate generalized cardiomegaly. Although the patient has an excessive body habitus and there is a large degree of pericardial fat accumulation, the silhouette still looks too enlarged to be normal and I would recommend careful cardiac consultation +/- echocardiography/ECG. No evidence of congestive heart failure._x000D_
_x000D_
3. Excessive body habitus._x000D_
_x000D_
4. Mild hepatomegaly. DDx metabolic (vacuolar) hepatopathy, less likely cholangiohepatitis, congestion or neoplasia. If there is a history of hepatic enzyme elevation, sonographic assessment of the liver +/- FNA may be considered._x000D_
_x000D_
5. Aerophagia and recent meal.</t>
  </si>
  <si>
    <t>Airway sampling, heartworm testing and Baermann fecal flotation can be considered for further evaluation._x000D_
_x000D_
Consider initiation for lower airway disease (bronchitis/asthma) and if the patient does not improve or worsens despite medical management a thoracic CT with lower airway sampling may help guide therapy.</t>
  </si>
  <si>
    <t>Four orthogonal survey radiographs of the thorax and abdomen dated 27 January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Throughout the lung parenchyma there is a mild to moderate bronchointerstitial opacification.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moderate ventral pleural fat accumulation._x000D_
_x000D_
Abdomen: The hepatic silhouette is mildly enlarged with rounded margins. The kidneys are partially obscured by gastrointestinal contents, but the visible aspect are normal. The spleen is normal. There is mild opacification medial to the spleen. The stomach is empty containing some gas with a caudally displaced axis. The small intestines are mainly fluid-filled with some gas but within upper normal limits for size. The descending colon contains an increased amount of gas. The urinary bladder is normal._x000D_
_x000D_
Musculoskeletal findings: The patient is overweight.</t>
  </si>
  <si>
    <t>1. The bronchointerstitial pattern is a combination of body habitus and likely underlying allergic bronchitis (feline asthma), chronic environmental bronchitis, less likely infectious-inflammatory bronchitis (viral-bacterial, fungal, parasitic). There is no evidence for pulmonary oedema._x000D_
2. The GI signs are non-specific and may indicate a mild gastroenteritis of dietary indiscretion origin, or infectious after inflammatory causes. The gas in the colon may be secondary to aerophagia, or a non-specific colitis. The opacification medial to the spleen could be the normal left limb of the pancreas, however pancreatitis cannot be excluded._x000D_
3.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</si>
  <si>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Correlate with any respiratory signs. Respiratory workup including CBC, serum chemistry, urinalysis, Baermann faecal testing, 4DX, +/- respiratory panel or fungal testing may be considered._x000D_
Consider FPL testing and abdominal ultrasonography. Depending on clinical progression, further work-up for IBD, food allergy may be considered.</t>
  </si>
  <si>
    <t xml:space="preserve">
1.This result detects a minimal to mild interstitial pulmonary pattern.  _x000D_
2.This result detects a mild to moderate bronchial pulmonary pattern._x000D_
3.This result does not detect an alveolar pulmonary pattern._x000D_
4.This result does not detect pulmonary soft tissue nodules._x000D_
5.This result detects equivocal/borderline to mild, or rarely moderate cardiomegaly. _x000D_
6.This result does not detect pulmonary vasculature enlargement._x000D_
7.This result does not detect pleural fissure lines/fluid.  </t>
  </si>
  <si>
    <t>Opposite lateral and ventrodorsal whole body radiographs (3 images) dated January 29,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unremarkable in size and shape. The stomach is empty/collapsed. The colon is severely distended with a large amount of gas proximally and contains a moderate amount of normal appearing stool distally. The small intestine is unremarkable in diameter and course, although the small bowel is predominantly gas-filled, which is atypical in the cat. The left kidney is normal in size and shape. The right kidney is obscured from visualization due to superimposed bowel. The spleen is not clearly visible. The patient is of thin body condition with loss of the normal falciform, mesenteric, and inguinal fat reserves. Additionally, there is evidence of epaxial muscle wasting, characterized by protruding dorsal spinous processes in the lumbar region. No regional lymphadenopathy is evident._x000D_
Both hips are moderately incongruent with shallow acetabula and moderate periarticular bony remodeling. The elbows have advanced periarticular bony remodeling affecting them. No aggressive osseous lesions are identified.</t>
  </si>
  <si>
    <t>1. Cachexia, characterized by loss of the normal fat reserves and epaxial muscle wasting. Rule out a catabolic disease process (endocrine disorder, paraneoplastic effects) vs. intestinal disease causing malabsorption and maldigestion vs. decreased caloric intake._x000D_
2. Atypical predominance of gas in the small intestine is suspicious for enteritis. Considering the weight loss, chronic enteropathy such as small cell lymphoma or inflammatory bowel disease is prioritized, although other causes cannot be ruled out._x000D_
3. Normal thorax._x000D_
4. Advanced bilateral elbow and hip osteoarthritis.</t>
  </si>
  <si>
    <t>CBC, chemistry, UA, T4, fecal, FeLV/FIV, systemic blood pressure evaluation, abdominal ultrasound, G.I. blood panel._x000D_
Supportive care in the interim with fluids, antiemetics, appetite stimulants, omeprazole, and bland diet.</t>
  </si>
  <si>
    <t xml:space="preserve">
1.This result detects a minimal or less commonly mild interstitial pulmonary pattern.  _x000D_
2.This result detects a minimal to moderate bronchial pulmonary pattern._x000D_
3.Rarely, this result detects a mild alveolar pulmonary pattern._x000D_
4.Rarely, this result detects pulmonary soft tissue or cavitary nodules._x000D_
5.This result detects equivocal/borderline to mild, or rarely moderate cardiomegaly. _x000D_
6.This result does not detect pulmonary vasculature enlargement._x000D_
7.Rarely, this result detects minimal pleural fissure lines/fluid.  </t>
  </si>
  <si>
    <t>Some bronchial patterns may mimic pulmonary soft tissue nodules due to bronchial plugging, or granuloma from prior disease.  This may be exacerbated if technical errors/artifacts (obliquity, motion, etc.) are present in the image. If present, the primary differential diagnosis for pulmonary soft tissue nodules and masses in a mature or older patient is neoplasia (primary, such as pulmonary carcinoma versus metastatic/multicentric, such as from mammary gland carcinoma, soft tissue sarcoma, or other). Lower airway disease with bronchial plugging mimicing neoplastic soft tissue nodules is a secondary consideration, and may be more likely in younger patients, or patients with historic infectious/inflammatory lower airway disease. Granulomatous/fungal disease (such as blastomycosis spp.) is unlikely, unless the patient has an appropriate travel/exposure history.  If the patient has respiratory clinical signs, then differential diagnoses for a predominantly bronchial pulmonary pattern include: immune-mediated lower airway disease (i.e. feline asthma) or infectious lower airway disease (such as mycoplasma spp., parasitism, viral, or other).  Additional differential diagnoses include evolving neoplasia such as an ill-defined primary carcinoma versus metastatic disease (especially if nodules or masse are also present), or unlikely evolving left-sided congestive heart failure, or inhaled allergen/irritant. If the patient has no respiratory clinical signs, then differential diagnoses for mixed bronchial and interstitial pulmonary patterns include: changes from prior disease,  age-related factors, errors in patient positioning/technique, pulmonary hypoinflation, artifacts in the image, hypoinflation of the lungs, or a combination of these. Differential diagnoses for an alveolar pulmonary pattern include: atelectasis or bronchial plugging such as from concurrent infectious/inflammatory lower airway disease (i.e. feline asthma) or evolving neoplasia, less likely bronchopneumonia, or unlikely other. Differential diagnoses for pleural fluid include: malignant, idiopathic or chylous effusion, or tangential beam artifact/pleural thickening (especially if minimal pleural fissure lines are identified).   Differential diagnoses for cardiomegaly include: hypertrophic or thyrotoxic cardiomyopathy in a mature or older patient, or congenital anomaly in a very young patient, or unlikely heartworm disease (unless in edemic areas).  Additional differential diagnoses for equivocal cardiomegaly include phase of the cardiopulmonary cycle, patient positioning/technique, or individual variation of normal (especially in younger patients).</t>
  </si>
  <si>
    <t>THORAX and ABDOMEN, three images dated January 27, 2024._x000D_
_x000D_
 The cardiovascular structures and pulmonary parenchyma are within normal limits. The pleural and mediastinal spaces are within normal limits. No intrathoracic lymphadenopathy is seen. The stomach contains a small amount of gas. There are regions of increased opacity associated with the small intestinal tract though this may just due to superimposition of adjacent intestinal segments. No distention or plication is seen. There is gas and feces in the colon. There are small foci of mineral associated with the kidneys. The remainder of the abdomen is unremarkable. There is multifocal spondylosis deformans.</t>
  </si>
  <si>
    <t>No evidence of metastasis is seen._x000D_
_x000D_
The small intestinal appearance is thought to most likely be due to superimposition with no suggestion of obstruction._x000D_
_x000D_
Renal mineralization.</t>
  </si>
  <si>
    <t>Complete bloodwork, if not already performed, could be considered. Abdominal ultrasound can also be considered.</t>
  </si>
  <si>
    <t>Study:_x000D_
Thoracic radiography: five images dated January 27, 2023_x000D_
_x000D_
Findings:_x000D_
There is incidental cranioventral rotation of the cardiac silhouette and redundancy of the aorta. The cardiac silhouette is normal in size and shape. The pulmonic vasculature is normal in size. There is a mild caudodorsal bronchial pulmonary pattern. The pleural space is normal. There is no intrathoracic lymphadenopathy. The larynx is unremarkable. The trachea is normal in diameter and course. On the lateral projection, there multiple indistinct punctate mineral foci are present in the kidneys. The osseous structures are unremarkable.</t>
  </si>
  <si>
    <t>1. The mild caudodorsal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considered._x000D_
2. Bilateral nephrolithiasis and/or nephrocalcinosis.</t>
  </si>
  <si>
    <t>THORAX (three radiographs for review). No priors._x000D_
_x000D_
- The pulmonary parenchyma and pleural space are normal._x000D_
- Cardiac silhouette is prominent, with rounded margins. Pulmonary vasculature is unremarkable._x000D_
- There is a mild rightward mediastinal shift, which is most likely secondary to obliquity._x000D_
- The trachea, esophagus, mediastinum and remaining included intrathoracic structures are normal._x000D_
- The patient has an excessive body habitus._x000D_
- The included portions of the cranial abdomen are unremarkable._x000D_
- Small, fat opaque dorsal cutaneous mass in the extrathoracic region</t>
  </si>
  <si>
    <t>1. Negative examination for evidence of metastatic neoplasia or contraindication to general anesthesia._x000D_
_x000D_
2. Prominent appearance of the cardiac silhouette most likely due to excessive pericardial fat deposition. True cardiac pathology is less likely but possible. Consider careful cardiac auscultation if not recently performed._x000D_
_x000D_
3. Excessive body habitus._x000D_
_x000D_
4. Small dorsal extra thoracic cutaneous mass. I am uncertain if this is the mass in the reported history, however it appears fat opaque and may be benign (e.g. lipoma).</t>
  </si>
  <si>
    <t>WHOLE-BODY (three radiographs for review). No previous for comparison._x000D_
_x000D_
- Mild to moderate diffuse bronchial pattern._x000D_
- Cardiac silhouette, pulmonary vasculature, pleural space normal._x000D_
- Trachea, esophagus, remaining included intrathoracic structures normal._x000D_
- Gastrointestinal tract unremarkable._x000D_
- The spleen is moderately generally enlarged._x000D_
- The liver, and urinary bladder normal._x000D_
- Very subtle tiny mineral opacities superimposed over the kidneys bilaterally, with some sensitive flattening of the renal margins._x000D_
- Excessive body habitus.</t>
  </si>
  <si>
    <t>1. Mild to moderate diffuse bronchial pattern. Most likely compatible with chronic lower airway disease (e.g. feline asthma or bronchitis of infectious parasitic, bacterial or inhaled irritant etiologies). Consider empirical treatment for lower airway disease and if the patient does not improve thoracic CT with lower airway sampling may be reasonable._x000D_
_x000D_
2. Subtle small nephroliths and possible prior renal infarction. This patient may also benefit from abdominal ultrasound._x000D_
_x000D_
3. Moderate splenomegaly. DDx congestion from sedation, lymphoid hyperplasia, EMH, less likely neoplasia._x000D_
_x000D_
4. Excessive body habitus.</t>
  </si>
  <si>
    <t>Opposite lateral and ventrodorsal whole body radiographs (3 images) dated January 25,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unremarkable in size, and there is a rounded convexity associated with the caudoventral margin on the right lateral view only, likely highlighting the gallbladder. The stomach is atypically and fairly gas-filled. The small intestine is moderately distended and diffusely gas-filled as well. The colon is empty/collapsed aside from a small amount of stool in the proximal portion. Both kidneys measure at the lower limits of normal size for middle-aged cat and are normal in shape. The urinary bladder is small and fluid opaque. Retroperitoneal and peritoneal detail are normal._x000D_
No aggressive or clinically significant osseous pathology is identified.</t>
  </si>
  <si>
    <t>1. Non-obstructive gastroenteritis.  Rule out dietary indiscretion or toxin vs. food allergy/intolerance vs. flareup of a chronic enteropathy (ex: IBD or GI LSA) vs. GI infectious vs. systemic/extra GI causes (liver or kidney injury/disease, pancreatitis, endocrine disorder, systemic infection, non-GI neoplasia)._x000D_
2. Rounded margin of the liver on the right lateral view likely represents incidental highlighting of the gallbladder. A hepatic mass is considered unlikely._x000D_
3. The kidneys measure at the lower limits of normal size and are normal in shape. Rule out normal anatomy for this patient vs. chronic renal disease. Correlation with renal blood work and urinalysis is needed._x000D_
4. Normal thorax.</t>
  </si>
  <si>
    <t>Supportive care with fluid rehydration, antiemetics, gastroprotectants/omeprazole, and bland diet.  General health profile (CBC, chemistry, UA, fecal) could be considered to screen for underlying causes. Abdominal ultrasound could also be considered.</t>
  </si>
  <si>
    <t>Three radiographs of the thorax are provided. The cardiac silhouette is normal size and shape. Pulmonary vessels are normal size. There is a mild bronchial pattern throughout the lungs. The caudal esophagus is transiently gas dilated. Normal tracheal diameter and position. In the cranial abdomen the stomach is severely gas-dilated, occupying the cranial half of the abdomen. There is no gastric malrotation. The viewable intestines are also severely gas distended. Serosal detail is otherwise adequate. Normal-sized liver, spleen, kidneys.</t>
  </si>
  <si>
    <t>1. Severely dilated stomach and intestines consistent with aerophagia. This is typically due to upper airway disease/obstruction (most commonly polyps in younger patients=ZZ90= neoplasia, rhinitis in older patients). Dysautonomia can also cause this dilation but is far less common. There is no evidence of foreign material or gastrointestinal obstruction._x000D_
2. Mild bronchial pattern consistent with chronic airway inflammation such as asthma.</t>
  </si>
  <si>
    <t>Due to the large size of the stomach, consider placement of a gastric tube and gastric decompression. Trocarization is another option. Visual inspection of the pharyngeal/laryngeal region, and potentially imaging of the head and neck with radiographs or CT should also be considered depending on physical exam findings.</t>
  </si>
  <si>
    <t xml:space="preserve">
1.Rarely, this result detects minimal pleural fissure lines/fluid.  _x000D_
2.This result detects a minimal to mild interstitial pulmonary pattern.  _x000D_
3.This result detects a minimal to mild, or rarely moderate bronchial pulmonary pattern._x000D_
4.Rarely, this result detects a minimal alveolar pulmonary pattern._x000D_
5.This result detects none, or less commonly equivocal/borderline to mild cardiomegaly. _x000D_
6.This result does not detect pulmonary vasculature enlargement.</t>
  </si>
  <si>
    <t>Three view orthogonal radiographs (3 images) of the thorax and cranial abdomen dated January 26, 2024, are available for interpretation. No prior images are available for comparison._x000D_
_x000D_
The cat was sedated with 2 mg/kg (6 mg) alfaxolone and 0.2 mg/kg (0.6 mg) butorphanol IM. _x000D_
_x000D_
Thorax:_x000D_
Airway/pulmonary: A wedge shaped soft tissue opacity is noted in the left caudal lung lobe on the VD image. An increase in interstitial opacity is also present to the right of midline in the region of the accessory lung lobe. The caudal cardiac margin is obscured by wedged soft tissue opacity. The remainder of the lung has a diffuse, mild bronchial pattern and the lungs are hyperinflated. On the lateral projection, there is increased opacity associated with both caudal lobar bronchi and an increase in overall opacity overlying the lungs caudal to the heart.  _x000D_
_x000D_
Cardiovascular: The cardiac silhouette is normal for size. The cardiac silhouette is elevated from the sternum on the lateral projections but this is NOT secondary to a pneumothorax. The pulmonary vasculature overlying the cardiodiaphragmatic region is mildly distended. The remainder of the pulmonary vasculature is normal. The descending aorta is normal. _x000D_
_x000D_
Mediastinum: Normal with pericardial fat. A leftward mediastinal shift is present on the VD projection secondary to partial atelectasis. _x000D_
_x000D_
Pleural space: Normal. NO pneumothorax noted._x000D_
_x000D_
Cranial abdomen: Cranial abdominal detail is normal. The stomach contains a moderate amount of ingesta. Mild renal irregularity with minimal mineralization is present on the left lateral projection. Renal size appears decreased, but this is visible only on the margin of the left lateral radiograph._x000D_
_x000D_
Msk: The cat is thin.</t>
  </si>
  <si>
    <t>1) Opacity within the caudal lobar bronchi. Segmental collapse of the left caudal lung lobe and partial atelectasis of the accessory lung lobe suspected. Rule out bronchial plugging secondary to mucus or upper airway secretions vs. less suspected, foreign body or mass within the bronchus. Upper airway disease causing lower airway bronchial plugging is the primary consideration. _x000D_
2) Enlarged caudal pulmonary vasculature in the aerated portion of lung. Shunting of blood away from the collapsed regions to the aerated portions is most likely. A cardiac cause for the pulmonary vessel enlargement is NOT suspected.   _x000D_
3) Cardiac elevation on the lateral projections secondary to partial atelectasis of the left lung resulting in the mediastinal shift. No pneumothorax is present._x000D_
4) Pulmonary hyperinflation. DDx: secondary to upper airway obstruction vs. less suspected, secondary to lower airway bronchoconstriction or emaciation._x000D_
5) Chronic renal disease with minimal mineralization.</t>
  </si>
  <si>
    <t>Evaluate for an upper airway cause for hyperinflation and lower airway plugging. Monitor for coughing or increased respiratory rate. Consider recheck radiographs for comparison if that occurs. Consider a thoracic CT to further assess the lower airways for bronchial plugging. Endotracheal lavage may be warranted. Bloodwork and urine to assess renal function. _x000D_
_x000D_
See same day cardiac ultrasound report.</t>
  </si>
  <si>
    <t>3 views of the thorax are provided for review. The cardiovascular structures are normal. There is a marked bronchial pattern in all lung lobes. There is dilation of the larger bronchi. A nodular structure is seen in the cranial thorax ventral to the trachea on both lateral views. The pleural and mediastinal structures are normal. Cranial abdominal detail is adequate.</t>
  </si>
  <si>
    <t>Severe bronchial pulmonary pattern with bronchiectasis. Consider asthma, heartworm, lungworm, bronchitis. Solitary pulmonary nodule. Consider neoplasia, plugged dilated bronchus, other.</t>
  </si>
  <si>
    <t>Consider empiric therapy versus further diagnostics such as heartworm testing, Baermann fecal exam, airway sampling, CT.</t>
  </si>
  <si>
    <t>Three radiographs of the thorax and three views of the abdomen are provided. The cardiac silhouette is upper normal size. The heart appears relatively larger on the VD projection due to adjacent fat deposition and partial expiration. There are no abnormalities in the pulmonary parenchyma. No pleural effusion. Normal tracheal diameter. The plane of the esophagus is unremarkable._x000D_
_x000D_
In the abdomen, the stomach contains scant amorphous soft tissue density. Small bowel are minimally distended. The intestines reside predominantly in the right abdomen, an incidental feline variant. No radiopaque foreign material. Formed feces in the colon. Normal-sized liver, spleen, kidneys. Urinary bladder is distended and soft tissue opaque. Osseous structures are unremarkable.</t>
  </si>
  <si>
    <t>Normal abdomen. Gastric contents appears to be normal ingesta. This may be foreign material/trichobezoar. There is no evidence of small bowel obstruction. Otherwise normal abdomen and thorax.</t>
  </si>
  <si>
    <t>CBC, blood chemistry profile, and fasting abdominal ultrasound is recommended.</t>
  </si>
  <si>
    <t xml:space="preserve">
1.This result detects equivocal/borderline to mild, or rarely moderate cardiomegaly. _x000D_
2.This result does not detect pulmonary vasculature enlargement._x000D_
3.This result detects a minimal to mild interstitial pulmonary pattern.  _x000D_
4.This result detects a minimal to mild bronchial pulmonary pattern._x000D_
5.Rarely, this result detects a minimal alveolar pulmonary pattern._x000D_
6.This result does not detect pleural fissure lines/fluid.  </t>
  </si>
  <si>
    <t>Abdomen: Both kidneys are small.  The margins of the left kidney are slightly irregular.  There is no evidence of a gastrointestinal foreign body or obstruction.  The liver is unremarkable.  On the ventrodorsal view there is a soft tissue opacity superimposed over the kidney and portions of the body of the spleen.  This may represent a prominent pancreas.  Serosal detail is normal._x000D_
_x000D_
Thorax: There are no abnormalities identified.</t>
  </si>
  <si>
    <t>Suspect bilateral degenerative kidneys._x000D_
_x000D_
Prominent pancreas most likely variation of normal however pancreatitis cannot be ruled out.</t>
  </si>
  <si>
    <t>A three view study of the thorax is provided for interpretation. Previous radiographs dated 8-9-21 are compared._x000D_
_x000D_
There is a mild increase in bronchial markings, most prominent in the caudal lung fields. Pulmonary vessels are normal. The heart is at the upper end of normal size range. No tracheal abnormalities are identified. There is a subtle increase in ill defined opacity just cranial to the left heart base at the fourth intercostal space in the VD view. No corresponding opacity is seen in the lateral views. This likely represents a prominent aortic arch and superimposition of mediastinal fat._x000D_
Multiple small mineral dense structures compatible with choleliths are identified in the right side of the liver presumed to be in the gallbladder.</t>
  </si>
  <si>
    <t>No significant cardiovascular abnormalities are identified. There is a mild bronchial pattern which would be compatible with chronic lower airway disease such as asthma or prominent age related change._x000D_
Choleliths are identified in the gallbladder._x000D_
No findings concerning for neoplasia are identified.</t>
  </si>
  <si>
    <t>No anatomic abnormalities that would explain the reported episodes are identified. The choleliths are present incidental. Clinical significance of the mild bronchial pattern should be correlated with relevant clinical signs.</t>
  </si>
  <si>
    <t>Study:_x000D_
Thoracic/abdominal radiography: five images dated January 25, 2024_x000D_
_x000D_
Findings:_x000D_
The cardiac silhouette and pulmonary vasculature are normal in size. There is a mild generalized bronchial pulmonary pattern. The pleural space is normal. There is no intrathoracic lymphadenopathy. The larynx is normal. The trachea is normal in diameter and course. There is a small volume of gas in the esophagus. The stomach is distended with gas an contains a small amount of mildly heterogeneous soft tissue material. The small intestines are diffusely mildly gas distended. The colon contains gas and formed fecal material. The liver and spleen are normal in size and margin. The renal silhouettes are normal in size and contour. The urinary bladder is normal in size and opacity. There is no uterine dilation. There is severe lumbosacral spondylosis deformans.</t>
  </si>
  <si>
    <t>1. The gastric and diffuse small intestinal gas dilation may be secondary to aerophagia and/or nonspecific functional ileus. Gastric contents likely represent ingesta. Foreign material cannot be completely excluded. There is no evidence of small intestinal mechanical obstruction. Repeat fasted radiography can be considered to ensure gastric emptying. Alternatively, sonography can be considered if clinical signs persist or worsen in spite of medical management._x000D_
2. The generalized bronchial pulmonary pattern may indicate allergic/inflammatory bronchitis (asthma). Correlate with any reported coughing. Infectious, parasitic and irritant bronchitis are also possible. Airway sampling plus/minus heartworm testing and Baermann fecal flotation can be considered for further evaluation if clinically relevant._x000D_
3. The gas dilation of the esophagus may be secondary to aerophagia. An esophageal motility disorder cannot be completely excluded. An esophagogram can be considered for further evaluation._x000D_
_x000D_
Comments:_x000D_
Dysautonomia is a less likely differential for the combination of the gastrointestinal and esophageal dilation.</t>
  </si>
  <si>
    <t xml:space="preserve">
1.This result detects a minimal, or rarely mild interstitial pulmonary pattern._x000D_
2.This result detects a minimal to moderate bronchial pulmonary pattern._x000D_
3.This result does NOT detect an alveolar pulmonary pattern._x000D_
4.Rarely, this result detects minimal pleural fissure lines/fluid._x000D_
5.This result detects equivocal/borderline cardiomegaly.</t>
  </si>
  <si>
    <t>THORAX (five radiographs for review). No priors._x000D_
_x000D_
- Moderate to marked diffuse bronchial pattern._x000D_
- Prominent aortic root._x000D_
- Questionable, mild generalized cardiomegaly._x000D_
- Markedly excessive body habitus._x000D_
- Liver is mildly enlarged._x000D_
- Remaining included cranial abdominal structures normal._x000D_
- Included musculoskeletal structures unremarkable.</t>
  </si>
  <si>
    <t>1. Generalized nonspecific chronic lower airway disease (e.g. feline asthma, bronchitis of infectious parasitic, bacterial or inhaled irritant etiologies). Most likely the cause of the patient=ZZ91=s reported coughing. Consider empirical treatment for lower airway disease (e.g. steroids, antibiotics, bronchodilators) and if there is lack of improvement or worsening despite medical management, a thoracic CT with lower airway sampling might be considered_x000D_
_x000D_
2. Prominent aortic root and impression of mild generalized cardiomegaly. Consider systemic hypertension and secondary concentric cardiac hypertrophy. Cardiomyopathy is also possible. Recommend careful cardiac auscultation if not recently performed and systemic blood pressure measurement._x000D_
_x000D_
3. Mild hepatomegaly. DDx metabolic (vacuolar) hepatopathy, less likely cholangiohepatitis, congestion or neoplasia. If there is a history of hepatic enzyme elevation, sonographic assessment of the liver +/- FNA may be considered._x000D_
_x000D_
4. Excessive body habitus.</t>
  </si>
  <si>
    <t>Panther Lopez. Date of study: 01/25/24. Thoracic radiography (# view, # images. Names of views (1 VD, 2 Lateral). No prior radiographs are available for comparison. _x000D_
_x000D_
Airway/pulmonary findings: The trachea is normal in size and position. The tracheal bifurcation is normal. There is a mild diffuse bronchointerstitial pattern. No pulmonary masses or nodules are present._x000D_
_x000D_
Cardiovascular findings: The cardiac silhouette is normal in size.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Musculoskeletal: The included musculoskeletal structures are normal. The animal is overconditioned.</t>
  </si>
  <si>
    <t>1. Mild to moderate diffuse bronchial pattern with generalized unstructured interstitial pattern. Most likely compatible with chronic lower airway disease (e.g. feline asthma). Chronic bronchitis of infectious parasitic, bacterial or inhaled irritant etiologies is also possible._x000D_
_x000D_
2. Markedly excessive body habitus</t>
  </si>
  <si>
    <t>Consider initiation of therapy for chronic lower airway disease. If the patient does not improve or worsens despite medical management lower airway sampling may be considered. In this case, weight loss may be also be contributory to clinical benefit.</t>
  </si>
  <si>
    <t>Patient Name: Jem Davis, Date of Study 01/25/2024. Three abdominal radiographs are available for interpretation. There are no previous radiographs for comparison._x000D_
_x000D_
Abdomen:_x000D_
Liver: Normal_x000D_
_x000D_
Spleen: Normal but only visualized on the VD projection. _x000D_
_x000D_
Kidneys and urinary bladder: The left kidney. is slightly small but retains a smooth margin. Mineral opacity is noted in the region of the left renal pelvis. The right kidney is partially visible and is of a similar size to the left kidney. _x000D_
_x000D_
GI: Gas distended bowel is present in the mid and caudal abdomen with the most severely dilated bowel loop in the caudal abdomen, ventral to the colon and cranial to the urinary bladder. Soft tissue opacity surrounds this bowel loop concerning for a bowel wall mass. The stomach is empty. The material in the colon is formed. On the VD projection, the small bowel is positioned into the right mid-abdomen and both multiple dilated small bowel loops and decreased abdominal detail are present.  The gastric wall also appears thickened on the VD projection but this could be secondary to lack of gastric distention. _x000D_
_x000D_
Abdominal detail: Abdominal detail is diffusely decreased with a wispy appearance centrally on the lateral projection. On the VD projection, the wispy appearance is in the left abdomen and there is a potential mesenteric nodule craniolateral to the left kidney. A normal pancreatic silhouette is NOT identified in the left cranial abdomen. On the right lateral and VD projections, an atypical gas opacity is noted in the cranial abdomen and concerning for free abdominal air. _x000D_
_x000D_
Thx: A soft tissue nodule resides in the region of the cranial mediastinum.</t>
  </si>
  <si>
    <t>1) Suspected small bowel mass with functional ileus. Abdominal fluid and potential free abdominal air. Lymphoma would be the primary consideration. Septic peritonitis is the primary consideration with the bowel mass being the suspected cause. Chronic renal disease causing or contributing to septic peritonitis due to pyloroduodenal ulceration is an additional consideration. _x000D_
2) Cranial mediastinal nodule. Rule out disseminated lymphoma. _x000D_
3) Bilateral chronic renal disease with left renal pelvic mineralization.</t>
  </si>
  <si>
    <t>Abdominal ultrasound with abdominal fluid collection for cytology evaluation along with comparison to blood glucose. Evaluation for free abdominal air at the time of the ultrasound. Consider referral to a specialty hospital for ongoing care and treatment given the concern for a septic abdomen. _x000D_
_x000D_
Ultrasound evaluation of the cranial mediastinum with FNAs to confirm disseminated neoplasia.</t>
  </si>
  <si>
    <t>Seven radiographs of the thorax/abdomen are provided. The cardiac silhouette is normal size and shape. The heart lies relatively flat along the sternum on the lateral views, an incidental aged feline variant. There are no abnormalities in the pulmonary parenchyma or pleural space. No enlarged intrathoracic lymph nodes. In the abdomen the liver is mildly enlarged with smooth margins. Normal size kidneys and spleen wispy soft tissue opacity between the spleen and left kidney is likely normal vessels and left pancreatic limb. Punctate nephroliths are likely incidental. Small volume gas in the stomach. Small intestines are mild to moderately filled with a mixture of gas and small volume fluid. The colon is minimally filled. No radiopaque foreign material. Serosal detail is adequate. The urinary bladder is moderately filled and soft tissue opaque.</t>
  </si>
  <si>
    <t>1. Mild hepatomegaly, consider hepatic lipidosis, diabetic or other hepatopathy, acute inflammation, or infiltrative neoplasia such as lymphoma. This should be correlated with ultrasound findings._x000D_
2. Small intestinal functional ileus, a nonspecific finding that is most likely due to metabolic abnormality, enteritis, or stress/discomfort. Chronic partial obstruction is given lesser consideration._x000D_
3. Normal thorax.</t>
  </si>
  <si>
    <t>Hepatic cytology should be considered.</t>
  </si>
  <si>
    <t>Three radiographs of the thorax and four views of the abdomen are provided. The cardiac and pulmonary vessels are normal size and shape. Fat deposition is seen on the right side of the heart on the VD view. There is no pleural effusion or esophageal dilation. Adequate tracheal diameter._x000D_
_x000D_
In the abdomen, serosal detail is normal. There is scant gas in the stomach. Small intestines are minimally distended. No intestinal plication. There is gas and a small volume of formed feces in the colon. No radiopaque foreign material. Normal-sized liver, spleen, kidneys. Thin linear increased opacities dorsal to the kidneys on the left lateral view is incidental vessels and fascial planes. No radiopaque urolithiasis. Osseous structures are unremarkable.</t>
  </si>
  <si>
    <t>Normal thorax and abdomen. A reason for persistent vomiting is not identified. Gastroenteritis is suspected. Small radiolucent gastric foreign material is not ruled out.</t>
  </si>
  <si>
    <t>Fasted abdominal ultrasound is recommended.</t>
  </si>
  <si>
    <t xml:space="preserve">
1.This result detects equivocal/borderline to mild, or rarely moderate cardiomegaly._x000D_
2.Rarely, this result detects minimal to mild pulmonary vasculature enlargement._x000D_
3.This result detects a minimal to mild bronchial pulmonary pattern._x000D_
4.This results detects a minimal to mild interstitial pulmonary pattern._x000D_
5.Rarely, this result detects a minimal to moderate alveolar pulmonary pattern. _x000D_
6.Rarely,  this result detects minimal pleural fissure lines/fluid.  </t>
  </si>
  <si>
    <t>Opposite lateral and ventrodorsal whole body radiographs (3 images) dated January 25, 2024._x000D_
_x000D_
The cardiac silhouette and great vessels are within normal limits. The cranial pulmonary vessels are normal, and the clinical lobar arteries on the VD projection are prominent in size. The pulmonary parenchyma is unremarkable with no nodules, infiltrates, or other pathology detected. No pulmonary nodules, infiltrates, or masses are present. The trachea is normal in diameter and course with gas filling its lumen. There is the impression of pharyngeal narrowing on the left lateral view. The pleural space, mediastinum, and diaphragm are normal._x000D_
The liver is mildly enlarged. The spleen is unremarkable. Both kidneys are normal in size and shape. The urinary bladder is mildly fluid-filled. The stomach contains a large amount of heterogeneous granular soft-tissue content that most closely resembles normal ingesta. The small intestine has a mild variation in diameter and contains a mixture of less heterogeneous ingesta, homogeneous soft-tissue/fluid, and gas. The colon contains unremarkable appearing stool and has a normal course. Retroperitoneal and peritoneal detail are normal. No regional lymphadenopathy is evident._x000D_
The osseous structures are unremarkable.</t>
  </si>
  <si>
    <t>1. Questionable pharyngeal narrowing on the left lateral view could indicate pharyngitis (ex: including URI flare up). _x000D_
2. Relatively unremarkable thorax. The prominent caudal lobar pulmonary arteries are suspected to be incidental or related to sedation (if applicable). A pathologic process, such as pulmonary hypertension or heartworm infection is considered less likely._x000D_
3. Mild hepatomegaly likely represents a benign metabolic/vacuolar hepatopathy and a young cat. Infiltrative disease such as FIP is unlikely.</t>
  </si>
  <si>
    <t>Sedated upper airway exam, URI PCR infectious swab submission, and empirical supportive care for presumed URI. Further diagnostics may include skull/nasal CT with contrast (less ideally radiographs) to screen for other causes, such as a nasopharyngeal polyp.</t>
  </si>
  <si>
    <t>Study:_x000D_
Thoracic and abdominal radiography: six images dated January 25, 2024_x000D_
_x000D_
Findings:_x000D_
The cardiac silhouette and pulmonary vasculature are normal in size there is a mild generalized bronchial pulmonary pattern. No pulmonary nodules or masses are present.. The pleural space is normal. There is no intrathoracic lymphadenopathy. The trachea is normal in diameter and course. There is a 13.4 cm x 10.6 cm soft tissue opaque mass in the mid-abdomen. The mass displaces the small intestines caudally. The stomach is empty. The small intestines are normal in size and content. The colon contains formed fecal material. The liver is situated within the costal arch with smooth margins. The renal silhouettes are normal in size and contour. The urinary bladder is normal in size and opacity. There is multifocal cervical and lumbar spondylosis deformans. There are mineral bodies in the cranial aspect of each stifle joint space indicative of meniscal mineralization. There is ventral subluxation of the xiphoid.</t>
  </si>
  <si>
    <t>1. Mid abdominal mass. Differentials include a pedunculated liver mass, splenic mass or mesenteric mass. A pancreatic mass is less likely. Computed tomography of the abdomen can be considered for further evaluation/surgical planning._x000D_
2. Test negative for pulmonary metastatic disease._x000D_
3. The generalized bronchial pulmonary pattern may indicate allergic/inflammatory bronchitis (asthma). Infectious, parasitic and irritant bronchitis are also possible. Correlate with any reported coughing. Airway sampling plus/minus heartworm testing and Baermann fecal flotation can be considered for further evaluation if clinically relevant.</t>
  </si>
  <si>
    <t>Study:_x000D_
Thoracic radiography: three images dated January 24, 2024_x000D_
_x000D_
Findings:_x000D_
The cardiac silhouette is normal in size and shape. Patient obliquity and pericardial fat exaggerates the right heart on the VD view. The pulmonary vasculature is normal in size. There is a mild generalized bronchial pulmonary pattern. The pleural space is normal. There is no intrathoracic lymphadenopathy. The trachea is normal in diameter and course. There is a small volume of gas in the esophagus on the left lateral view. The included abdomen is unremarkable. There is moderate bilateral elbow periarticular bone formation. The patient is of obese body condition.</t>
  </si>
  <si>
    <t>1. The mild generalized bronchial pulmonary pattern likely indicates allergic/inflammatory bronchitis (asthma). Infectious, parasitic and irritant bronchitis are less likely airway sampling plus/minus heartworm testing and Baermann fecal flotation can be considered for further evaluation._x000D_
2. There is no radiographic evidence of heart disease. Consider echocardiography for further evaluation of the reported heart murmur._x000D_
3. Moderate bilateral elbow osteoarthrosis.</t>
  </si>
  <si>
    <t xml:space="preserve">
1.Rarely, this result detects a minimal alveolar pulmonary pattern._x000D_
2.This result does not detect pulmonary vasculature enlargement._x000D_
3.Rarely, this result detects minimal pleural fissure lines/fluid.  _x000D_
4.This result detects equivocal/borderline to mild cardiomegaly. _x000D_
5.This result detects a minimal to mild interstitial pulmonary pattern.  _x000D_
6.This result detects a mild, or rarely moderate bronchial pulmonary pattern.</t>
  </si>
  <si>
    <t>WHOLE-BODY (two radiographs for review). No previous for comparison._x000D_
_x000D_
- Severe, bilateral, patchy alveolar pulmonary pattern in the caudal lung lobes, coalescing to homogeneous alveolar opacification ventrally. Dorsally within the soft-tissue opaque regions, there is a sense of cavitation._x000D_
- Mild diffuse bronchial pattern._x000D_
- Cardiac silhouette, pulmonary vasculature normal._x000D_
- The liver is moderately enlarged, extending caudal to the costal arch with rounded margins._x000D_
- The kidneys are prominent._x000D_
- The remaining included intra-abdominal structures are normal._x000D_
- The included musculoskeletal structures are within normal limits.</t>
  </si>
  <si>
    <t>1. Radiographically, the appearance of the thorax reflects severe, caudally-predominant bronchopneumonia with pulmonary abscessation/cavitation. Bacterial more likely than fungal etiologies. I do not believe there is convincing evidence of a diaphragmatic hernia although theoretically possible._x000D_
_x000D_
2. Enlargement of the liver can be expected given the patient=ZZ91=s clinical age, however it feels too large to be completely normal. I would also rule out a metabolic hepatopathy such as secondary to hepatic lipidosis if there is a history of anorexia. Hepatitis is also possible._x000D_
_x000D_
3. Prominent appearance of the kidneys bilaterally. May be a normal patient variant however could indicate a degree of acute renal injury.</t>
  </si>
  <si>
    <t>In this patient, I would recommend aggressive medical management for pneumonia and referral for thoracic CT, as there appears to be multiple cavitations in the pulmonary parenchyma and lung lobectomy may be necessary. If there is concern for abdominal disease, an abdominal ultrasound may also be reasonable for further assessment of the liver and kidneys.</t>
  </si>
  <si>
    <t>5 views of the torso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food-like material.  The small bowel contains a mild amount of gas and ingesta without dilation or plication.  Formed stool is noted in the colon.  The liver and spleen are normal in size, shape, and margination.  The bilateral renal silhouettes are within normal limits.  The urinary bladder is unremarkable.  Serosal detail is normal._x000D_
A transitional vertebra is noted at the lumbosacral junction.  No other definitive musculoskeletal abnormalities are noted.</t>
  </si>
  <si>
    <t>The material in the stomach is nondescript and could be associated with food, radiolucent foreign material, or admixture of both.  No evidence of mechanical obstruction of the GI tract is seen._x000D_
Radiographically normal thorax.</t>
  </si>
  <si>
    <t>Five radiographs of the thorax are provided. The cardiac silhouette is normal size and shape. Pulmonary vessels and caudal vena cava are normal size. There are a few faint bronchial markings in the periphery of the lungs. Otherwise the lungs are clear. There is no pleural effusion. Normal cranial mediastinal width and tracheal diameter. No esophageal dilation. Normal cranial abdomen.</t>
  </si>
  <si>
    <t>Several faint bronchial markings suggestive of chronic airway inflammation. This may be due to inhaled irritants/allergens. Infectious airway disease is also possible. There is no evidence of cardiovascular disease or pneumonia.</t>
  </si>
  <si>
    <t>A CBC and blood chemistry profile are recommended initially. If the patient is febrile or has elevated white blood cell count, antibiotics would be recommended.</t>
  </si>
  <si>
    <t>Opposite lateral and ventrodorsal thoracic and abdominal radiographs (6 images) dated January 24, 2024._x000D_
_x000D_
_x000D_
The cardiac silhouette the subjectively prominent in size but remains within normal limits. The pulmonary vasculature and great vessels are within normal limits. The pulmonary parenchyma is unremarkable with no nodules, infiltrates, or other pathology detected. The lungs are relatively poorly inflated, especially on the VD projection. The pleural space and diaphragm are normal. No mediastinal abnormalities are appreciated. The trachea is normal in diameter and course with gas filling its lumen. No intrathoracic lymphadenopathy is evident._x000D_
The liver and spleen are unremarkable in size and shape. The stomach contains a mild volume of homogeneous soft-tissue/fluid content, and this creating a relatively rounded appearance in the mid-cranial abdomen is caudal to the liver on the lateral views. The small intestine is empty/collapsed, soft-tissue opaque, and has a normal course. The proximal colon contains normal stool whereas the distal half contains gas. Both kidneys are normal in size and shape. The urinary bladder is mildly fluid-filled. Retroperitoneal and peritoneal detail are normal. No regional lymphadenopathy is evident._x000D_
No aggressive or clinically significant osseous pathology is identified.</t>
  </si>
  <si>
    <t>1. Normal thorax. Poor pulmonary inflation and prominent cardiac silhouette likely represents incidental changes from sedation._x000D_
2. Unremarkable abdomen. The fluid pooling in the stomach is suspected to be secondary to sedation vs. potentially a functional gastric stasis.</t>
  </si>
  <si>
    <t>Confirm thrombocytopenia with fresh blood smear and clin-path review. Abdominal ultrasound, and infectious testing (toxoplasmosis, Bartonella, Mycoplasma hemofelis). If unremarkable, next steps would include internal medicine consultation and potentially bone biopsy.</t>
  </si>
  <si>
    <t>Opposite lateral and ventrodorsal whole body radiographs (3 images) dated January 24,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The stomach contains a fair amount of heterogeneous granular soft-tissue content with gas stippling that most closely resembles normal ingesta. The small intestine has a moderate variation in diameter with multiple segments containing a large amount of gas and slightly heterogeneous soft-tissue content, and others containing a scant volume of gas. The colon contains unremarkable appearing stool mixed with gas and has a normal course. Both kidneys measure at the lower limits of normal size and are normal in shape. The urinary bladder is fairly distended with fluid opacity. Retroperitoneal and peritoneal detail are normal. No regional lymphadenopathy is evident._x000D_
No aggressive or clinically significant osseous pathology is identified.</t>
  </si>
  <si>
    <t>1. The moderate variation in small intestinal diameter is suspicious for enteritis with a segmental functional ileus. A partial or complete mechanical obstruction is unlikely._x000D_
2. Heterogeneous granular material in the stomach most closely resembles normal ingesta. Clinically significant foreign material hidden within this ingesta is unlikely but cannot be completely ruled out._x000D_
3. Normal thorax.</t>
  </si>
  <si>
    <t>Supportive care with fluid rehydration, antiemetics, gastroprotectants/omeprazole, and bland diet.  General health profile (CBC, chemistry, FeLV/FIV, T4, UA, fecal) +/- fPLI to screen for underlying causes. Considering the chronicity, abdominal ultrasound and a G.I. blood panel are recommended. Based on the above diagnostics, intestinal biopsies and internal medicine consultation may be indicated.</t>
  </si>
  <si>
    <t>Opposite lateral and ventrodorsal thoracic radiographs (3 images) dated January 24, 2024._x000D_
_x000D_
_x000D_
The cardiac silhouette, pulmonary vasculature, and great vessels are within normal limits. The pulmonary parenchyma as a moderate diffuse bronchial pattern with wall thickening and peribronchial unstructured interstitial cuffing. No pulmonary no nodules, infiltrates, or other pathology is detected. The pleural space and diaphragm are normal. No mediastinal abnormalities are appreciated. The trachea is normal in diameter and course with gas filling its lumen. No intrathoracic lymphadenopathy is evident. The liver, mildly ingesta filled stomach, included bowel segments, and cranial peritoneal detail are normal._x000D_
No aggressive or clinically significant osseous pathology is identified.</t>
  </si>
  <si>
    <t>Moderate bronchitis. Rule out eosinophilic/feline asthma vs. infectious (bacterial or parasitic [including heartworm]) vs. chronic inhaled irritants._x000D_
The remainder of the thorax is unremarkable.</t>
  </si>
  <si>
    <t>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unknown._x000D_
_x000D_
Sedated upper airway exam and nasal/head CT with contrast +/- biopsy, as the bloody nasal discharge is unlikely to be related to the lower airway disease.</t>
  </si>
  <si>
    <t>Patient Name: Romy Phillips, Date of Study 01/24/2024. Three whole body radiographs of the neck, thorax and abdomen are available for interpretation. Feline Thorax (3 Images) - 1 Vd =ZZ96= 2 Lateral. Previous radiographs dated 1/10/24 are available for comparison._x000D_
_x000D_
The forelimbs overlie the cranial aspect of the thorax obscuring visualization of the cranial lung tips on the left lateral projection._x000D_
_x000D_
Thorax:_x000D_
Airway/pulmonary parenchyma: Caudal lung lobe pulmonary hyperinflation is present along with a diffuse bronchial pattern and regions of bronchial dilation. On the lateral projections, a focal soft tissue opacity (0.7 cm x 1.0 cm) is noted cranial to the heart. _x000D_
_x000D_
Cardiovascular: Cardiac size is normal however there is focal rounding to the craniodorsal aspect of the cardiac silhouette on both lateral projections, mild enlargement of the right caudal pulmonary artery and mild distention and focal elevation of the CVC near the caudal margin of the heart. Compared to the previous study, the degree of cardiomegaly, pulmonary vessel size and CVC size have decreased in the recheck interim. _x000D_
_x000D_
Mediastinum: Gas is present in the thoracic esophagus. The soft tissue nodule mentioned above has poorly defined margins suggestive of a mediastinal location. This nodule is unchanged in size in the recheck interim. _x000D_
_x000D_
Pleural space: Normal_x000D_
_x000D_
Cranial abdomen: The stomach contains a minimal quantity of gas. The gastric wall appears mildly thickened however this could be secondary to adhered mucus or ingesta. Cranioventral abdominal detail has improved in the recheck interim. _x000D_
_x000D_
Msk: The cat is overweight.</t>
  </si>
  <si>
    <t>1) Bronchitis with bronchoconstriction resulting in pulmonary hyperinflation._x000D_
2) Improved cardiomegaly in the recheck interim with resolution of right heart failure. Rule out pulmonary hypertension secondary to lung disease (cor pulmonale) vs. heartworm disease._x000D_
3) Soft tissue nodule in the cranial mediastinum. Ddx: thymic nodule vs. enlarged lymph node vs. less likely, ectopic thyroid tissue.</t>
  </si>
  <si>
    <t>Cardiac ultrasound. Feline heartworm testing. Monitor for abdominal distention as right heart failure was present on the previous study. _x000D_
_x000D_
Ultrasound evaluation of the cranial mediastinum for evaluation of the soft tissue nodule along with FNAs if the nodule can be identified and safely sampled.</t>
  </si>
  <si>
    <t>Abdomen: The colon is diffusely gas and fluid-filled.  There are no abnormalities involving the gastrointestinal tract.  The liver and spleen are unremarkable.  There are no abnormalities involving the visible portion of the urinary tract.  Serosal detail is normal.  There are no abnormalities involving the visible portions of the thorax.</t>
  </si>
  <si>
    <t>Gas and fluid-filled colon which may represent colitis.</t>
  </si>
  <si>
    <t>THORAX, ABDOMEN, FORELIMBS and HINDLIMBS (six total radiographs for review). No previous for comparison._x000D_
_x000D_
- Excessive body habitus._x000D_
- Mild diffuse bronchial pattern._x000D_
- Cardiac silhouette, pulmonary parenchyma, pleural space and remaining included intrathoracic structures unremarkable._x000D_
- Peritoneal detail is normal._x000D_
- The stomach contains a small volume of gas and mild gas stippled soft-tissue opaque material._x000D_
- The small intestine contains mild multifocal gas and soft-tissue opaque material._x000D_
- The colon contains gas and mineralized formed fecal material._x000D_
- The liver, spleen, kidneys, urinary bladder and remaining abdominal structures are normal._x000D_
- There is a narrowing of the lumbosacral intervertebral disc space._x000D_
- The coxofemoral joints, stifles, tarsi and remaining structures of the pelvic limbs are unremarkable._x000D_
- The included forelimb structure are within normal limits.</t>
  </si>
  <si>
    <t>1. A discrete radiographic cause for excessive grooming is not distinctly identified._x000D_
_x000D_
2. Radiographically the kidneys are within normal limits, however this does not exclude the reported chronic renal disease. Consider abdominal ultrasonography for further assessment._x000D_
_x000D_
3. Mild diffuse bronchial pattern may reflect a component of chronic lower airway disease such as feline asthma._x000D_
_x000D_
4. Mild constipation._x000D_
_x000D_
5. Excessive body habitus._x000D_
_x000D_
6. Mild lumbosacral degenerative joint disease._x000D_
_x000D_
7. Unremarkable pelvic limbs._x000D_
_x000D_
8. Unremarkable proximal thoracic limbs.</t>
  </si>
  <si>
    <t>As above. Abdominal ultrasonography may be a high-yield diagnostic examination in this patient._x000D_
_x000D_
A discrete cause for the reported unwillingness to jump (and/or and appendicular skeletal lesion) is not clearly identified.</t>
  </si>
  <si>
    <t>Patient name. Date of study: 01/1/24. Full body radiographs (2 view, 2 images. 1 VD, 1 Lateral). No prior radiographs are available for comparison. _x000D_
_x000D_
Airway/pulmonary findings: The trachea is normal in size and position. The tracheal bifurcation is normal. There is a focal bronchial pattern in the right caudal lung lobe on the VD projection pulmonary parenchyma is otherwise normal. No pulmonary masses or nodules are present._x000D_
_x000D_
Cardiovascular findings: The cardiac silhouette is normal in size.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Liver: The liver is normal in size and shape. The caudoventral margins are normal._x000D_
_x000D_
Spleen: The spleen is normal in size and shape with well-defined margins._x000D_
_x000D_
Kidneys: The kidneys are normal in size with mildly irregular margins. No mineral is identified._x000D_
_x000D_
Urinary bladder: The urinary bladder is mildly distended with smooth, well-defined margins and homogeneous soft tissue opacity. No mineral is identified._x000D_
_x000D_
Gastrointestinal: The stomach is mildly distended with heterogeneous material admixed with gas. There is mineral opaque material superimposed with the ventral fundus and pylorus as well as with the colon. The small intestine diffusely contains ingesta intermixed with gas. The colon contains fecal material mixed with gas._x000D_
_x000D_
Peritoneum: The serosal detail is normal._x000D_
_x000D_
Musculoskeletal: There is bilateral periarticular osteophytosis of the elbows. There is ventral bridging spondylosis at the lumbosacral space with narrowing of the lumbosacral intervertebral disc space. Ventral spondylosis is present at the T4-T9 disc spaces. The animal is obese.</t>
  </si>
  <si>
    <t>1. Relatively unremarkable postprandial abdominal radiographs with mild constipation. A discrete cause for the reported abdominal distention and discomfort on abdominal palpation is not clearly identified._x000D_
_x000D_
2. Incidental bilateral elbow degenerative joint disease and multifocal spondylosis with narrowed LS disc space. Correlate with neurologic examination._x000D_
_x000D_
3. Excessive body habitus.</t>
  </si>
  <si>
    <t>Abdominal ultrasound may be highly diagnostically useful in this patient for further assessment of the clinical signs. No space-occupying mass or abdominal effusion to otherwise cause abdominal distention is identified.</t>
  </si>
  <si>
    <t>Opposite lateral and ventrodorsal whole body radiographs (3 images) dated January 23, 2024._x000D_
_x000D_
_x000D_
The cardiac silhouette, pulmonary vasculature, and great vessels are within normal limits. The pulmonary parenchyma has mild bronchial markings. No pulmonary nodules, infiltrates, or other pathology is detected. The pleural space and diaphragm are normal. No mediastinal abnormalities are appreciated. The trachea is normal in diameter and course with gas filling its lumen. No intrathoracic lymphadenopathy is evident._x000D_
The liver is mildly enlarged. The spleen is unremarkable in size and shape. The kidneys measure at the lower limits of normal size and are unremarkable in shape. The urinary bladder is mildly fluid-filled. The stomach contains heterogeneous ingesta. The small intestine and colon are unremarkable. Retroperitoneal and peritoneal detail are normal. No regional lymphadenopathy is evident._x000D_
No aggressive or clinically significant osseous pathology is identified.</t>
  </si>
  <si>
    <t>1. Mild bronchial markings are suspicious for bronchitis. Rule out eosinophilic/feline asthma vs. infectious (bacterial or parasitic [including heartworm]) vs. chronic inhaled irritants._x000D_
2. The remainder of the thorax is unremarkable._x000D_
3. Mild hepatomegaly. Rule out a benign metabolic/vacuolar hepatopathy vs. less likely inflammatory and infiltrative neoplastic conditions._x000D_
4. The kidneys measure at the lower limits of normal size, which could indicate chronic renal disease. Correlation with renal blood work and urinalysis is needed.</t>
  </si>
  <si>
    <t>Opposite lateral and ventrodorsal thoracic radiographs (3 images) dated January 23, 2024._x000D_
_x000D_
The cardiac silhouette is mildly widened on the VD projection but is otherwise normal in appearance. The pulmonary vasculature and great vessels are within normal limits. The pulmonary parenchyma has a diffuse mild bronchial pattern with wall thickening. No pulmonary nodules, infiltrates, or other pathology is detected. The trachea is normal in diameter and course with gas filling its lumen. The pleural space, mediastinum, and diaphragm are normal. No intrathoracic lymphadenopathy is present. No osseous abnormalities are detected.</t>
  </si>
  <si>
    <t>1. Bronchitis. Rule out eosinophilic/feline asthma vs. infectious (bacterial or parasitic [including heartworm]) vs. chronic inhaled irritants._x000D_
2. Widening of the cardiac silhouette is concerning for cardiomegaly. Rule out a congenital cardiac disorder such as mitral dysplasia vs. incidental/artifactual from pericardial fat deposition. There is no evidence of heart failure.</t>
  </si>
  <si>
    <t>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unknown._x000D_
Cardiac proBNP testing and echocardiogram.</t>
  </si>
  <si>
    <t>WHOLE-BODY (three radiographs for review). No previous for comparison._x000D_
_x000D_
- The patient has a thin body condition._x000D_
- Peritoneal serosal detail is normal._x000D_
- There is a smooth, well-defined, rounded mineral opacity superimposed  dorsal to the caudal wall of the urinary bladder/urethra and ventral to the colon (2.3 x 3.8 mm)._x000D_
- A small mineralized body is noted in the region of the renal pelvis bilaterally. The renal margins are mildly irregular._x000D_
- The stomach is mildly distended with gas._x000D_
- The small intestine contains mild multifocal gas and soft-tissue/fluid._x000D_
- the colon contains gas and mildly mineralized fecal material._x000D_
- The liver, spleen and remaining abdominal structures are unremarkable._x000D_
- There is moderate pulmonary hyperinflation resulting in a flattening of the diaphragm._x000D_
- The cardiac silhouette feels mildly small and the pulmonary vasculature/caudal vena cava mildly thickened.</t>
  </si>
  <si>
    <t>1. The mineral opacity in the caudal abdomen does not appear to be within the urinary bladder or urethra, nor the colon. In most scenarios, I would consider it either a small ovarian stump granuloma (however, the patient is reported as female intact), a ureterolith in the distal aspect of the ureter at the junction with the urinary bladder (if this were the case, it feels to be very large for it to not be causing ureteral dilation and renomegaly due to hydronephrosis) or incidental fat necrosis of the caudal abdominal fat (Bates body). I would recommend focal sonographic assessment of the region for further evaluation._x000D_
_x000D_
2. Bilateral renal pelvic nephroliths with mildly irregular renal margins. Rule out chronic renal disease._x000D_
_x000D_
3. Nonspecific appearance of the gastrointestinal tract with mild aerophagia. Common causes of chronic feline vomiting such as IBD or lymphoma are not excluded._x000D_
_x000D_
4. Moderate pulmonary hyperinflation._x000D_
_x000D_
5. Subjectively small cardiac silhouette may be due to normal patient variant or could be from hypovolemia. Correlate to hydration status. There is no distinct radiographic evidence of cardiac disease however given the reported cardiac murmur, and echocardiogram may still be considered._x000D_
_x000D_
6. Thin body condition.</t>
  </si>
  <si>
    <t>As above. Abdominal ultrasound would likely be a high-yield diagnostic tool in this patient.</t>
  </si>
  <si>
    <t>4 views of the thorax and abdomen are submitted for review.  The cardiac silhouette is normal in size and shape.  No definitive pulmonary parenchymal abnormalities are noted.  No pleural effusion or intra-thoracic of adenopathy is seen.  The trachea is normal in diameter._x000D_
In the abdomen, the stomach contains a moderate amount of food-like material.  The small bowel contains mild amount of gas.  Formed stool is noted in the colon.  The liver and spleen are normal in size, shape, and margination.  The bilateral renal silhouettes are within normal limits.  The urinary bladder is unremarkable.  Serosal detail is normal._x000D_
No osseous abnormalities are seen.</t>
  </si>
  <si>
    <t>Radiographically normal thorax and abdomen.  Acute inflammatory airway disease is not ruled out.</t>
  </si>
  <si>
    <t>Empirical/supportive medical management appears appropriate.</t>
  </si>
  <si>
    <t>Opposite lateral and ventrodorsal thoracic radiographs (4 images) dated January 23, 2024._x000D_
_x000D_
The cardiac silhouette, pulmonary vasculature, and caudal vena cava are within normal limits. The aorta has a prominent aortic arch. The pulmonary parenchyma have subtle bronchial markings. No pulmonary nodules, alveolar infiltrates, masses, or other pulmonary pathology is detected. The trachea is normal in diameter and course with gas filling its lumen. The pleural space, mediastinum, and diaphragm are normal. No intrathoracic lymphadenopathy is present. There is mild thoracic spondylosis deformans without disc space narrowing. No aggressive osseous lesions are identified.</t>
  </si>
  <si>
    <t>1. Subtle bronchial markings likely indicate mild bronchitis. Rule out eosinophilic/feline asthma vs. infectious (bacterial or parasitic [including heartworm]) vs. chronic inhaled irritants. Note that an upper airway disease process cannot be completely ruled out._x000D_
2. Prominent aortic arch can be an incidental finding in older cats but can also be an indication of systemic hypertension.</t>
  </si>
  <si>
    <t>Two lateral radiographs of the thorax, and orthogonal views of the thorax/abdomen are provided. There is severe cardiac silhouette enlargement on all views. The pulmonary vessels and caudal vena cava are prominent. Small volume pleural fluid. Severe interstitial pattern throughout the lungs. Normal tracheal diameter._x000D_
_x000D_
In the abdomen serosal detail is poor consistent with mild effusion. The stomach contains a large amount of gas and small amount of fluid. Small bowel are poorly visible but appear to be minimally filled. Moderate volume of formed feces in the colon. Smoothly marginated round 1.3 cm mineral density in the mid ventral peritoneal space is incidental Bates body. Normal-sized liver, spleen, kidneys. No radiopaque urolithiasis.</t>
  </si>
  <si>
    <t>1. Severe cardiomegaly consistent with cardiomyopathy. There is severe interstitial pattern and mild pleural effusion indicating heart failure._x000D_
2. Mild peritoneal effusion, likely due to venous congestion. A separate inflammatory or neoplastic process originating from the abdomen is next on the differential list. Large volume gas in the stomach consistent with aerophagia.</t>
  </si>
  <si>
    <t>Treatment for heart failure and an echocardiogram is recommended. Abdominal ultrasound could also be considered but is given secondary priority to an echocardiogram.</t>
  </si>
  <si>
    <t xml:space="preserve">
1.Uncommonly, this result detects soft tissue or cavitary pulmonary nodules._x000D_
2.This result detects a mild to moderate bronchial pulmonary pattern._x000D_
3.This result detects a mild to moderate interstitial pulmonary pattern._x000D_
4.This result detects minimal to moderate pleural fissure lines/fluid._x000D_
5.This result detects equivocal/borderline to moderate, or rarely severe cardiomegaly._x000D_
6.Uncommonly, this result detects a mild to moderate alveolar pulmonary pattern.  </t>
  </si>
  <si>
    <t>Opposite lateral and ventrodorsal thoracic radiographs (3 images) dated January 22,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No aggressive or clinically significant osseous abnormalities are identified. There is mild caudal thoracic spondylosis deformans.</t>
  </si>
  <si>
    <t>Unremarkable thorax. The cause for the murmur is not radiographically apparent. This does not completely rule out a cardiomyopathy, a benign or physiologic flow murmur, or endocarditis (ex: Bartonella).</t>
  </si>
  <si>
    <t>Echocardiogram, T4 testing, cardiac proBNP testing, systemic blood pressure evaluation, +/- bartonella PCR screening.</t>
  </si>
  <si>
    <t>Opposite lateral and ventrodorsal whole body radiographs (3 images) dated January 19, 2024. Only the thorax is requested for interpretation._x000D_
_x000D_
_x000D_
The cardiac silhouette is mildly tall in height and has slight widening at the level of the cardiac apex on the VD view. The pulmonary vasculature and great vessels are within normal limits. The pulmonary parenchyma has a diffuse bronchial pattern with mild wall thickening. No pulmonary nodules, masses, or other pathology is detected. The trachea is unremarkable in diameter and contains gas with slight dorsal deviation due to the tall cardiac silhouette. A mild volume of gas is transiently present in the midthoracic esophagus on the lateral views. The remainder of the mediastinum is unremarkable. The pleural space and diaphragm are normal. There is cranial thoracic spondylosis deformans without disc space narrowing.</t>
  </si>
  <si>
    <t>1. Bronchitis. Rule out eosinophilic/feline asthma vs. infectious (bacterial or parasitic [including heartworm]) vs. chronic inhaled irritants._x000D_
2. Mild cardiomegaly. Rule out a congenital cardiac disorder vs. incidental physiologic causes (such as sedation or anemia) vs. early onset cardiomyopathy vs. least likely normal anatomy.</t>
  </si>
  <si>
    <t>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unknown._x000D_
T4 and cardiac proBNP testing followed by echocardiogram.</t>
  </si>
  <si>
    <t>Opposite lateral and ventrodorsal whole body radiographs and a lateral leak radiographs of the skull and cervical region (4 images) dated October 2, 2023._x000D_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No abnormalities are appreciated in the pharyngeal region on the larynx. Both tympanic bullae are gas-filled with smooth uniformly thin osseous walls. The remainder of the skull is unremarkable._x000D_
The liver and spleen are normal in size and shape. The stomach is moderately gas-filled. The small intestine has a mild and unremarkable variation in diameter contains a mixture of fluid and gas. The colon contains normal appearing stool and has a normal course. Both kidneys are normal in size and shape. The urinary bladder is small and fluid opaque. Retroperitoneal and peritoneal detail are normal. No regional lymphadenopathy is evident._x000D_
No aggressive or clinically significant osseous pathology is identified.</t>
  </si>
  <si>
    <t>1. Normal thorax and unremarkable upper airway/skull. The cause for the respiratory issues is not radiographically apparent. Rule out an upper airway issue (ex: URI flare up, dynamic upper airway collapse, occult mass) vs. mild bronchitis or bronchiolitis insensitive to radiographic detection._x000D_
2. Moderate gas distention could represent aerophagia vs. less likely functional gastric stasis (such as from gastritis). The remainder of the abdomen is a normal</t>
  </si>
  <si>
    <t>Sedated upper airway exam +/- nasal/head CT with contrast. If normal:_x000D_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</si>
  <si>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Three orthogonal survey radiographs of the thorax and abdomen dated 22 January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unremarkable._x000D_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splenic and renal silhouettes are normal. The stomach is mainly empty with a normal axis. The small intestines are distributed evenly another mildly increased gas content. The ascending, transverse and descending colon have a normal position and contain gradually more formed faeces. The urinary bladder is filled. The serosal detail is normal._x000D_
_x000D_
Musculoskeletal findings: No significant abnormalities are detected.</t>
  </si>
  <si>
    <t>Unremarkable thorax and abdomen. An upper respiratory abnormality may be considered. Low grade/early allergic bronchitis may be present in spite of normal radiographs. The gas in the small intestines may be due to some aerophagia due to respiratory issues, or secondary to a non-specific enteritis such as due to dietary indiscretion or infectious/inflammatory origin.</t>
  </si>
  <si>
    <t>Observational management is advised. Consider repeat radiographs depending on clinical progression. Respiratory workup including CBC, serum chemistry, urinalysis, Baermann faecal testing, 4DX, +/- respiratory panel or fungal testing may be considered.</t>
  </si>
  <si>
    <t>WHOLE-BODY (three radiographs for review). A previous examination is available for comparison dated 08/04/23._x000D_
_x000D_
- The patient has an excessive body habitus._x000D_
- The cardiac silhouette remains within normal limits for size, shape and margins._x000D_
- The pulmonary vasculature is unremarkable._x000D_
- There is a mild diffuse bronchial pattern present._x000D_
- The trachea, pleural space, esophagus and remaining included intrathoracic structures are unremarkable._x000D_
- The stomach is mildly distended with gas._x000D_
- The small intestine contains mild multifocal gas and soft-tissue/fluid._x000D_
- The colon has a mildly corrugated appearance and contains a small volume of gas._x000D_
- The liver, spleen, kidneys, urinary bladder and remaining abdominal structures are normal._x000D_
- There is mild lumbosacral spondylosis deformans. Remaining musculoskeletal structures are within normal limits.</t>
  </si>
  <si>
    <t>1. Despite lack of radiographic evidence of cardiomegaly, if a persistent/new cardiac murmur is audible, and echocardiogram may still be considered for further evaluation as radiographic sensitivity for diseases that lead to concentric cardiac hypertrophy such as hypertrophic cardiomyopathy can be limited. No evidence of pulmonary vascular congestion or congestive heart failure_x000D_
_x000D_
2. Mild diffuse bronchial pattern may reflect a component of chronic lower airway disease or may be within normal limits for the patient._x000D_
_x000D_
3. Aerophagia._x000D_
_x000D_
4. Mildly corrugated appearance of the colon can be compatible with colitis however clinical significance of this is uncertain given the history._x000D_
_x000D_
5. Excessive body habitus.</t>
  </si>
  <si>
    <t>Whole body radiographs. Right lateral and VD views dated January 22, 2024 are provided. _x000D_
_x000D_
The cardiac silhouette is normal in size and shape. The pulmonary vessels are symmetric and normal in size. The trachea and mainstem bronchi are unremarkable. On the VD view, there is a confluence of pulmonary vessels and costocartilages which create an impression of a patchy interstitial focus superimposed with the diaphragm and left caudal lung=ZZ90= however, this is not repeated on the lateral view and is considered artifactual. The pulmonary parenchyma is otherwise within normal limits. There is no evidence of intrathoracic lymphadenopathy. The pleural space is normal. _x000D_
_x000D_
The stomach is mildly distended with heterogeneous ingesta. The small intestine is diffusely normal in diameter. The colon contains loosely formed feces. There is normal serosal detail. The liver, spleen, kidneys, and urinary bladder are unremarkable. _x000D_
_x000D_
The skeletal structures are within normal limits. Several appendicular growth plates are open, consistent with a skeletally immature patient. The superficial soft tissues are normal.</t>
  </si>
  <si>
    <t>1. Normal thorax. A cause for increased respiration is not identified. Despite this feline asthma should be considered as it may have a radiographically normal appearance. _x000D_
-Incipient heart worm and/or lung worm infections cannot be excluded. _x000D_
2. Unremarkable abdomen. The gastrointestinal tract is most consistent with a recent meal, there is no evidence of a mechanical intestinal obstruction.</t>
  </si>
  <si>
    <t>-If clinically indicated, treatment for feline asthma could be considered to monitor response to treatment. Environmental allergens/irritants (if present) may be contributing to clinical signs._x000D_
-Additional diagnostics which could be considered include testing for heartworm and lungworm (Baermann fecal).</t>
  </si>
  <si>
    <t>Three orthogonal survey radiographs of the thorax and abdomen dated 21 January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thorax is hypoinflated. The tracheal bifurcation is normal. There is a mild bronchointerstitial opacification caudal dorsally and in the region of the accessory lung lobe._x000D_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The kidneys are partially obscured by gastrointestinal contents, but the visible aspect are normal. The head of the spleen is poorly visible. The stomach contains granular food material and some gas, and has a normal axis. The small intestines are variably filled with fluid/soft tissue opaque material and some gas. The transverse and descending colon contains gas and poorly formed faeces. The urinary bladder is normal. The serosal detail is mildly reduced, predominantly on the left side._x000D_
_x000D_
Musculoskeletal findings: There is extensive subcutaneous thickening of the dorsum and left side of thorax and abdomen with miliary subcutaneous gas lucencies. The left abdominal wall layering is still visible. The ventral abdominal wall layering is still visible. The vertebral column and ribs are normal.</t>
  </si>
  <si>
    <t>1. Severe cellulitis and oedema/haemorrhage of the dorsum and left side of the body consistent with the bite wounds reported. There is no evidence of an abdominal hernia or pneumoabdomen or pneumothorax._x000D_
The bronchointerstitial opacification is likely superimposition artefact, however some pulmonary contusion/haemorrhage cannot be excluded._x000D_
The loss of serosal detail is likely superimposition of the left body once, however some inflammatory transudate or haemorrhage may be present. The head of the spleen is poorly visible due to superimposition.</t>
  </si>
  <si>
    <t>Continue close clinical monitoring. Repeat thoracic radiographs if any respiratory signs develop. Continue empiric treatment of the wounds.</t>
  </si>
  <si>
    <t>ABDOMEN (four radiographs for review). Compared to a previous examination performed the day prior._x000D_
_x000D_
- Peritoneal serosal detail is normal._x000D_
- The previously noted moderate mixed soft tissue opaque material in the stomach has resolved, and the stomach is empty in today=ZZ91=s examination._x000D_
- The small intestines are mildly less distended than previous, and contain mild gas and soft-tissue opaque material._x000D_
- The colon contains a moderate volume of gas and multiple balls of mildly desiccated fecal material._x000D_
- The liver, kidneys, spleen, urinary bladder and remaining abdominal structures are normal.</t>
  </si>
  <si>
    <t>1. Resolved gastric material and mildly lessened small intestinal dilation is consistent with an improved appearance of generalized functional ileus. There is no evidence of small intestinal or material, plication or mechanical obstruction. Mildly desiccated fecal material in the colon is compatible with constipation. If clinically indicated (such as the patient worsens), an abdominal ultrasound might be considered for further assessment.</t>
  </si>
  <si>
    <t xml:space="preserve">
1.This result does NOT detect an alveolar pulmonary pattern. _x000D_
2.This result does NOT detect pleural fissure lines.  _x000D_
3.This result detects equivocal/borderline to mild cardiomegaly.  _x000D_
4.This result detects a minimal to mild interstitial pulmonary pattern._x000D_
5.This result detects a minimal to mild bronchial pulmonary pattern.</t>
  </si>
  <si>
    <t>ABDOMEN and THORAX (six total radiographs for review). A previous examination is available for comparison dated 10/02/23._x000D_
_x000D_
- Excessive body habitus._x000D_
- Peritoneal serosal detail is normal._x000D_
- The stomach is nondistended, containing a small volume of gas and mild gas stippled soft-tissue opaque material._x000D_
- The small intestine contains mild multifocal gas and soft-tissue. If you small intestinal segments have mildly subjectively thickened walls._x000D_
- The colon contains minimal formed fecal material in a small volume of gas._x000D_
- The liver, kidneys, urinary bladder and remaining abdominal structures are normal._x000D_
- The cardiopulmonary structures are unremarkable._x000D_
- The remaining included intrathoracic structures are normal.</t>
  </si>
  <si>
    <t>1. The appearance of the small intestinal tract and colon is nonspecific and can imply a diffuse generalized functional ileus such as enterocolitis or infiltrative bowel disease (e.g. IBD or lymphoma). There is no evidence of small intestinal foreign material or mechanical obstruction identified. If clinically indicated, consider abdominal ultrasound for further assessment._x000D_
_x000D_
2. Normal thorax._x000D_
_x000D_
3. Excessive body habitus.</t>
  </si>
  <si>
    <t>A three view thoracoabdominal study is provided for interpretation._x000D_
_x000D_
The lungs have a very mild bronchial pattern. Interstitial opacity is slightly increased. No alveolar infiltrates or pleural effusion are seen. No tracheal abnormalities are identified. The heart is at the upper end of acceptable size range to mildly enlarged. Pulmonary vessels are normal._x000D_
Multiple small bowel loops in the mid abdomen have a mildly fluid dilated or possibly thickened appearance. No foreign bodies are identified in the GI tract. The other abdominal organs are within normal limits. Serosal detail is normal.</t>
  </si>
  <si>
    <t>Some of the small bowel loops appear mildly thickened are mildly fluid dilated. This could be the result of enteritis or transient intestinal disease with actual bowel thickening. Follow up imaging is recommended._x000D_
_x000D_
Heart size is borderline. This could be normal for this patient or secondary to hypertrophic cardiomyopathy or hyperthyroidism or systemic hypertension._x000D_
The bronchial pattern is mild and within the limits of what can sometimes be seen as age related change. Low-grade bronchitis cannot be excluded. Considering the chronic history, allergic bronchitis or asthma would be more likely than infectious bronchitis. If coughing is worse recently, secondary infection may be present.</t>
  </si>
  <si>
    <t>CBC, heartworm testing, and Baermann fecal exam for lungworms is recommended to help rule out infectious causes of the cough._x000D_
_x000D_
Abdomen ultrasound should be considered for more definitive evaluation of the intestinal tract.</t>
  </si>
  <si>
    <t xml:space="preserve">
1.This result does not detect pleural fissure lines/fluid.  _x000D_
2.This result detects equivocal/borderline to mild cardiomegaly. _x000D_
3.This result detects a minimal to mild, or rarely moderate interstitial pulmonary pattern.  _x000D_
4.This result detects a minimal to mild, or rarely moderate bronchial pulmonary pattern._x000D_
5.Rarely, this result detects a minimal to mild alveolar pulmonary pattern._x000D_
6.This result does not detect pulmonary vasculature enlargement.</t>
  </si>
  <si>
    <t>Study:_x000D_
Thoracic radiography: three images dated January 20, 2024_x000D_
_x000D_
Findings:_x000D_
The cardiac silhouette and pulmonary vasculature are normal in size. There is a mild increase in the conspicuity the walls of the small caliber bronchi in the caudodorsal lung field. The pleural space is normal. There is no intrathoracic lymphadenopathy. The trachea is normal in diameter and course. The larynx is unremarkable. The included abdomen is normal. No skeletal abnormalities are present. The patient is of overweight body condition.</t>
  </si>
  <si>
    <t>The mild caudodorsal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t>
  </si>
  <si>
    <t>THORAX (three radiographs for review). No priors._x000D_
_x000D_
- Mild rightward mediastinal shift._x000D_
- Mild diffuse bronchial pattern._x000D_
- Mild pulmonary hyperinflation, resulting in a flattening of the diaphragm._x000D_
- Cardiac silhouette, pleural space and remaining included intrathoracic structures unremarkable._x000D_
- Mildly enlarged liver can be normal for patient juvenile age._x000D_
- Remaining included cranial abdominal structures within normal limits._x000D_
- Excessive body habitus._x000D_
- Remaining musculoskeletal structures normal.</t>
  </si>
  <si>
    <t>1. Mild diffuse bronchial pattern with pulmonary hyperinflation is compatible with chronic lower airway disease. The primary differential diagnosis is feline asthma, however bronchitis of infectious parasitic, bacterial or inhaled irritant etiologies remain possible. Consider empirical treatment for lower airway disease and if the patient fails to improve or worsens despite medical management, a thoracic CT with lower airway sampling (e.g. BAL) might help guide treatment._x000D_
_x000D_
2. Excessive body habitus.</t>
  </si>
  <si>
    <t>Study:_x000D_
Thoracic radiography: three images dated January 19, 2024_x000D_
_x000D_
Findings:_x000D_
The cardiac silhouette and pulmonary vasculature are normal in size. The pulmonary parenchyma is unremarkable. The pleural space is normal. There is no intrathoracic lymphadenopathy. The trachea is normal in diameter and course. The included abdomen is unremarkable. No skeletal abnormalities are present.</t>
  </si>
  <si>
    <t>Consider infectious respiratory disease PCR testing, computed tomography of the head/nasal passages plus/minus rhinoscopy for further evaluation of the upper respiratory signs.</t>
  </si>
  <si>
    <t>3 views of the entire body are provided for review.  The cardiac silhouette is widened with rounding of the left ventricular border.  Increased interstitial opacities present in the right caudal lung lobe.  The pulmonary vasculature is normal in size.  The mediastinal and pleural structures are normal.  Abdominal serosal detail is adequate in all quadrants.  The stomach contains a large amount of gas.  The small intestines are normal in size.  Gas and feces are present in the colon.  The urinary bladder is currently distended.  The remaining abdominal organs are normal.</t>
  </si>
  <si>
    <t>Radiographically normal abdomen.  Cardiomegaly.  Interstitial pulmonary pattern concerning for cardiogenic pulmonary edema.</t>
  </si>
  <si>
    <t>Consider repeat radiographs following diuretic therapy.  Echocardiography and thyroid testing may be helpful in further evaluation.</t>
  </si>
  <si>
    <t xml:space="preserve">
1.This result detects minimal to moderate pleural fissure lines/fluid._x000D_
2.Uncommonly, this result detects a mild to moderate alveolar pulmonary pattern.  _x000D_
3.Uncommonly, this result detects soft tissue or cavitary pulmonary nodules._x000D_
4.This result detects a mild to moderate bronchial pulmonary pattern._x000D_
5.This result detects a mild to moderate interstitial pulmonary pattern._x000D_
6.This result detects equivocal/borderline to moderate, or rarely severe cardiomegaly.</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</si>
  <si>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are mildly irregular with bilateral diverticuli mineralization, the left one being smaller than the right one._x000D_
Urinary bladder WNL._x000D_
_x000D_
Multifocal signs of chronic IVDD.</t>
  </si>
  <si>
    <t>1) Unremarkable thorax without signs of pulmonary metastases nor signs of thoracic lymphadenopathy._x000D_
2) Bilateral chronic renal changes with renal diverticuli mineralization.</t>
  </si>
  <si>
    <t>Consider abdominal US to further evaluate causes of vomition along with evaluation of the urinary tract with renal function test, urinalysis, UPC and urine culture.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</si>
  <si>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margins are mildly rounded and extends beyond the costal arch.  The stomach contains a moderate amount of gas.  The small intestines are normal in size.  Gas and feces are present in the colon.  The urinary bladder is small.  The kidneys are small with mildly irregular margins.  The remaining abdominal organs are normal.</t>
  </si>
  <si>
    <t>Hepatomegaly=ZZ90= this is a nonspecific finding that may be seen with congestion, vacuolar hepatopathy, inflammation, neoplasia, etc.  Chronic renal changes.  Radiographically normal thorax for patient of this age.</t>
  </si>
  <si>
    <t>Study:_x000D_
Thoracic radiography: three images dated January 19, 2024_x000D_
_x000D_
Findings:_x000D_
Pericardial fat accentuates the cranial aspect of the cardiac silhouette=ZZ90= however, the cardiac silhouette is normal in size and shape. The pulmonary vasculature is normal in size. There is a mild generalized bronchial pulmonary pattern. The pleural space is normal. There is no intrathoracic lymphadenopathy. The larynx is normal. The trachea is normal in diameter. The included abdomen is normal. No skeletal abnormalities are present.</t>
  </si>
  <si>
    <t>The mild generalized bronchial pulmonary pattern may indicate allergic/inflammatory bronchitis (asthma). Infectious, parasitic and irritant bronchitis are also possible. Airway sampling plus/minus heartworm testing and Baermann fecal flotation can be considered for further evaluation. Alternatively, a treatment trial for asthma can be considered.</t>
  </si>
  <si>
    <t>Consider abdominal US to further evaluate causes of vomition._x000D_
Given the lack of cardiomegaly but audible murmur, consider a cardiology consultation with ECG and echocardiogram.</t>
  </si>
  <si>
    <t xml:space="preserve">
1.This result detects a minimal to mild interstitial pulmonary pattern.  _x000D_
2.This result detects a mild, or rarely moderate bronchial pulmonary pattern._x000D_
3.Rarely, this result detects a minimal alveolar pulmonary pattern._x000D_
4.This result does not detect pulmonary vasculature enlargement._x000D_
5.Rarely, this result detects minimal pleural fissure lines/fluid.  _x000D_
6.This result detects equivocal/borderline to mild cardiomegaly. </t>
  </si>
  <si>
    <t>THORAX (three radiographs for review). No priors._x000D_
_x000D_
- Moderate diffuse bronchial pattern._x000D_
- Mild pulmonary hyperinflation._x000D_
- Cardiac silhouette, pulmonary vasculature normal._x000D_
- Remaining intrathoracic structures unremarkable._x000D_
- The stomach is moderately distended with gas and contains gas stippled soft-tissue opaque material as well as a few small mineral foci._x000D_
- Remaining cranial abdominal structures normal._x000D_
- Broad-based fat opaque mass in the dorsal cranial abdominal soft-tissues, consistent with the reported history._x000D_
- Included musculoskeletal structures normal.</t>
  </si>
  <si>
    <t>1. Moderate diffuse bronchial pattern with mild pulmonary hyperinflation is likely compatible with chronic lower airway disease such as feline asthma (less likely chronic bronchitis of infectious parasitic, inhaled irritant or allergic etiologies). Consider empirical treatment for chronic lower airway disease and lower airway sampling (e.g. BAL) if the patient worsens or fails to improve with medical management._x000D_
_x000D_
2. Moderate gastric distention with soft-tissue/fluid and mineral opaque material as well as gas. May be due to postprandial, however does have an appearance of gastric ileus such as gastritis. _x000D_
_x000D_
3. Cranial dorsal extra abdominal fat opaque mass is most likely a lipoma.</t>
  </si>
  <si>
    <t>THORAX (three radiographs for review). No priors._x000D_
_x000D_
- Excessive body habitus._x000D_
- On the VD projection, there is a mild widening of the cardiac silhouette. The appearance of cardiomegaly is not corroborated orthogonally._x000D_
- Pulmonary vasculature unremarkable._x000D_
- Mild diffuse bronchial pattern._x000D_
- Few thickened pleural fissure lines. _x000D_
- Remaining included intrathoracic structures unremarkable._x000D_
- Included cranial abdomen and musculoskeletal structures normal.</t>
  </si>
  <si>
    <t>1. I believe the cardiac silhouette to be within normal limits for size, and the patient=ZZ91=s body habitus is causing some pericardial fat deposition that gives the false sense of cardiomegaly on the VD image. There are also no changes to the pulmonary vasculature. If there is a repeatable cardiac murmur, or the patient is determined to be hyperthyroid (T4 reported as pending), despite lack of radiographic evidence of cardiomegaly, an echocardiogram may still be considered._x000D_
_x000D_
2. Chronic lower airway disease. Consider feline asthma versus chronic bronchitis of infectious parasitic or inhaled irritant etiologies.</t>
  </si>
  <si>
    <t>A discrete radiographic cause for the reported collapse is not clearly identified.</t>
  </si>
  <si>
    <t>THORAX and TAIL (five radiographs for review). No previous for comparison._x000D_
_x000D_
THORAX:_x000D_
- Excessive body habitus._x000D_
- Minimal/questionable diffuse bronchial pattern._x000D_
- Mild rightward mediastinal shift._x000D_
- Mild generalized cardiomegaly, characterized by rounding of the cardiac margins and a widening of the silhouette on the VD image. Pulmonary vasculature and parenchyma normal._x000D_
_x000D_
TAIL:_x000D_
- Locally extensive, mild to moderate soft-tissue swelling along the dorsal surface of the proximal tail, at the level of 5th-8th caudal vertebral segments. No obvious surrounding bony changes identified._x000D_
- Included portions of the pelvis and coxofemoral joints unremarkable.</t>
  </si>
  <si>
    <t>1. Locally extensive swelling along the dorsal aspect of the proximal portion of the tail, consistent with the reported history. May be cellulitis/phlegmon/abscess or less likely fibrosis or a mass. No evidence of vertebral osteomyelitis or subluxation, fracture or other changes._x000D_
_x000D_
2. There is the impression of mild generalized cardiomegaly present. I am uncertain if it is artifactual due to the presence of fat deposition within the pericardium (as the patient is of excessive body condition), or true cardiac pathology (e.g. cardiomyopathy). I lean towards an artifactual appearance due to the patient=ZZ91=s younger age and lack of pulmonary vascular changes, however would recommend careful cardiac auscultation and echocardiography if a murmur is present._x000D_
_x000D_
3. Minimal diffuse bronchial pattern. Consider chronic lower airway disease (e.g. feline asthma, or bronchitis of infectious parasitic etiology).</t>
  </si>
  <si>
    <t>As above. Radiographically, the patient=ZZ91=s coughing is most likely related to the bronchial changes, which are subtle/mild.</t>
  </si>
  <si>
    <t>THORAX and CERVICAL (four radiographs for review). No previous for comparison._x000D_
_x000D_
- Increased soft-tissue opacity in the region of the larynx._x000D_
- Ill-defined mineralization of the laryngeal cartilages._x000D_
- Moderate gas dilation of the nasopharynx and origpharynx._x000D_
- Trachea is normal._x000D_
- Moderate pulmonary hyperinflation._x000D_
- Cardiac silhouette, pulmonary vasculature and parenchyma unremarkable._x000D_
- Pleural space and remaining included thoracic structures normal._x000D_
- Included cranial abdominal structures and musculoskeletal structures within normal limits.</t>
  </si>
  <si>
    <t>1. Increased soft-tissue opacity in the region of the larynx raises concern for a laryngeal lesion. Considerations include chronic inflammatory laryngitis or neoplasia such as lymphoma or carcinoma. There is evidence of partial upper airway obstruction (nasopharyngeal gas dilation, pulmonary hyperinflation). Consider sedated upper airway examination and biopsy/FNA of abnormal laryngeal tissue. Laryngoscopy may be clinically useful.</t>
  </si>
  <si>
    <t>Five radiographs of the thorax/abdomen, and a closed mouth dorsoventral radiograph of the head are provided. Previous thorax/abdomen images dated 10/6/22 are available for comparison. The cardiac silhouette and pulmonary vessels are normal size and shape. The heart appears relatively larger on the VD projection due to adjacent fat deposition and partial expiration. There are no abnormalities in the pulmonary parenchyma or pleural space. Normal tracheal diameter. There is a well delineated broad based area of smoothly irregular osseous proliferation extending ventral and medial to one of the mandibles (no laterality marker present on the DV view of the head). The osseous proliferation measures approximately 2.4 x 0.6 cm, there is suspect adjacent lysis, and moderate soft tissue swelling. No other head abnormalities._x000D_
_x000D_
In the abdomen there is no effusion or organomegaly. Gas and formed feces fills the colon. The stomach and small bowel are minimally filled. No radiopaque urolithiasis. Spondylosis deformans at the lumbosacral junction is likely incidental.</t>
  </si>
  <si>
    <t>Rostral mandibular osseous proliferation with suspected lysis. Neoplasia such as squamous cell carcinoma is suspected. An inflammatory process is given lesser consideration. The thorax and abdomen are normal.</t>
  </si>
  <si>
    <t>There is no contraindication for general anesthesia based on this study. If further evaluation of the mandible is desired to determine extent of the lesion, structures involved, and guide treatment options, computed tomography would be recommended.</t>
  </si>
  <si>
    <t>Opposite lateral and VD views of the thorax and abdomen are provided._x000D_
_x000D_
In the first right lateral view there is an ill defined soft tissue opacity superimposed over the cranial aspect of the heart at the level of the fifth rib pair. This is not seen in the other right lateral thorax view, or in the left lateral and VD views and is likely a superimposition artifact. Bronchial markings are slightly increased but within the limits of age related change. The cardiovascular structures are within normal limits. No esophageal or tracheal abnormalities are identified._x000D_
_x000D_
There is normal appearing soft tissue dense ingesta in the stomach. No foreign bodies are seen. There is a mild to moderate overall increase in small intestinal gas, with slight gas dilation of a few small bowel segments. There is a small round mineral density in the left mid peripheral abdomen that is likely a benign mineralized granuloma. The other organs are within normal limits. There is moderate spondylosis at T 11-T 12.</t>
  </si>
  <si>
    <t>1) The slight increase in bronchial markings is a minimal change. Asthma is still the most likely explanation for the cough/wheeze reported in history._x000D_
_x000D_
2) There is mildly increased small intestinal gas with slight dilation of a few small bowel loops. This is an equivocal finding that could be seen as a result of enteritis or incidentally. Chronic intestinal inflammation should still be ruled out with endoscopy if clinically indicated._x000D_
_x000D_
3) The small mineral density seen in the left side of the abdomen is an incidental finding of no clinical significance.</t>
  </si>
  <si>
    <t>Symptomatic therapy for probable asthma is recommended as needed._x000D_
_x000D_
Empiric medical management for chronic enteropathy is recommended. Parasitic or infectious causes should be ruled out. Endoscopy should be considered if clinical signs are persistent.</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</si>
  <si>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Incidental gallbladder choleliths and left thoracic wall SC nodule.</t>
  </si>
  <si>
    <t>Chester Stone. Date of study: 01/18/24. Thoracic radiography (3 view, 3 images. 1 VD, 2 Lateral). Radiographs performed 8/29/23 are available for comparison._x000D_
_x000D_
Airway/pulmonary findings: Similar, diffuse, mild to moderate bronchial pattern.  Similar, rounded soft-tissue opacity in the left caudal lung lobe (1.2 x 8.7 cm) superimposed by multiple small mineral-opaque foci _x000D_
_x000D_
Cardiovascular findings: The cardiac silhouette is normal in size.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Musculoskeletal: The included musculoskeletal structures are normal.</t>
  </si>
  <si>
    <t>1. Similar diffuse bronchial pattern, likely compatible with chronic lower airway disease (feline asthma)._x000D_
_x000D_
2. Similar, rounded soft-tissue opacity in the left caudal lung lobe (1.2 x 8.7 cm) superimposed by multiple small mineral-opaque foci. I suspect this is most likely a benign pulmonary granuloma related to chronic lower airway disease, with a small neoplasm (e.g. primary or metastatic pulmonary carcinoma) less likely._x000D_
_x000D_
3. Excessive body habitus.</t>
  </si>
  <si>
    <t>If the patient is currently well-managed and the respiratory signs are minimal, continued medical management may be a reasonable option. I would recommend considering at least one more radiographic examination of the thorax in this patient (in multiple months, perhaps 3-6) to make sure the nodule in the left caudal lung lobe is not progressing in size.</t>
  </si>
  <si>
    <t>Three radiographs of the thorax and of the abdomen are provided. The cardiac silhouette and pulmonary vessels are normal size and shape. There are no abnormalities in the pulmonary parenchyma or pleural space. No enlarged intrathoracic lymph nodes. Adequate tracheal diameter._x000D_
_x000D_
In the abdomen formed feces fills the colon. Large volume soft tissue opaque ingesta fills the stomach. Small bowel are moderately filled with a mixture of fluid and gas. Normal-sized liver, spleen, kidneys. No urinary bladder abnormalities.</t>
  </si>
  <si>
    <t>Small intestinal functional ileus, and nonspecific finding that may be due to metabolic abnormality, enteritis, stress/discomfort, or primary intestinal disorder. Otherwise normal postprandial abdomen and thorax.</t>
  </si>
  <si>
    <t>Fasting abdominal ultrasound is recommended.</t>
  </si>
  <si>
    <t>Four radiographs of the thorax are provided. The cardiac silhouette and pulmonary vessels are normal size and shape. There is a mild bronchial pattern in the lungs. No pleural effusion or intrathoracic lymphadenomegaly. The trachea is normal diameter and position. No laryngeal abnormalities. Round soft tissue density in the cranioventral abdomen is distended pylorus.</t>
  </si>
  <si>
    <t>Mild bronchial pattern consistent with chronic airway inflammation such as asthma. This is most likely cause for recent cough. Infectious airway disease is given lesser consideration. There is no evidence of pneumonia.</t>
  </si>
  <si>
    <t>WHOLE-BODY (six radiographs for review). No previous for comparison. A second complete set of radiographs post enema is included._x000D_
_x000D_
- Peritoneal serosal detail is within normal limits._x000D_
- In the first study, there is a moderate to marked volume of desiccated fecal material and gas throughout the colon. In the follow-up study, the material has mildly reduced in volume and is more soft/liquid in character._x000D_
- The stomach contains a mild volume of gas._x000D_
- In both studies, the small intestine is relatively unremarkable, being nondistended and contains mild multifocal gas and soft-tissue opaque material._x000D_
- The liver, spleen, kidneys and urinary bladder are within normal limits. The region of the urethra is unremarkable._x000D_
- There is a moderate diffuse bronchial pattern present throughout the thorax. There is an unstructured interstitial pattern in the region of the junction between the right middle and right cranial lung lobes._x000D_
- The cardiac silhouette, pulmonary vasculature and remaining included intrathoracic structures are normal._x000D_
- There is mild multifocal spondylosis deformans present.</t>
  </si>
  <si>
    <t>1. Moderate-to-severe colonic distention with desiccated fecal material. The degree of material raises concern for megacolon. An overt underlying and/or predisposing cause such as chronic degenerative renal disease is not clearly identified radiographically._x000D_
_x000D_
2. Otherwise unremarkable abdomen with mild aerophagia._x000D_
_x000D_
3. Mild to moderate diffuse bronchial pattern, likely compatible with chronic lower airway disease (e.g. feline asthma). The unstructured interstitial pattern in the region of the junction between the right cranial and right middle lung lobe most likely represents pulmonary atelectasis and/or a focal region of pneumonia. Metastatic neoplasia less likely._x000D_
_x000D_
REFERENCES:_x000D_
_x000D_
Rad diameter of the colon in normal, constipated and megacolon cats_x000D_
Trevail =ZZ96= Carrera (Liverpool)  VRUS (2009)</t>
  </si>
  <si>
    <t>The most radiographically abnormal organ in these radiographs is the colon, and if the patient has been in and out of the litter box, I suspect is more likely related to constipation/obstipation, however urinary tract infection cannot be completely excluded (no uroliths are appreciated). I would consider abdominal ultrasound in this patient for further assessment of the gastrointestinal tract and to screen for underlying causes of the severe accumulation of desiccated colonic fecal material._x000D_
_x000D_
Despite lack of radiographic evidence of cardiomegaly, if there is a persistent cardiac murmur ausculted then an echocardiogram may still be considered._x000D_
_x000D_
If there is a history of coughing, empirical treatment for chronic lower airway disease may be considered.</t>
  </si>
  <si>
    <t>Three radiographs of the thorax and orthogonal views of the abdomen are provided. The heart and pulmonary vessels are normal size and shape. Fat deposition encircles the heart on the VD projection. There are faint bronchial markings in the lungs. No pulmonary nodules or pleural effusion. The tracheal position and diameter is normal. Unremarkable proximal thoracic limbs._x000D_
_x000D_
In the abdomen, large volume soft tissue opaque ingesta fills the stomach. Small bowel are minimally filled. Formed feces fills the colon. There is no radiopaque cystic calculi. Normal-sized liver, kidneys, spleen. Wispy soft tissue densities extending caudal to the kidneys on the lateral view is normal vessels/ureters, visible due to abundant retroperitoneal fat. Osseous structures are unremarkable.</t>
  </si>
  <si>
    <t>1. Faint bronchial markings suggestive of chronic airway inflammation such as asthma. This is the most likely cause for coughing. There is no evidence of cardiovascular disease or pneumonia._x000D_
2. Normal abdomen.</t>
  </si>
  <si>
    <t>Consider treatment for asthma.</t>
  </si>
  <si>
    <t>Three radiographs of the thorax are provided. The cardiac silhouette and pulmonary vessels are normal size and shape. There are a few faint bronchial markings otherwise the lungs are clear. There is no pleural effusion or intrathoracic lymphadenomegaly. Normal tracheal diameter. The cranial abdomen is unremarkable.</t>
  </si>
  <si>
    <t>Faint bronchial markings suggestive of chronic airway inflammation such as asthma, otherwise normal thorax. This does not explain the ocular discharge or sneezing. Intranasal disease (rhinitis, neoplasia) remains possible.</t>
  </si>
  <si>
    <t>Additional imaging of the head with computed tomography could be considered.</t>
  </si>
  <si>
    <t xml:space="preserve">
1.This result does NOT detect  an alveolar pulmonary pattern._x000D_
2.This result does NOT detect soft tissue pulmonary nodules.  _x000D_
3.This result does NOT detect pleural fissure lines. _x000D_
4.This result detects mild to moderate cardiomegaly._x000D_
5.This result detects a minimal to mild bronchial pulmonary pattern._x000D_
6.This result detects a minimal to mild interstitial pulmonary pattern.</t>
  </si>
  <si>
    <t>Opposite lateral and ventrodorsal thoracic radiographs (4 images) dated January 17, 2024._x000D_
_x000D_
_x000D_
The cardiac silhouette is normal in size and shape. The pulmonary vasculature and great vessels are within normal limits. The pulmonary parenchyma as a mild diffuse bronchial pattern with wall thickening that is considered excessive for a young adult. No pulmonary nodules, infiltrates, or other pathology is detected. The pleural space and diaphragm are normal. No mediastinal abnormalities are appreciated. The trachea is normal in diameter and course with gas filling its lumen. No intrathoracic lymphadenopathy is evident. The liver is enlarged. No aggressive or clinically significant osseous pathology is identified.</t>
  </si>
  <si>
    <t xml:space="preserve">
1.This result detects a minimal to mild bronchial pulmonary pattern._x000D_
2.This result does not detect an alveolar pulmonary pattern._x000D_
3.Rarely, this result detects minimal pulmonary vasculature enlargement._x000D_
4.Rarely, this result detects minimal pleural fissure lines/fluid.  _x000D_
5.This result detects mild to moderate cardiomegaly._x000D_
6.This result detects a mild to mild interstitial pulmonary pattern.  </t>
  </si>
  <si>
    <t>Opposite lateral and ventrodorsal whole body radiographs (3 images) dated January 17,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The stomach contains a small amount of heterogeneous soft-tissue content that most closely resembles partially digested food. The small intestine is unremarkable in size, course, and content. The left kidney is normal in size and shape. The right kidney is best visualized on the lateral views with no abnormalities appreciated. The urinary bladder is mildly fluid-filled. Retroperitoneal and peritoneal detail are normal. No regional lymphadenopathy is evident._x000D_
There is mild lumbosacral disc space narrowing with spondylosis deformans. The remaining osseous structures are unremarkable.</t>
  </si>
  <si>
    <t>1. Unremarkable thorax and abdomen._x000D_
2. Mild lumbosacral intervertebral disc disease. Correlation with orthopedic and neurologic exam is needed to determine significance.</t>
  </si>
  <si>
    <t>CBC, chemistry, UA, T4, fecal, systemic blood pressure evaluation, and FeLV/FIV._x000D_
Internal medicine consultation.</t>
  </si>
  <si>
    <t>Right lateral and ventrodorsal whole body radiographs (2 images) dated January 17,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unremarkable in size and shape. The stomach contains a small amount of soft-tissue content mixed with gas. The small intestine is unremarkable in size, course, and content (primarily gas and homogeneous soft-tissue/fluid). The colon contains gas and some normal appearing stool. The kidneys are best visualized on the lateral view, where there appear normal in size and shape. The urinary bladder is small and fluid opaque. Retroperitoneal and peritoneal detail are normal. No regional lymphadenopathy is evident._x000D_
No aggressive osseous lesions are identified. There is middle lumbar spondylosis deformans without disc space narrowing. At least 1 of the elbows included has moderate periarticular bony remodeling affecting it.</t>
  </si>
  <si>
    <t>1. Normal thorax._x000D_
2. Unremarkable abdomen. The cause for the lethargy and anorexia is not radiographically apparent._x000D_
3. Elbow osteoarthritis.</t>
  </si>
  <si>
    <t>CBC, chemistry, UA, T4, fecal, systemic blood pressure evaluation, toxoplasmosis titers, cranial nerve exam, FeLV/FIV._x000D_
Abdominal ultrasound may be indicated for further workup._x000D_
Internal medicine and/or neurology consultation.</t>
  </si>
  <si>
    <t>Opposite lateral and VD thoracoabdominal views are provided for interpretation._x000D_
_x000D_
The stomach is full with amorphous soft tissue dense content. The appearance is consistent with normal food. There is a mild increase in small intestinal gas. No dilation of the intestine or evidence of plication is identified. Abdominal serosal detail is normal. The other organs are unremarkable. The cardiopulmonary structures are within normal limits. No esophageal abnormalities are identified.</t>
  </si>
  <si>
    <t>Small intestinal gas is mildly increased, but this is an equivocal finding. It could be associated with enteritis but can also be incidental.. No findings that would convincingly explain the complaint of vomiting and lethargy are identified.</t>
  </si>
  <si>
    <t>No definitive anatomic abnormalities are identified. Conservative management is recommended with recheck radiographs if clinical signs return.</t>
  </si>
  <si>
    <t>Thorax: There is a diffuse peribronchial pattern.  The cardiac silhouette and pulmonary vasculature are unremarkable.  There is no evidence of pleural effusion or lymphadenopathy._x000D_
_x000D_
Abdomen: The liver and spleen are unremarkable.  There are no abnormalities involving the gastrointestinal tract or urinary tract.  Serosal detail is normal.</t>
  </si>
  <si>
    <t>Diffuse peribronchial pattern which may represent a lower airway inflammatory process such as asthma.</t>
  </si>
  <si>
    <t>Opposite lateral and ventrodorsal thoracic radiographs (4 images) dated January 17, 2024._x000D_
_x000D_
_x000D_
The cardiac silhouette, pulmonary vasculature, and great vessels are within normal limits. The pulmonary parenchyma as a severe diffuse bronchial pattern with bronchial wall thickening and peribronchial unstructured interstitial cuffing. No pulmonary nodules, infiltrates, or other pathology is detected. The pleural space and diaphragm are normal. No mediastinal abnormalities are appreciated. The trachea is normal in diameter and course with gas filling its lumen. No intrathoracic lymphadenopathy is evident._x000D_
The liver is mildly enlarged. The remainder the included abdomen is unremarkable._x000D_
No aggressive or clinically significant osseous pathology is identified.</t>
  </si>
  <si>
    <t>1. Bronchitis. Rule out eosinophilic/feline asthma vs. infectious (bacterial or parasitic [including heartworm]) vs. chronic inhaled irritants._x000D_
2. Hepatomegaly. Rule out a benign metabolic/vacuolar hepatopathy vs. less likely inflammatory or infiltrative neoplastic conditions.</t>
  </si>
  <si>
    <t xml:space="preserve">
1.This result detects a minimal to mild interstitial pulmonary pattern.  _x000D_
2.This result detects a moderate, or rarely severe bronchial pulmonary pattern._x000D_
3.Rarely, this result detects a mild alveolar pulmonary pattern._x000D_
4.This result detects equivocal/borderline to mild cardiomegaly. _x000D_
5.This result does not detect pulmonary vasculature enlargement._x000D_
6.This result does not detect pleural fissure lines/fluid.  </t>
  </si>
  <si>
    <t>Opposite lateral and ventrodorsal thoracic radiographs (4 images) dated January 17, 2024._x000D_
_x000D_
The cardiac silhouette is slightly tall in height on the lateral views but is within normal limits on the VD projection. The pulmonary vasculature and great vessels are within normal limits. The pulmonary parenchyma is unremarkable with no nodules, infiltrates, or other pathology detected. No intrathoracic lymphadenopathy is present. The trachea is normal in diameter and course with gas filling its lumen. The pleural space, mediastinum, and diaphragm are normal._x000D_
There is multifocal spondylosis deformans without disc space narrowing.</t>
  </si>
  <si>
    <t>1. No evidence of metastatic neoplasia in the thorax._x000D_
2. Mildly tall cardiac silhouette. Rule out incidental from sedation vs. left ventricular hypertrophy from systemic hypertension vs. subclinical cardiomyopathy vs. least likely normal anatomy for this patient.</t>
  </si>
  <si>
    <t>T4, cardiac proBNP testing, and systemic blood pressure evaluation. If any are abnormal, consider echocardiogram.</t>
  </si>
  <si>
    <t xml:space="preserve">
1.This result does NOT detect pleural fissure lines.  _x000D_
2.This result detects minimal to mild, mixed interstitial and bronchial pulmonary patterns._x000D_
3.This result detects mild to severe cardiomegaly._x000D_
4.Rarely, this result detects a minimal to mild alveolar pulmonary pattern.</t>
  </si>
  <si>
    <t>Study:_x000D_
Thoracic/abdominal radiography: three images dated January 16,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adequate. The stomach contains a small amount of unstructured heterogeneous soft tissue material presumed to be ingesta. The small intestines are normal in size, course and content. The colon contains gas and poorly formed fecal material. The liver and spleen are normal in size and margin. The renal silhouettes are normal in size and contour. The urinary bladder is moderately distended, likely secondary conscious retention. There is mild multifocal thoracolumbar spondylosis deformans.</t>
  </si>
  <si>
    <t>1. Normal thorax. There is no radiographic evidence of cardiopulmonary disease._x000D_
2. Postprandial stomach=ZZ90= otherwise, unremarkable abdomen abdomen.</t>
  </si>
  <si>
    <t>Echocardiography can be considered for further evaluation of the reported heart murmur._x000D_
_x000D_
Neurology consultation and MRI can be considered for further evaluation of the reported seizure.</t>
  </si>
  <si>
    <t>Right lateral and ventrodorsal thoracic radiographs (2 images) dated January 16, 2024._x000D_
_x000D_
The cardiac silhouette is enlarged with an abnormal shape, characterized by a soft tissue bold that dorsally displaces the caudal/terminal trachea, excessive rounding of the caudal cardiac margin that results in widening of the cardiac silhouette in the craniocaudal plane on the right lateral view to 4.5 intercostal spaces, moderate rounding of the region of the right atrium on the VD view, and significant left caudolateral bulging of the cardiac silhouette on the VD projection. The pulmonary vasculature and great vessels are within normal limits. The lungs are unremarkable with no pulmonary nodules, infiltrates, or other pathology detected. The trachea is normal in diameter and contains gas. No intrathoracic lymphadenopathy is evident. The pleural space, mediastinum, and diaphragm are normal. The diaphragm is in contact with the cardiac silhouette on all views. The liver is unremarkable in size and shape. The stomach contains a small amount of gas and soft-tissue content. The remainder of the included cranial abdomen is unremarkable._x000D_
Both elbows have severe periarticular bony remodeling affecting them. No aggressive osseous lesions are identified.</t>
  </si>
  <si>
    <t>1. Abnormal cardiomegaly is suspicious for a pericardial mass +/- effusion vs. a chronic subclinical disorder (ex: VSD or ASD) vs. less likely other causes. There is no evidence of heart failure._x000D_
The remainder of the thorax is unremarkable.</t>
  </si>
  <si>
    <t>Echocardiogram or thoracic CT with contrast._x000D_
CBC, chemistry, UA, T4, fecal, systemic blood pressure evaluation.</t>
  </si>
  <si>
    <t xml:space="preserve">
1.Uncommonly, this result detects minimal to mild pulmonary vasculature enlargement._x000D_
2.This result detects most commonly detects moderate cardiomegaly, and less commonly detects mild or severe cardiomegaly._x000D_
3.This result detects minimal or rarely mild pleural fissure lines/fluid.  _x000D_
4.This result detects a mild to mild, or rarely moderate interstitial pulmonary pattern.  _x000D_
5.This result detects a minimal to mild, or rarely moderate bronchial pulmonary pattern._x000D_
6.Rarely, this result detect a minimal to mild alveolar pulmonary pattern.</t>
  </si>
  <si>
    <t>6 images of the thorax, abdomen, and skull/cervical region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distended.  The remaining abdominal organs are normal.  Gas is present in the subcutaneous tissues of the cervical region.  Spinal alignment is normal.  No overt skull or spinal fractures are seen.  The coxofemoral joints are congruent.</t>
  </si>
  <si>
    <t>Radiographically normal abdomen.  Radiographically normal thorax for patient of this age.  Subcutaneous emphysema consistent with a bite wounds.</t>
  </si>
  <si>
    <t>Thorax. Three radiographs (2 lateral, 1 VD) of the thorax/abdomen dated January 16, 2024 are provided. The thorax is interpreted. _x000D_
_x000D_
There is a diffuse, mild bronchial pattern. The pulmonary parenchyma is otherwise normal, without hyperinflation or consolidation. The cardiac silhouette is normal in size and shape. The pulmonary vessels are within normal limits. The trachea and mainstem bronchi are unremarkable. There is no intrathoracic lymphadenopathy. The pleural space and mediastinum are within normal limits. _x000D_
_x000D_
The liver is moderately enlarged, the caudal margin is rounded and extends beyond the costal arch. There is normal serosal detail in the cranial abdomen. There is moderate spondylosis deformans of C7-T1 and from T11-12 to L1-2. The intervertebral disc spaces are within normal limits.</t>
  </si>
  <si>
    <t>1. Mild diffuse bronchial pattern, most consistent with lower airway inflammation. Significance is unknown in the absence of respiratory signs. _x000D_
-Differentials include chronic bronchitis of allergic, infectious/inflammatory, and irritant etiologies. _x000D_
2. Moderate hepatomegaly. This is a non-specific finding which may be due metabolic abnormalities (i.e. hepatic lipidosis), infectious/inflammatory or infiltrative diseases. _x000D_
3. The cardiovascular structures are normal, with no evidence of decompensation.</t>
  </si>
  <si>
    <t>-An abdominal ultrasound could be considered to further evaluate the liver. _x000D_
-If respiratory signs are present (i.e. coughing, respiratory distress, increased respiratory rate), respiratory PCR, lavage/wash could be considered to guide treatment. _x000D_
-If not already performed, urinalysis with culture and sensitivity would be recommended.</t>
  </si>
  <si>
    <t>Thorax: There is mild peribronchial pattern.  The remainder of the pulmonary parenchyma is unremarkable.  The cardiac silhouette and pulmonary vasculature are unremarkable.  There is no evidence of pleural effusion or lymphadenopathy._x000D_
_x000D_
Abdomen: There is mild diffuse hepatomegaly.  There is a somewhat rounded soft tissue opacity along the caudal ventral aspect of the liver.  The spleen, urinary tract, and gastrointestinal tract are unremarkable.  There is no evidence of peritoneal effusion.</t>
  </si>
  <si>
    <t>Mild peribronchial pattern which may reflect a lower airway inflammatory process._x000D_
_x000D_
Diffuse hepatomegaly.  Differential considerations are numerous and may include a hepatopathy, hepatitis, or diffuse neoplasia._x000D_
_x000D_
The rounded soft tissue opacity involving the caudal ventral aspect of the liver most likely represents a distended gallbladder however a hepatic mass cannot be ruled out.</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</si>
  <si>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Dorsal SC emphysema and swelling from SC fluids._x000D_
_x000D_
Abdomen:_x000D_
_x000D_
The stomach is empty._x000D_
Small intestines are mildly gas and fluid filled, not overtly distended. _x000D_
Unformed feces in the colon mixed with foreign material._x000D_
Serosal detail is preserved._x000D_
Liver and spleen are within normal limits of size and smoothly marginated._x000D_
Kidneys and urinary bladder WNL.</t>
  </si>
  <si>
    <t>1) Unremarkable thorax without signs of pulmonary metastases nor signs of thoracic lymphadenopathy._x000D_
2) Unremarkable abdomen. Rule out gastroenterocolitis secondary to foreign material ingested.</t>
  </si>
  <si>
    <t>Consider abdominal US to further evaluate causes of jaundice, vomiting and diarrhea.</t>
  </si>
  <si>
    <t>Six orthogonal survey radiographs of the thorax and abdomen dated 15 January 2024 are available for review. There are no previous radiographs available for comparison. These images are submitted for assessment of the abdomen._x000D_
_x000D_
Abdomen: The hepatic silhouette is normal. The spleen is normal. The right kidney is normal. The left kidney is extremely small with a smooth margin (1.5 cm length). The stomach is mainly empty with a normal axis. The small intestines are filled with fluid/gas/soft tissue opaque material and within normal limits for size and shape. Some formed faeces are present in the transverse colon. The descending colon is mainly empty with some minor amount of formed faeces. The urinary bladder is small. The serosal detail is normal._x000D_
_x000D_
Musculoskeletal findings: No significant abnormalities are detected._x000D_
_x000D_
Included thorax: The thorax is hypoinflated. There is collapse of the right middle lung lobe, and caudal aspect of the left cranial lung lobe, likely due to the reported anaesthesia without ventilation.</t>
  </si>
  <si>
    <t>1. No evidence of constipation._x000D_
2. Likely chronic kidney disease of the left kidney. Left kidney hypoplasia is considered unlikely.</t>
  </si>
  <si>
    <t>The reported constipation is likely self resolved. Urinalysis and full blood work is advised, and abdominal ultrasonography may be considered. The constipation may be secondary to subclinical dehydration secondary to chronic kidney disease.</t>
  </si>
  <si>
    <t xml:space="preserve">
1.This result detects a minimal to mild, or rarely moderate bronchial pulmonary pattern._x000D_
2.Rarely, this result detects a minimal to mild alveolar pulmonary pattern._x000D_
3.This result does not detect pulmonary vasculature enlargement._x000D_
4.This result does not detect pleural fissure lines/fluid.  _x000D_
5.This result detects a minimal to mild, or rarely moderate interstitial pulmonary pattern.  _x000D_
6.This result detects equivocal/borderline to mild cardiomegaly. </t>
  </si>
  <si>
    <t>Study:_x000D_
Thoracic/abdominal radiography: four images dated January 15, 2023_x000D_
_x000D_
Findings:_x000D_
There is narrowing of the T9-T 10, L6-L7 and L7-S1 intervertebral disc spaces with mildly sclerotic endplates and mild to moderate spondylosis deformans.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with a normal diameter. The liver and spleen are normal in size and margin. The kidneys are normal in size and contour. The urinary bladder is normal in size and opacity. Mild periarticular new bone formation is present at the craniolateral margin of the left acetabulum. There is soft tissue swelling and subcutaneous emphysema along the dorsal thorax presumably from subcutaneous fluid administration.</t>
  </si>
  <si>
    <t>1. T9-T 10, L6-L7 and L7-S1 intervertebral disc disease. Correlate with any neurologic deficits. Neurology consultation and MRI can be considered for further evaluation if clinical signs persist or worsen in spite of activity restriction and pain management._x000D_
2. Unremarkable abdomen. There is no constipation. Abdominal sonography can be considered for further evaluation of the reported lack of defecation and soft stool persist._x000D_
3. Normal thorax. There is no radiographic evidence of cardiopulmonary disease._x000D_
4. Mild left coxofemoral osteoarthrosis.</t>
  </si>
  <si>
    <t>Four radiographs of the thorax/abdomen are provided. In the thorax the cardiac silhouette and pulmonary vessels are normal size. There are two smoothly marginated soft tissue opaque nodules measuring 2.1 cm and 1.9 cm in the mid dorsal lungs on the lateral views. These are present in the left caudal lung on the VD projection. Focal soft tissue opacity with lobar sign and air bronchograms overlying caudoventral heart on the right lateral views. Small volume fat deposition separates the heart from the sternum. No pleural effusion. Normal tracheal diameter. In the abdomen there is moderate volume kibble-like soft tissue density filling the stomach. Small intestines are mildly filled with fluid and gas. Small volume of formed feces in the distal colon. There is a smoothly marginated oblong 6.4 x 2.8 cm soft tissue opaque mass in the mid ventral right abdomen. There are several small gas lucencies and punctate mineral densities overlying this mass. Normal-sized liver, spleen, kidneys. Punctate mineral densities caudal to the kidneys and smoothly irregular 0.8 cm mineral density dorsal to the urinary bladder trigone are incidental granulomas associated with ovariohysterectomy. Smoothly marginated round 0.4 cm mineral density in the mid-ventral left peritoneal space is incidental Bates body. No radiopaque cystic calculi. Osseous structures are unremarkable.</t>
  </si>
  <si>
    <t>1. Mid ventral abdominal mass, most likely of intestinal origin. Splenic tail mass is given much lesser consideration. No other abdominal abnormalities._x000D_
2. Pulmonary metastatic disease._x000D_
3. Focal alveolar pattern in the right middle lung lobe may represent aspiration pneumonia versus atelectasis. Additional metastatic lesion is given secondary consideration.</t>
  </si>
  <si>
    <t>Ultrasound evaluation of the abdominal mass, with guided sampling, could be considered if a definitive diagnosis is desired. Complete surgical resection is not possible due to pulmonary metastatic disease.</t>
  </si>
  <si>
    <t xml:space="preserve">
1.This result detects a minimal to mild interstitial pulmonary pattern.  _x000D_
2.This result detects a minimal to mild, or rarely moderate bronchial pulmonary pattern._x000D_
3.Rarely, this result detects a minimal alveolar pulmonary pattern._x000D_
4.This result does not detect pulmonary vasculature enlargement._x000D_
5.This result detects none, or equivocal/borderline to moderate cardiomegaly. _x000D_
6.Rarely, this result detects minimal pleural fissure lines/fluid.  </t>
  </si>
  <si>
    <t>3 views of the entire body are provided for review. The cardiovascular structures are normal. Occasional bronchial markings are seen. The pleural and mediastinal structures are normal. Abdominal serosal detail is adequate. The stomach contains a moderate amount of ingesta. The small intestines are normal in size. Gas and feces are present in the colon. The remaining abdominal organs are normal.</t>
  </si>
  <si>
    <t>Mild bronchial pulmonary pattern. Consider asthma, heartworm, lungworm, bronchitis. Radiographically normal abdomen.</t>
  </si>
  <si>
    <t>Consider empiric therapy versus further diagnostics such as heartworm testing, Baermann fecal exam, airway sampling.</t>
  </si>
  <si>
    <t>3 views of the entire body are provided for review. The cardiac silhouette is widened in the region of the atria. No pulmonary nodules or infiltrates are seen. The pleural and mediastinal structures are normal. Abdominal serosal detail is adequate. The stomach contains a moderate amount of gas. The small intestines are normal in size. Gas and feces are present in the colon. The remaining abdominal organs are normal.</t>
  </si>
  <si>
    <t>Mild cardiomegaly without current evidence of cardiogenic pulmonary edema. Radiographically normal abdomen.</t>
  </si>
  <si>
    <t>Echocardiography, proBNP, and thyroid testing may be helpful.</t>
  </si>
  <si>
    <t>Six orthogonal survey radiographs of the thorax and abdomen dated 15 January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 A mild diffuse interstitial opacification is overlying consistent with body habitus._x000D_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The spleen is normal. The kidneys are partially obscured by gastrointestinal contents, but the visible aspect are normal. The stomach contains a minor amount of gas and has a normal axis. The small intestines are distributed evenly and are within normal limits for shape, size and contents. The ascending, transverse and descending colon have a normal position and contain formed faeces. The urinary bladder is small. The serosal detail is normal._x000D_
_x000D_
Musculoskeletal findings: The patient is obese.</t>
  </si>
  <si>
    <t>Unremarkable abdomen. There is no evidence for a linear foreign body, or intestinal obstruction. This does not preclude the presence of pancreatitis.</t>
  </si>
  <si>
    <t>Observational management is advised. Consider CPL testing and abdominal ultrasound depending on clinical progression.</t>
  </si>
  <si>
    <t>Study:_x000D_
Thoracic and abdominal radiography: five images dated January 15, 2024_x000D_
_x000D_
Findings:_x000D_
There is incidental cranioventral rotation of the cardiac silhouette and redundancy of the aorta. The cardiac silhouette and pulmonary vasculature are normal in size. There is a moderate generalized bronchial pulmonary pattern. The pleural space is normal. There is no intrathoracic lymphadenopathy. The trachea is normal in diameter and course. The stomach contains a small volume of gas. Some small intestinal segments contain a small amount of granular soft tissue material presumed to be ingesta. The small intestines are normal in size and course. The colon contains formed fecal material. An approximately 4 cm round soft tissue opaque mass bulges from the caudoventral margin of the right liver. The spleen is normal in size and margin. The renal silhouettes are normal in size and contour. The urinary bladder is normal in size and opacity. There is mild multifocal thoracolumbar spondylosis deformans. The patient is of overweight body condition.</t>
  </si>
  <si>
    <t>1. Liver mass. Rule out benign biliary cystadenoma, carcinoma, other neoplasia or hematoma. Sonography should be considered for further evaluation._x000D_
2. The generalized bronchial pulmonary pattern may indicate allergic/inflammatory bronchitis (asthma). Infectious, parasitic and irritant bronchitis are also possible. Airway sampling, heartworm testing and Baermann fecal flotation can be considered for further evaluation._x000D_
3. Test negative for pulmonary metastatic disease.</t>
  </si>
  <si>
    <t>Three radiographs of the thorax/abdomen are provided. The cardiac silhouette and pulmonary vessels are normal size. There is a mild bronchial pattern throughout the lungs. No pleural effusion. On the VD projection there is a well-defined round 0.4 cm soft tissue density in the left 9th intercostal space (right laterality marker located on the left side of the patient). This contour is not seen on the lateral views. Normal tracheal diameter. Small volume fluid in the caudal esophagus is transient and incidental. In the abdomen there is no peritoneal or retroperitoneal effusion. Normal-sized liver, spleen, kidneys. Small volume gas in the stomach. Small bowel are mildly filled with a mixture of fluid and gas. Small volume formed feces fills the descending colon. No radiopaque gastrointestinal foreign material or severe intestinal distention. No radiopaque urolithiasis. Osseous structures are unremarkable.</t>
  </si>
  <si>
    <t>1. Possible solitary pulmonary nodule in the mid left lungs versus granuloma or artifact caused by superimposed superficial nipple/nodule._x000D_
2. Mild bronchial pattern suggestive of chronic airway inflammation. In the absence of respiratory signs, significance is doubtful._x000D_
3. There is no evidence of cardiovascular disease today._x000D_
4. No abdominal abnormalities. A reason for vomiting and hematochezia is not identified. Small radiolucent gastric foreign material causing gastritis/pyloric outflow obstruction or gastric wall abnormality should be considered.</t>
  </si>
  <si>
    <t>If hematochezia is persistent/severe, recommend gastroscopy or exploratory surgery. Otherwise, fasted abdominal ultrasound could be considered.</t>
  </si>
  <si>
    <t>Three radiographs of the head and four views of the thorax are provided. Head radiographs include a closed mouth dorsoventral view, and two lateral views. The temporomandibular joints are congruent. There is increased opacity overlying the caudal right nasal sinus on the DV view. No nasal septal deviation or lysis. No nasal turbinate lysis. Frontal sinuses and nasopharynx are normally air-filled. Tympanic bullae are air-filled and thin-walled. No soft tissue swelling. Normal laryngeal region. _x000D_
_x000D_
In the thorax the cardiac silhouette is normal size on the lateral views. The heart appears larger on the VD views due to adjacent fat deposition and partial expiration. The lungs are clear. There is no pleural effusion. Normal tracheal diameter and position.</t>
  </si>
  <si>
    <t>Increased opacity overlying the caudal right nasal sinus is of uncertain significance in the absence of right-sided nasal discharge. This may be due to superimposed normal anatomy or mucus accumulation. Radiolucent foreign material or rhinitis (inflammatory versus fungal) is also possible. No left-sided nasal abnormalities are appreciated. The thorax is normal.</t>
  </si>
  <si>
    <t>Advanced nasal imaging with computed tomography should be considered.</t>
  </si>
  <si>
    <t>Study:_x000D_
Thoracic radiography: three images dated January 13, 2024_x000D_
_x000D_
Compared to prior study dated July 15, 2023_x000D_
_x000D_
Findings:_x000D_
The cardiac silhouette is normal in size and shape. There is an improved (mild) but persistent bronchial pulmonary pattern. The unstructured interstitial infiltrates noted in the prior study have resolved. The pleural space is normal. On the lateral views, there is indistinct increased opacity within the cranial mediastinum just cranial to the cardiac border. There is no cranial mediastinal widening on the VD view. The trachea is normal in diameter and course. The stomach contains recently ingested food. The included abdomen is otherwise unremarkable. No skeletal abnormalities are present.</t>
  </si>
  <si>
    <t>1. The improvement persistent bronchial pulmonary pattern may indicate allergic/inflammatory bronchitis. Infectious, parasitic and irritant etiologies cannot be completely excluded. Resolution of the unstructured interstitial pulmonary infiltrates likely indicates pneumonia/pneumonitis response to treatment. Airway sampling can be considered for further evaluation._x000D_
2. The indistinct soft tissue within the cranial mediastinum may represent age appropriate thymic tissue or a branchial arch cyst. A cranial mediastinal mass is considered less likely. Thoracic sonography can be considered for further evaluation.</t>
  </si>
  <si>
    <t>Study:_x000D_
Thoracic radiography: three images dated January 13, 2024_x000D_
_x000D_
Compared to prior study dated December 1, 2023_x000D_
_x000D_
Findings:_x000D_
As previously noted, the cardiac silhouette is on the on the upper limits of normal for size. The pulmonary vasculature is normal in size. There is a static mild to moderate generalized bronchial pulmonary pattern. The previously noted interstitial to alveolar disease is resolved. The pleural space is normal. There is no intrathoracic lymphadenopathy. The trachea is normal in diameter. As before, there is mild to moderate multifocal thoracolumbar spondylosis deformans.</t>
  </si>
  <si>
    <t>1. There is no evidence of bronchopneumonia in the present study._x000D_
2. The static mild generalized bronchial pulmonary pattern likely indicates indicate allergic/inflammatory bronchitis (asthma). Infectious, parasitic and irritant bronchitis are also possible. Airway sampling, heartworm testing and Baermann fecal flotation can be considered for further evaluation._x000D_
3. Static equivocal cardiomegaly. ProBNP testing can be considered for further heart disease screening.</t>
  </si>
  <si>
    <t>WHOLE-BODY (three radiographs for review). No previous for comparison._x000D_
_x000D_
I believe the laterality markers on the VD image are misplaced. If not, the patient may have situs inversus totalis (which is extremely rare)_x000D_
_x000D_
THORAX:_x000D_
- Severe diffuse bronchial pattern._x000D_
- Pulmonary hyperinflation._x000D_
- Triangular/wedge-shaped soft-tissue opacity in the region of the right middle lung lobe._x000D_
- Cardiac silhouette, pulmonary vasculature, pleural space and remaining included intrathoracic structures unremarkable._x000D_
_x000D_
ABDOMEN:_x000D_
- Peritoneal serosal detail is normal._x000D_
- The stomach is mildly distended with gas._x000D_
- The small intestine is nondistended and contains minimal multifocal gas and soft-tissue opaque material._x000D_
- The colon is fairly empty, containing mild poorly formed fecal material and fluid._x000D_
- The liver, kidneys, urinary bladder and remaining abdominal structures are normal._x000D_
- The gallbladder is prominent._x000D_
_x000D_
The included musculoskeletal structures are unremarkable.</t>
  </si>
  <si>
    <t>1. The appearance of the thorax reflects severe, chronic lower airway disease with air-trapping and right middle lung lobe obstructive atelectasis. The first differential diagnosis would be feline asthma with bronchial mucus plugging. Given the severity of the changes, a component of infectious (or inhaled irritant) bronchitis may also be contributing to the radiographic findings._x000D_
_x000D_
2. Aerophagia._x000D_
_x000D_
3. Prominent gallbladder can be a normal finding in cats however given the reported history of hyporexia, a cholestasis and/or cholecystitis is considered possible. If there is clinical suspicion for this, consider abdominal ultrasound for further assessment.</t>
  </si>
  <si>
    <t>As above. I am not certain despite how severe the thoracic changes are that they are solely responsible for the patient=ZZ91=s hyporexia, and would thus recommend in addition to empirical therapy towards chronic lower airway disease considering an abdominal ultrasound for further screening.</t>
  </si>
  <si>
    <t xml:space="preserve">
1.This result does not detect an alveolar pulmonary pattern._x000D_
2.This result does not detect pulmonary soft tissue nodules._x000D_
3.This result does not detect pulmonary vasculature enlargement._x000D_
4.Rarely, this result detects minimal pleural fissure lines/fluid._x000D_
5.This result detects no cardiomegaly to equivocal/borderline cardiomegaly. _x000D_
6.This result detects a minimal, or rarely mild interstitial pulmonary pattern._x000D_
7.This result detects none, or a minimal to mild bronchial pulmonary pattern.</t>
  </si>
  <si>
    <t>Study:_x000D_
Thoracic/abdominal radiography: three images dated January 13, 2024_x000D_
_x000D_
Findings:_x000D_
The cardiac silhouette and pulmonary vasculature are normal in size. The pulmonary parenchyma is unremarkable. The pleural space is normal. There is no intrathoracic lymphadenopathy. The trachea is normal in diameter and course. The stomach is empty. The small intestines are normal in size, course and content. The colon contains formed fecal material. The liver and spleen are normal in size and margin. The kidneys are normal in size and contour. The left lobe of the pancreas is incidentally visualized between the spleen/left kidney and is normal in thickness. The urinary bladder is normal in size and opacity. The osseous structures are unremarkable. The patient is of overweight body condition.</t>
  </si>
  <si>
    <t>1. Unremarkable abdomen. A cause of vomiting is not evident. There is no evidence of gastrointestinal foreign material or small test mechanical obstruction. Consider abdominal sonography and a G.I. panel to further evaluate for an enteropathy._x000D_
2. Normal thorax. There is no radiographic evidence of cardiopulmonary disease.</t>
  </si>
  <si>
    <t>Three radiographs of the thorax and three views of the abdomen are provided. Images dated 1/20/22 are available for comparison. The cardiac silhouette is normal size. There is a mild bronchial pattern throughout the lungs, slightly more pronounced than on the previous study. Several peripheral pulmonary arteries are dilated and blunted. This was not present previously. No pleural effusion. Normal tracheal diameter. In the abdomen there is no effusion or organomegaly. Formed feces fills the colon. The stomach and small bowel are minimally filled. A few punctate mineral densities in the gastrointestinal tract is incidental. No radiopaque urolithiasis.</t>
  </si>
  <si>
    <t>1. Mildly progressive bronchial pattern consistent with chronic airway inflammation such as asthma._x000D_
2. Several dilated blunted pulmonary arteries, consider pulmonary hypertension versus heartworm disease. No other cardiovascular abnormalities are appreciated. Cardiomyopathy is not ruled out._x000D_
3. Normal abdomen.</t>
  </si>
  <si>
    <t>Recommend testing for heartworms. With the murmur and enlarged pulmonary arteries, an echocardiogram should also be considered.</t>
  </si>
  <si>
    <t>THORAX (three radiographs for review). Compared to previous examination dated 12/21/23._x000D_
_x000D_
- The previously described diffuse, moderate to severe bronchial pattern remains present._x000D_
- There is a resolution of the focal unstructured interstitial to alveolar opacification in the region of the right cranial lung lobe._x000D_
- The cardiac silhouette remains mildly generally enlarged, with rounded margins. The pulmonary vasculature is normal._x000D_
- The thoracic esophagus contains a small volume of gas._x000D_
- The remaining included intrathoracic structures are unremarkable._x000D_
- The liver remains mildly enlarged, with rounded margins._x000D_
- The stomach is mildly distended with gas (limited assessment).</t>
  </si>
  <si>
    <t>1. Persistent moderate to severe diffuse bronchial pattern likely compatible with chronic lower airway disease (e.g. feline asthma vs. bronchitis of allergic, inhaled irritant or infectious parasitic or bacterial etiologies)._x000D_
_x000D_
2. Resolved unstructured interstitial to alveolar pattern in the region of the right cranial lung lobe, which may be compatible with positive clinical response to treatment for suspected pneumonia._x000D_
_x000D_
3. Persistent mild generalized cardiomegaly, without pulmonary vascular congestion or congestive heart failure. Most likely compatible with cardiomyopathy (hypertrophic, restrictive, unclassified)._x000D_
_x000D_
4. Persistent hepatomegaly. DDx metabolic (vacuolar) hepatopathy, less likely cholangiohepatitis, congestion or neoplasia. If there is a history of hepatic enzyme elevation, sonographic assessment of the liver +/- FNA may be considered._x000D_
_x000D_
5. Aerophagia</t>
  </si>
  <si>
    <t>If there are persistent respiratory signs (not reported), continuation of therapy for bronchopneumonia and chronic lower airway disease may be clinically indicated. If the patient does not improve or worsens despite medical management thoracic CT and lower airway sampling (e.g. BAL) may be reasonable. If not recently or already performed, echocardiogram for further assessment of the cardiac changes.</t>
  </si>
  <si>
    <t>THORAX (three radiographs for review). No priors._x000D_
_x000D_
- Mild diffuse bronchial pattern._x000D_
- Best appreciated on the RLAT projection, there is a subtle increase in patchy, peribronchial unstructured interstitial to alveolar opacification in the ventral portion of the left caudal lung lobe._x000D_
- Prominent aortic root._x000D_
- The cardiac silhouette, pulmonary vasculature, trachea, pleural space and remaining included intrathoracic structures are unremarkable._x000D_
- The stomach contains a small volume of gas._x000D_
- The remaining cranial abdominal structures are normal._x000D_
- The included musculoskeletal structures are unremarkable.</t>
  </si>
  <si>
    <t>1. Although traditionally the presence of a mild diffuse bronchial pattern would first raise suspicion for feline asthma, given that there is a relatively acute onset cough and there are ventrally distributed patchy peribronchial unstructured opacities in the ventral portion of the left caudal lung lobe, I am prioritizing bronchopneumonia as the first differential diagnosis (DDx bacterial, less likely viral or parasitic). Aspiration pneumonia is also possible, but less likely given there is no history of vomiting. I would recommend considering initiation of therapy for bronchopneumonia and rechecking radiographs in 7-10 days or sooner if clinically indicated. _x000D_
_x000D_
Please note that underlying feline asthma cannot be excluded in this case and may be partially contributing to the critical signs but is suspected not be the primary driving factor._x000D_
_x000D_
2. Prominent aortic root can be an incidental finding in older cats, but however has been associated with systemic hypertension. Consider blood pressure measurement and careful cardiac auscultation for a murmur, if not recently performed._x000D_
_x000D_
3. Aerophagia.</t>
  </si>
  <si>
    <t xml:space="preserve">
1.This result detects equivocal/borderline to mild cardiomegaly. _x000D_
2.This result detects a minimal to mild, or rarely moderate bronchial pulmonary pattern._x000D_
3.This result does not detect an alveolar pulmonary pattern._x000D_
4.This result does not detect pulmonary vasculature enlargement._x000D_
5.This result does not detect pleural fissure lines/fluid.  _x000D_
6.This result detects a minimal, or rarely mild interstitial pulmonary pattern.  </t>
  </si>
  <si>
    <t>THORAX (three radiographs for review). No priors._x000D_
_x000D_
- Mildly excessive body habitus._x000D_
- Mild diffuse bronchial pattern._x000D_
- Cardiac silhouette, pulmonary vasculature normal._x000D_
- Trachea, mediastinum and remaining included intrathoracic structures unremarkable._x000D_
- Stomach has a postprandial appearance. Remaining cranial abdominal structures are normal._x000D_
- Included musculoskeletal structures unremarkable.</t>
  </si>
  <si>
    <t>1. Mild diffuse bronchial pattern. Considering the reported history of coughing, is likely compatible with chronic lower airway disease (e.g. feline asthma or less likely bronchitis of infectious parasitic, bacterial or inhaled irritant ideologies). Consider empirical treatment for feline asthma/lower airway disease with thoracic CT and lower airway sampling (e.g. BAL) for further assessment if the patient does not improve or worsens despite medical management._x000D_
_x000D_
2. Recent meal.</t>
  </si>
  <si>
    <t>ABDOMEN and THORAX (3 radiographs for review). No priors._x000D_
_x000D_
- Wet hair artifact along the ventral surface of the body wall._x000D_
- Peritoneal serosal detail is normal._x000D_
- The stomach contains a small volume of gas and mild gas stippled soft-tissue opaque material._x000D_
- The small intestine contains mild multifocal gas and soft-tissue opaque material._x000D_
- The colon contains a moderate volume of gas and distally formed fecal material._x000D_
- The liver, spleen, kidneys, urinary bladder and remaining abdominal structures are unremarkable._x000D_
- The cardiac silhouette, pulmonary parenchyma and pleural space are normal._x000D_
- The remaining included intrathoracic structures are unremarkable._x000D_
- The included musculoskeletal structures are within normal limits.</t>
  </si>
  <si>
    <t>1. The abdomen is relatively unremarkable and has a mildly postprandial appearance. There is no evidence of gastrointestinal foreign material, mechanical obstruction or obvious intestinal mass. However unfortunately there is also no obvious cause for the reported vomiting. Radiographic sensitivity for gastrointestinal disease may be limited. Consider abdominal ultrasound for further assessment in this patient._x000D_
_x000D_
2. Normal thorax.</t>
  </si>
  <si>
    <t>3 views of the entire body are provided for review. There is a moderate bronchial pattern in all lung lobes.  The cardiovascular structures are normal.  The mediastinal and pleural structures are normal.  Abdominal serosal detail is adequate in all quadrants.  The stomach contains a moderate amount of gas.  The small intestines are normal in size.  Gas and mineral opaque feces are present in the colon.  The urinary bladder is small.  The right kidney is small and both kidneys are irregularly margined.  The remaining abdominal organs are normal.</t>
  </si>
  <si>
    <t>Chronic renal changes.  Constipation.  Moderate bronchial pulmonary pattern.  Considerations include asthma, heartworm, lungworm, atypical infection, bronchitis.</t>
  </si>
  <si>
    <t>THORAX (three radiographs for review). No priors._x000D_
_x000D_
- Mildly excessive body habitus, which is associated with an accumulation of fat in the cranial mediastinum/pericardium and confers a impression of mild generalized cardiomegaly (particularly on the VD image)._x000D_
- Mild diffuse bronchial pattern._x000D_
- Mild gas in the cranial thoracic esophagus._x000D_
- Cardiac silhouette, pulmonary parenchyma and pulmonary vasculature normal._x000D_
- Pleural space normal._x000D_
- Remaining included intrathoracic structures unremarkable._x000D_
- Stomach invisibles small intestinal segments moderately distended with gas_x000D_
- Spleen is moderately enlarged, with rounded margins._x000D_
- Included musculoskeletal structures are unremarkable.</t>
  </si>
  <si>
    <t>1. There is a mild diffuse bronchial pattern present that seems radiographically most likely to be the cause of the reported coughing. Although feline asthma is possible and tends to be the first differential diagnosis in most cases, particularly in pure-bred cats, it is somewhat atypical for the patient to present acutely at the reported age (6y) and for this reason bronchitis of infectious (e.g. parasitic, bacterial) or inhaled irritant etiologies must also be considered. There is no evidence of pneumonia or inhaled foreign material._x000D_
_x000D_
2. The spleen is fairly large for a cat, and there if there is evidence of systemic illness in this patient, or clinical signs referable to the abdomen, an ultrasound with fine needle aspiration of the splenic parenchyma might be considered. Benign etiologies such as congestion secondary to sedation, lymphoid hyperplasia or extramedullary hematopoiesis remain the first differential diagnosis, however neoplasia such as lymphoma or mast cell tumor are possible._x000D_
_x000D_
3. Aerophagia.</t>
  </si>
  <si>
    <t>Study:_x000D_
Thoracic/abdominal radiography: five images dated January 11, 2023_x000D_
_x000D_
Findings:_x000D_
The cardiac silhouette and pulmonary vasculature are normal in size. There is a mild generalized bronchial pulmonary pattern. The pleural space is normal. There is no intrathoracic lymphadenopathy. The trachea is normal in diameter and course. There is no esophageal dilation. The stomach contains a small amount of heterogeneous soft tissue material presumed to be ingesta. There is a small mineral opacity superimposed with a small intestinal segment in the cranioventral abdomen. The small intestines are normal in size and course. The colon contains gas and poorly formed fecal material. The liver and spleen are normal in size and margin. The renal silhouettes are normal in size and contour. The urinary bladder is normal in size and opacity. The osseous structures are unremarkable.</t>
  </si>
  <si>
    <t>1. The generalized bronchial pulmonary pattern may indicate allergic/inflammatory bronchitis (asthma). Infectious, parasitic and irritant bronchitis are also possible. Airway sampling plus/minus heartworm testing and Baermann fecal flotation can be considered for further evaluation._x000D_
2. The mineral opacity superimposed with the bowel loop in the cranioventral abdomen may represent enteric foreign material or superimposition of an incidental Bates body (nodular fat necrosis). The abdomen is otherwise unremarkable.</t>
  </si>
  <si>
    <t>Study:_x000D_
Thoracic radiography: right lateral and orthogonal views (two images) dated January 11,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heterogeneous soft tissue material presumed to be ingesta. The included abdomen is otherwise unremarkable. No skeletal abnormalities are present. The patient is of overweight body condition.</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</si>
  <si>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A mineral focus is present in the right renal pelvis.</t>
  </si>
  <si>
    <t>Radiographically normal thorax for patient of this age.  Right nephrolith.</t>
  </si>
  <si>
    <t>Opposite lateral and ventrodorsal thoracic radiographs (4 images) dated January 11, 2024._x000D_
_x000D_
The cardiac silhouette is mildly tall in apicobasilar height, and the aortic arch is prominent in appearance. The pulmonary vasculature and caudal vena cava are normal. The pulmonary parenchyma is unremarkable with no nodules, infiltrates, or other pathology detected. The trachea is normal in diameter and course with gas filling its lumen. No intrathoracic lymphadenopathy is present. The pleural space, mediastinum, and diaphragm are normal. The spleen appears relatively thickened on the VD projection. The liver is unremarkable. Cranial peritoneal detail is normal. No aggressive osseous lesions are identified.</t>
  </si>
  <si>
    <t>1. Mild cardiomegaly. Rule out a primary or thyrotoxic cardiomyopathy vs. left ventricular hypertrophy from systemic hypertension vs. less likely other causes. There is no evidence of heart failure._x000D_
2. Prominent aortic arch can indicate systemic hypertension or represent an incidental and benign age-associated change in older cats._x000D_
3. No evidence of metastatic neoplasia in the thorax._x000D_
4. Relatively thickened spleen on the VD view. Rule out incidental positioning vs. splenomegaly due to benign causes (sedation if applicable, extramedullary hematopoiesis, lymphoid hyperplasia) vs. infiltrative round cell neoplasia vs. infectious splenitis (such as Mycoplasma, FIP, or histoplasmosis).</t>
  </si>
  <si>
    <t>Cardiac proBNP testing, T4, systemic blood pressure evaluation, and echocardiogram._x000D_
Consider abdominal ultrasound to further evaluate the spleen.</t>
  </si>
  <si>
    <t xml:space="preserve">
1.This result detects a minimal to moderate bronchial pulmonary pattern._x000D_
2.This result does NOT detect pleural fissure lines._x000D_
3.This result detects equivocal/borderline to moderate cardiomegaly._x000D_
4.This result detects a minimal to mild interstitial pulmonary pattern._x000D_
5.This result does NOT detect an alveolar pulmonary pattern.</t>
  </si>
  <si>
    <t>A three view thoracoabdominal study that includes the neck is provided for interpretation._x000D_
_x000D_
No laryngeal abnormalities are identified. There is mild to moderate dorsal deviation of the cervical trachea in both lateral views. No lateral deviation of the trachea is seen in the VD view. The trachea does not appear compressed or narrowed._x000D_
There is a mild diffuse bronchial pulmonary pattern. No alveolar infiltrates are seen. The heart is borderline for size, at the upper limit of acceptable range to slightly enlarged. Pulmonary vessels are normal. No pleural effusion is seen._x000D_
The spleen is mildly enlarged, with mild rounding of the margins. The other abdominal organs are within normal limits. Serosal detail in the abdomen is normal. No significant musculoskeletal abnormalities are identified.</t>
  </si>
  <si>
    <t>There is dorsal deviation of the cervical trachea, but no actual mass lesion that could be responsible is seen. The soft tissues of the neck appear normal. A lateral view directed specifically at the neck with the forelimbs pulled back for better visualization of this area and neutral positioning of the head should be considered for more complete evaluation of this region. There is no visible compression of the trachea, so it is unlikely to be responsible for the coughing but gagging associated with esophageal compression or involvement could still be a concern._x000D_
_x000D_
There is a mild diffuse bronchial pattern compatible with lower airway disease such as asthma or low-grade bronchitis. This is more likely responsible for the clinical signs._x000D_
Heart size is borderline. This is likely a benign variant. HCM should still be ruled out if auscultable cardiac abnormalities are present._x000D_
_x000D_
There is mild splenomegaly of unknown clinical significance. This could be a benign variant or secondary to inflammatory disease. Lymphoreticular neoplasia cannot be excluded but is considered unlikely.</t>
  </si>
  <si>
    <t>A lateral view directed specifically at the neck with the forelimbs pulled back for better visualization of this area and neutral positioning of the head should be considered for more complete evaluation of this region._x000D_
_x000D_
Asthma is most likely responsible for the clinical signs. Symptomatic therapy is recommended._x000D_
_x000D_
CBC,, serum chemistry, heartworm testing, and Baermann fecal exam for lungworms is recommended.</t>
  </si>
  <si>
    <t>Study:_x000D_
Thoracic/abdominal radiography: right lateral and orthogonal views (two images) dated January 10,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a mineral body adjacent to the medial condyle of the humerus bilaterally.</t>
  </si>
  <si>
    <t>1.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thorax._x000D_
3. Bilateral humeral medial epicondylitis.</t>
  </si>
  <si>
    <t>Three radiographs of the thorax are provided. Images dated 2/25/22 are available for comparison. The cardiac silhouette is normal size and shape. Pulmonary vessels and caudal vena cava are normal size. There is a mild to moderate bronchial pattern throughout the lungs. This is more pronounced than on the previous study. No pleural effusion or intrathoracic lymphadenomegaly. Normal tracheal diameter and position.</t>
  </si>
  <si>
    <t>Mild to moderate bronchial pattern most consistent with chronic airway inflammation such as asthma. There is no evidence of cardiovascular disease on this study.</t>
  </si>
  <si>
    <t>Treatment for allergic airway disease should be considered.</t>
  </si>
  <si>
    <t>THORAX (three radiographs for review). No priors._x000D_
_x000D_
- Thin body condition._x000D_
- Slightly prominent aortic root._x000D_
- Cardiac silhouette otherwise within normal limits for size, shape and margins._x000D_
- Mild diffuse bronchial pattern with pulmonary hyperinflation._x000D_
- At least one mildly thickened pleural fissure._x000D_
- Caudal aspect of the esophagus contains a dynamic, mild volume of fluid._x000D_
- Remaining intrathoracic structures unremarkable._x000D_
- Stomach contains mild gas (limited assessment)._x000D_
- Mild multifocal spondylosis deformans.</t>
  </si>
  <si>
    <t>1. The presence of a prominent aortic root can be an incidental finding in older cats, however given the patient is reported as hyperthyroid and there is a cardiac murmur, the possibility of systemic hypertension is considered. Secondary concentric cardiac hypertrophy is not noted radiographically, as the heart is within normal limits for size, shape and margins, however this does not rule out cardiac hypertrophy (either from hypertension, thyroid disease, or HCM). Consider both systemic blood pressure measurement and echocardiography for further assessment._x000D_
_x000D_
2. Mild diffuse bronchial pattern with pulmonary hyperinflation is compatible with chronic lower airway disease (e.g. feline asthma)._x000D_
_x000D_
3. Dynamic volume of fluid in the caudal aspect of the esophagus may be compatible with esophagitis and/or esophageal reflux._x000D_
_x000D_
4. Aerophagia._x000D_
_x000D_
5. Thin body condition.</t>
  </si>
  <si>
    <t>Opposite lateral and ventrodorsal whole body radiographs (3 images) dated January 10,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unremarkable in size and shape. The stomach is distended with a fairly large amount of heterogeneous granular soft-tissue content that most closely resembles partially digested food. The small intestine has a moderate variation in diameter with some of the more distended segments containing gas and the US to send 6 containing soft-tissue content mixed with gas. The colon contains a fairly large amount of gas mixed with heterogeneous and somewhat poorly formed stool. Both kidneys are normal in size and shape. The urinary bladder is small and fluid opaque. Retroperitoneal and peritoneal detail are normal. No regional lymphadenopathy is evident._x000D_
There is chronic lumbosacral disc space narrowing with spondylosis deformans. The remaining osseous structures are unremarkable.</t>
  </si>
  <si>
    <t>1. Unremarkable thorax. The cause for the respiratory clinical signs are suspected to be upper airway in nature. Mild bronchitis or bronchiolitis insensitive to radiograph detection cannot be completely ruled out._x000D_
2. Colonic content is suspicious for loose stool. Correlate with clinical history and rectal exam findings._x000D_
3. Chronic lumbosacral intervertebral disc disease. Correlation with orthopedic and neurologic exam is needed.</t>
  </si>
  <si>
    <t>Sedated upper airway exam and nasal/head CT with contrast.</t>
  </si>
  <si>
    <t>THORAX (three radiographs for review). No priors._x000D_
_x000D_
- Excessive body habitus._x000D_
- There is a mild pulmonary hyperinflation resulting in a subtle scalloping of the diaphragm on the VD image._x000D_
- The cardiac silhouette, pulmonary parenchyma and pleural space are normal._x000D_
- The trachea, esophagus and remaining included intrathoracic structures are unremarkable._x000D_
- The included cranial abdominal and osseous structures are unremarkable.</t>
  </si>
  <si>
    <t>1. Relatively unremarkable thoracic radiographs with mild pulmonary hyperinflation which is nonspecific and can be due to capture of the radiographs at peak inspiration or alternatively air-trapping secondary to chronic lower airway disease (asthma, bronchitis), for which radiographic sensitivity can be limited. Clear cause for the reported coughing is not identified. There is no evidence of pneumonia or other pulmonary lesions.</t>
  </si>
  <si>
    <t>As above. If this patient does not improve or worsens despite medical management for lower airway disease, consider a thoracic CT with lower airway sampling (e.g. BAL) for further assessment.</t>
  </si>
  <si>
    <t>Study:_x000D_
Thoracic/abdominal radiography: three images dated January 9, 2024_x000D_
_x000D_
Compared to prior study dated May 10, 2022_x000D_
_x000D_
Findings:_x000D_
The cardiac silhouette remains normal in size and shape. The pulmonary vasculature is normal in size. The pulmonary parenchyma is unremarkable. The pleural space is normal. There is no intrathoracic lymphadenopathy. The trachea is normal in diameter. The stomach is empty. The small intestines are normal in size, course and content. The colon contains formed fecal material. The liver and spleen are normal in size and margin. As before, both kidneys are small with smooth margins. This finding is unchanged in severity since the prior exam. The urinary bladder is unremarkable. As before, there is narrowing of the lumbosacral intervertebral disc space. There is mild progression of the severe spondylosis deformans at this location. There is also mild T 11-T 12 spondylosis deformans. Mild periarticular bone formation is present at the craniolateral margin of the right acetabulum.</t>
  </si>
  <si>
    <t>1. As before, there is chronic lumbosacral intervertebral disc disease change. The remainder of the spine is unremarkable. Neurology consultation and MRI can be considered for further evaluation if clinical signs persist or worsen in spite of activity restriction and pain management._x000D_
2. Static bilateral chronic nephropathy._x000D_
3. Unremarkable thorax.</t>
  </si>
  <si>
    <t>Study:_x000D_
Thoracic radiography: right lateral and VD projections (two images) dated January 9, 2024_x000D_
_x000D_
Findings:_x000D_
There is mild generalized cardiomegaly (VHS approximately 8). The pulmonary vasculature is normal in size. There is a mild generalized bronchial pulmonary pattern. The pleural space is normal. There is no intrathoracic lymphadenopathy. The trachea is normal in diameter and course. The stomach contains unstructured heterogeneous soft tissue material presumed to be ingesta. The included abdomen is otherwise unremarkable. There is mild T7-T8 and T8-T9 spondylosis deformans.</t>
  </si>
  <si>
    <t>1. Mild generalized cardiomegaly without evidence of decompensation. Hypertrophic cardiomyopathy is most likely. Echocardiography can be considered for further evaluation._x000D_
2. The generalized bronchial pulmonary pattern may indicate allergic/inflammatory bronchitis (asthma). Infectious, parasitic and irritant bronchitis are also possible. Correlate with any reported coughing. Airway sampling plus/minus heartworm testing and Baermann fecal flotation can be considered for further evaluation.</t>
  </si>
  <si>
    <t>Study:_x000D_
Thoracic/abdominal radiography: three images dated January 9, 2024_x000D_
_x000D_
Findings:_x000D_
The cardiac silhouette is normal in size and shape. The pulmonary vasculature is normal in size. There is a mild caudodorsal bronchial pulmonary pattern. The pleural space is normal. There is no intrathoracic lymphadenopathy. The trachea is normal in diameter. The stomach contains unstructured heterogeneous/granular soft tissue material presumed to be ingesta. The small intestines are normal in size, course and content. The colon contains formed fecal material. The liver and spleen are normal in size and margin. The kidneys are normal in size and contour. There are few punctate mineral foci in the left kidney. The urinary bladder is normal in size and opacity. A small mineral opacity thought to represent a suture granuloma from prior ovariohysterectomy is present situated between the descending colon/urinary bladder. There is mild to moderate multifocal thoracolumbar spondylosis deformans. The 07 vertebra is transitional.</t>
  </si>
  <si>
    <t>1. There is no radiographic evidence of heart disease. Consider echocardiography for further evaluation of the reported heart murmur._x000D_
2. The mild  caudodorsal bronchial pulmonary pattern may be a benign age-related change or may indicate allergic/inflammatory bronchitis (asthma). Infectious, parasitic and irritant bronchitis are also possible. Airway sampling, heartworm testing and Baermann fecal flotation can be considered for further evaluation._x000D_
3. Left nephrolithiasis versus nephrocalcinosis. The abdomen is otherwise unremarkable.</t>
  </si>
  <si>
    <t>Three radiographs of the thorax and of the abdomen are provided. Images dated 6/28/23 are available for comparison. The cardiac silhouette is upper normal size to mildly enlarged, with possible focal indentation in the caudal heart waist on the lateral views (typically indicative of enlarged left atrium). Pulmonary vessels are normal size. There is mild increased opacity overlying the mid ventral heart on the right lateral view. This is relatively similar to the previous study and is likely incidental focal fat deposition. No abnormalities in the pulmonary parenchyma. The esophagus is diffusely gas dilated. Normal tracheal diameter. No pleural effusion._x000D_
_x000D_
In the abdomen the urinary bladder is distended and soft tissue opaque. There is gas and scant amorphous soft tissue density in the stomach. Small intestines are diffusely mildly filled with a mixture of fluid and gas. No severe intestinal distention or bunching/plication. The colon is minimally filled. No radiopaque foreign material. Normal-sized kidney, spleen, liver.</t>
  </si>
  <si>
    <t>1. Scant soft tissue density in the stomach appears to be residual ingesta. This may represent foreign material/trichobezoar causing gastritis and pyloric outflow obstruction. There is no evidence of small bowel obstruction._x000D_
2. Suspect mild cardiomegaly, concerning for cardiomyopathy. This could also be due to sedation. In the absence of a murmur or arrhythmia, significance is uncertain._x000D_
3. Megaesophagus, likely due to sedation. Esophagitis is next on the differential list.</t>
  </si>
  <si>
    <t>With the persistent vomiting, gastroscopy should be considered. If a murmur or arrhythmia is present, an echocardiogram would be recommended. Otherwise, cardiac proBNP evaluation could be considered to investigate for supportive evidence of underlying cardiac disease.</t>
  </si>
  <si>
    <t>4 images of the thorax are provided for review. There is a severe bronchial pattern in all lung lobes.  Interstitial to coalescing alveolar infiltrates around the bronchi throughout the pulmonary parenchyma.  The cardiovascular structures are normal.  The mediastinal and pleural structures are normal.  Cranial abdominal detail is adequate.</t>
  </si>
  <si>
    <t>Severe mixed pulmonary pattern.  Considerations include asthma, heartworm, lungworm, atypical infection, fungal infection.  Concurrent pneumonia, hemorrhage, noncardiogenic edema, SIRS/ARDS cannot be excluded.</t>
  </si>
  <si>
    <t>Opposite lateral and ventrodorsal thoracic radiographs and a right lateral abdominal radiographs (5 images) dated January 9, 2024._x000D_
_x000D_
The cardiac silhouette is enlarged with dorsal deviation of the trachea and spanning 3 intercostal spaces in craniocaudal length on the lateral view. The pulmonary vasculature and great vessels remain within normal limits. A small ovoid shaped soft-tissue opaque nodule is present in the right caudodorsal lung field, measuring approximately 1.6 x 1.4 x 1.1 cm. on the VD projection there is a small somewhat poorly demarcated 0.5 cm ovoid soft-tissue opacity superimposed with the peripheral right caudal lung field at the level of the 8th intercostal space on the VD view=ZZ90= this is not appreciable on the left lateral projection. The remainder of the pulmonary parenchyma is unremarkable with no additional lesions identified. No intrathoracic lymphadenopathy is present. The trachea is normal in diameter and contains gas. The pleural space, mediastinum, and diaphragm are normal._x000D_
The liver and visible portions of the spleen are unremarkable. The slightly more cranially positioned kidney is slightly smaller in size than expected. The more caudally positioned (likely left kidney) is normal in size and shape. The urinary bladder is distended with a moderate amount of homogeneous fluid opacity and has a central cluster of mineral sediment/microcystoliths. No mineral opaque stones are identified in the trigone region or along the plane of urethra. The stomach contains a fair amount of heterogeneous soft-tissue content that most closely resembles normal ingesta. The small intestine is unremarkable in diameter and course and contains a mixture of gas and soft-tissue/fluid. Retroperitoneal and peritoneal detail are normal. No regional lymphadenopathy is evident._x000D_
There is middle and caudal cervical spondylosis deformans as well as midlumbar spondylosis deformans. The L4 through L7 disc spaces are narrowed. No aggressive osseous lesions are identified.</t>
  </si>
  <si>
    <t>1. Mild-moderate generalized cardiomegaly without evidence of heart failure. Rule out a primary or thyrotoxic cardiomyopathy vs. less likely systemic hypertension resulting in left ventricular hypertrophy._x000D_
2. Solitary pulmonary nodule in the right caudal lung lobe. Rule out primary pulmonary neoplasia (such as pulmonary carcinoma) vs. less likely granuloma or abscess vs. metastatic neoplasia._x000D_
3. Inconsistent small round soft-tissue opacity superimposed with the right caudal lung lobe on the VD view. This opacity is not identified on the left lateral view, and therefore is unclear if this represents a small pulmonary nodule or superimposition artifact._x000D_
4. Relatively small more cranially positioned kidney (suspect right kidney) is concerning for chronic renal disease. Correlation with renal blood work and urinalysis is needed to determine significance._x000D_
5. Nonobstructive urinary mineral sediment/microcystolithiasis. Rule out calcium oxalate vs. struvite vs. mixed stone type. _x000D_
6. L4-7 intervertebral disc disease. Correlation with orthopedic and neurologic exam is needed to determine clinical relevance.</t>
  </si>
  <si>
    <t>CBC, chemistry, UA (via cysto), T4, cardiac proBNP testing, and systemic blood pressure evaluation._x000D_
Echocardiogram._x000D_
Attempted medical dissolution vs. surgical cystotomy for stone retrieval and submission for stone analysis._x000D_
Repeat thoracic radiographs in 2 months to reassess for the possible 2nd pulmonary nodule and for any evidence of progression of the new nodule. The large nodule is not peripheral enough where ultrasound-guided fine needle aspiration will be possible for attempted cytologic diagnosis=ZZ90= therefore partial lung lobectomy would be needed with submission of the nodule for histopathology and definitive diagnosis.</t>
  </si>
  <si>
    <t>3 views of the entire body are provided for review. The cardiovascular structures are normal. There is a diffuse interstitial pattern that is considered appropriate for the age of the patient. No pulmonary nodules or enlarged intrathoracic lymph nodes are seen. The pleural and mediastinal structures are normal. Abdominal serosal detail is adequate. The stomach contains a moderate amount of gas. The small intestines are normal in size. Gas and feces are present in the colon. The remaining abdominal organs are normal.</t>
  </si>
  <si>
    <t>Radiographically normal thorax for a patient of this age. Radiographically normal abdomen.</t>
  </si>
  <si>
    <t>Opposite lateral and ventrodorsal thoracic and skull radiographs (6 images) dated January 9,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The esophagus is mildly and diffusely distended with gas. The common pharynx is moderately gas distended. No intrathoracic lymphadenopathy is evident._x000D_
The liver measures at the upper limits of normal size. The stomach is abnormally dilated with gas. The majority the small intestine is gas distended, which is also atypical for a cat. The spleen, kidneys, and cranial peritoneal detail are normal._x000D_
There is minimal nonbridging midthoracic spondylosis deformans. The calvarium, tympanic bullae, temporomandibular joints, mandibles, paranasal bones and sinuses, nasal cavity and turbine is, nasal septum, and visible portions of the dental arcades are unremarkable. No retropharyngeal or mandibular soft tissue swelling is present.</t>
  </si>
  <si>
    <t>1. Gastric, small intestinal, and esophageal distention with gas is an abnormal finding. Rule out a functional GI stasis from gastroenteritis w/ esophagitis or flareup of a chronic enteropathy (IBD or GI LSA) vs. aerophagia from respiratory distress vs. least likely dysautonomia._x000D_
2. Normal thorax aside from the esophageal distention. No lower airway issues identified to account for the respiratory clinical signs._x000D_
3. No abnormalities are identified in the upper airway._x000D_
4. Borderline hepatomegaly. Rule out a benign metabolic/vacuolar hepatopathy vs. less likely inflammatory or infiltrative neoplastic conditions.</t>
  </si>
  <si>
    <t>CBC, chemistry, UA, thyroid, fecal, FeLV/FIV, T4._x000D_
Abdominal ultrasound._x000D_
Continued antiemetic therapy with omeprazole/pantoprazole and bland or novel protein diet. _x000D_
Sedated upper airway exam._x000D_
Internal medicine consultation and fluoroscopic esophagram may be indicated.</t>
  </si>
  <si>
    <t>THORAX (three radiographs for review). No priors._x000D_
_x000D_
- Minimal diffuse bronchial pattern._x000D_
- The cardiac silhouette, pulmonary parenchyma and pleural space are normal._x000D_
- There is a mild dynamic narrowing of the trachea at the level of the thoracic inlet and the tracheal courses mildly undulant._x000D_
- The remaining included intrathoracic structures are unremarkable._x000D_
- The stomach and visible portions of the intestinal tract confer an appearance of aerophagia._x000D_
- Remaining included cranial abdominal structures are normal.</t>
  </si>
  <si>
    <t>1. This is a challenging and interesting case. Although there is a very mild bronchial pattern present that would suggest chronic lower airway disease (e.g. asthma vs. bronchitis), the changes noted in the trachea at the level of the thoracic inlet are atypical. Tracheal collapse is rare in cats, but is possible here. A congenital tracheal malformation is also possible, however the patient seems slightly too old for a typical case. Acquired tracheal stricture is an additional differential diagnosis._x000D_
_x000D_
I would recommend beginning empirical treatment for lower airway disease, and performing an in-depth palpation of the trachea for an elicitable cough. The trachea could be further evaluated with thoracic CT and/or fluoroscopy, and this may be reasonable, especially if the patient does not improve with traditional medical management for lower airway disease._x000D_
_x000D_
2. Aerophagia.</t>
  </si>
  <si>
    <t>THORAX (two radiographs for review). No priors._x000D_
_x000D_
- Moderate generalized cardiomegaly (VHS 8.5), which is characterized by a rounding of the cardiac margins and dorsal displacement of the caudal portion of the thoracic trachea. The heart has a valentine-shaped appearance on the VD projection, caused by a widening of the cardiac base._x000D_
- The pulmonary vasculature appears mildly distended, in the caudal lung lobes._x000D_
- The pulmonary parenchyma has a mild generalized unstructured interstitial pattern._x000D_
- On the lateral projections, there is an impression of a mild increase in soft-tissue opacity in the pleural space in the ventral portion of the thoracic cavity._x000D_
- The stomach has a postprandial appearance and contains a moderate volume of gas._x000D_
- The liver is prominent, however this can be expected given the patient age.</t>
  </si>
  <si>
    <t>1. Moderate generalized cardiomegaly with pulmonary vascular congestion. Considering the patient is young, a congenital cardiac anomaly such as VSD or a PDA is considered. Juvenile hypertrophic cardiomyopathy is also possible._x000D_
_x000D_
2. The diffuse unstructured interstitial pattern throughout the lungs and the suspected presence of a scant volume of pleural effusion raises concern for early congestive heart failure, however non-cardiogenic pulmonary edema or atectasis/pneumonia remain possible.</t>
  </si>
  <si>
    <t>This is a challenging case. I would consider careful auscultation of the heart if not already performed, and echocardiography/ECG for further assessment. T-FAST examination may be of utility to rule in/out pleural effusion .</t>
  </si>
  <si>
    <t xml:space="preserve">
1.This result detects equivocal/borderline to mild, or rarely moderate cardiomegaly. _x000D_
2.This result detects a minimal to mild, or rarely moderate interstitial pulmonary pattern.  _x000D_
3.This result detects a mild to moderate, or rarely severe bronchial pulmonary pattern._x000D_
4.Uncommonly, this result detects a minimal to mild alveolar pulmonary pattern._x000D_
5.Rarely, this result detects pulmonary soft tissue nodules._x000D_
6.This result does not detect pulmonary vasculature enlargement._x000D_
7.This result does not detect pleural fissure lines/fluid.  </t>
  </si>
  <si>
    <t>THORAX and ABDOMEN (three radiographs for review). No previous for comparison._x000D_
_x000D_
- Thin body condition._x000D_
- Peritoneal serosal detail is normal._x000D_
- The stomach contains a small volume of gas and mild gas stippled soft-tissue opaque material._x000D_
- Best appreciated on the LLAT projection, most likely within a small intestinal segment in the cranioventral abdomen, there is a rectangular, well-outlined, striated gas opacity that appears to be distending the intestinal lumen (1.8 x 1.0 cm)._x000D_
- Remaining small intestinal segments contains mild multifocal gas and soft-tissue opaque material, no obvious distention._x000D_
- The colon contains gas and formed fecal material._x000D_
- The liver is mildly enlarged with rounded margins._x000D_
- The spleen, kidneys, urinary bladder and remaining abdominal structures are normal._x000D_
- The included cardiopulmonary structures are unremarkable. The remaining thoracic structures are normal.</t>
  </si>
  <si>
    <t>1. The rectangular structure in the cranioventral abdomen raises concern for a small intestinal foreign body. Considering the reported history (2 weeks of vomiting and weight loss), as well as the presence of fecal material in the colon, there is likely a partial (incomplete) mechanical obstruction associated with the region. A mass (e.g. lymphoma) at this site would be less likely, but is possible._x000D_
_x000D_
2. Mild hepatomegaly. DDx metabolic (vacuolar) hepatopathy (such as from hepatic lipidosis), less likely cholangiohepatitis, congestion or neoplasia.</t>
  </si>
  <si>
    <t>Given the chronicity of the clinical findings, if the patient remains stable, I would first recommend abdominal ultrasound to further evaluate the small intestinal segment in the cranioventral abdomen. If the patient is unstable or ultrasound is not readily available, exploratory laparotomy could be considered._x000D_
_x000D_
Given the patient is likely hyporexic and the liver is enlarged, hepatic lipidosis is possible but elevated liver enzymes are not reported, so the significance of the enlargement is uncertain. Ultrasound would hold the dual benefit of allowing the assessment of the hepatic parenchyma._x000D_
_x000D_
I am very invested and interested in this case and would appreciate any follow up. If you would like to discuss any further, or a diagnosis/treatment plan is reached, please contact me personally at steven.robi.acvr=ZZ95=gmail.com</t>
  </si>
  <si>
    <t>WHOLE-BODY (three radiographs for review). No previous for comparison._x000D_
_x000D_
- Excessive body habitus._x000D_
- The cardiac silhouette is within normal limits for size, shape and margins._x000D_
- The aortic root is prominent._x000D_
- The pulmonary vasculature is normal._x000D_
- The pulmonary parenchyma, pleural space, remainder of the mediastinum and remaining included intrathoracic structures are unremarkable._x000D_
- Peritoneal serosal detail is normal._x000D_
- The stomach and small intestine contains a mild multifocal amount of gas stippled soft-tissue opaque material and gas._x000D_
- The colon contains a relatively large volume of gas and mild formed fecal material._x000D_
- The liver, spleen, kidneys, urinary bladder and remaining abdominal structures are normal._x000D_
- There are sutures present in the region of the ovarian pedicles, the uterine stump and the ventral abdominal body wall_x000D_
- there is a narrowing of the L5-6 intervertebral disc space with mild sclerosis of the endplates and associated spondylosis deformans. A few intervertebral disc spaces in the cranial lumbar region also appears mildly narrowed. The remaining included musculoskeletal structures are normal._x000D_
- There is a small pocket of gas in the inguinal soft tissues.</t>
  </si>
  <si>
    <t>1. The prominent appearance of the aortic root is occasionally identified as an incidental finding in older cats, however given there is a history of a cardiac murmur, it may be associated with systemic hypertension and secondary concentric cardiac hypertrophy (however no discrete radiographic cardiomegaly is observed). Consider systemic blood pressure measurement and echocardiogram for further assessment._x000D_
_x000D_
2. Possible L5-6 and cranial lumbar intervertebral disc disease._x000D_
_x000D_
3. Excessive body habitus._x000D_
_x000D_
4. Small pocket of gas in the inguinal soft tissues, potentially from recent injection vs. penetrating injury (bite wound, foreign body). A small abscess in this region is not excluded.</t>
  </si>
  <si>
    <t>SPINE and HINDLIMBS (six radiographs for review). No previous for comparison._x000D_
_x000D_
- Caudal cervical and cervicothoracic spine normal._x000D_
- Thoracic and thoracolumbar spine normal._x000D_
- Lumbar and lumbosacral spine normal._x000D_
- Sacrum normal. _x000D_
- Sacroiliac joints, coxofemoral joints and remainder of pelvis normal._x000D_
- Femurs and stifles normal bilaterally._x000D_
- Included portions of the tarsi normal._x000D_
- Markedly distended urinary bladder (homogeneous soft-tissue/fluid)._x000D_
- Stomach has a postprandial appearance._x000D_
- Colon contains desiccated fecal material._x000D_
- Mild diffuse bronchial pattern._x000D_
- Triangular soft-tissue opacity in the region of the right middle lung lobe._x000D_
- Mild right-sided mediastinal shift._x000D_
- Ill-defined soft-tissue opacity noted on the RLAT projection of the thorax superimposed over the mid-dorsal portion of the lungs.</t>
  </si>
  <si>
    <t>1. A discrete radiographic spinal or vertebral column abnormality to explain the patient=ZZ91=s reported clinical signs is not clearly identified. Radiographic sensitivity for lesions affecting the spine can be limited, particularly in cats. No evidence of fracture, subluxation, discospondylitis or aggressive bone lesions. If clinically indicated, consultation with a veterinary neurologist +/- advanced imaging of the spine (CT/MRI) may be considered._x000D_
_x000D_
2. Markedly distended urinary bladder. Given the history could be due to upper motor neuron deficits, however in a cat also consider voluntary retention or less likely lower urinary tract obstruction._x000D_
_x000D_
3. Ill-defined soft-tissue opacity noted on the RLAT projection of the thorax superimposed over the mid-dorsal portion of the lungs is of uncertain etiology. I lean towards it being atypical pulmonary atelectasis or something superimposed over the parenchyma, however a pulmonary mass is also possible._x000D_
_x000D_
4. Diffuse bronchial pattern with atelectasis of the right middle lung lobe is likely compatible with chronic lower airway disease (e.g. feline asthma)._x000D_
_x000D_
5. Recent meal._x000D_
_x000D_
6. Constipation.</t>
  </si>
  <si>
    <t>As above. If there will be advanced imaging of this patient performed for purposes of the spine, I would recommend inclusion of the thorax to assess the above intrathoracic findings. Otherwise, recheck radiographs at a later timepoint might be considered to assess for the persistence of the dorsally located soft-tissue opacity in the thorax, as well as the collapse of the right middle lung lobe and bronchial pattern.</t>
  </si>
  <si>
    <t xml:space="preserve">
1.This result does not detect pleural fissure lines/fluid.  _x000D_
2.This result detects a minimal to mild, or rarely moderate interstitial pulmonary pattern.  _x000D_
3.This result detects a minimal to mild, or rarely moderate bronchial pulmonary pattern._x000D_
4.Rarely, this result detects a minimal to mild alveolar pulmonary pattern._x000D_
5.This result does not detect pulmonary vasculature enlargement._x000D_
6.This result detects equivocal/borderline to mild cardiomegaly. </t>
  </si>
  <si>
    <t>Three orthogonal thoracic radiographs dated 8 January 2024 are available for review. These are compared with previous radiographs dated 22 June 2023._x000D_
_x000D_
Airway findings: The cervical and thoracic trachea have a normal size, outline and position. The carina, tracheal bifurcation and mainstem bronchi are normal. The thorax is hypoinflated. There is a homogenous interstitial opacification superimposed on the thorax consistent with body habitus. Minor bronchial markings are visible caudodorsally._x000D_
_x000D_
Cardiovascular findings: The cardiac silhouette is rounded, likely due to pericardial fat. There is extensive pericardial fat in the ventral dorsal image. The visible pulmonary vascular, and mainstem vessels are normal._x000D_
_x000D_
Mediastinum and pleural space: There is increased ventral pleural and mediastinal fat._x000D_
_x000D_
Musculoskeletal findings: The patient is severely obese._x000D_
_x000D_
Included abdomen: There is smoothly marginated hepatomegaly.</t>
  </si>
  <si>
    <t>1. Mild bronchial markings: These are comparable to previous radiographs. Low-grade asthma, environmental bronchitis, unlikely infectious inflammatory bronchitis should be considered. The interstitial opacification is due to hypoinflation and body habitus._x000D_
2. Increased pericardial fat. Dilated cardiomyopathy is considered unlikely._x000D_
3. Mild smoothly margined hepatomegaly is consistent with steroid induced hepatopathy.</t>
  </si>
  <si>
    <t>Obesity predisposes for airway collapse, and reduction of thoracic volume (pickwickian syndrome), reducing pulmonary clearance, therefore weight management is advised._x000D_
Consider airway sampling for complete evaluation. Alternatively, review treatment for feline asthma.</t>
  </si>
  <si>
    <t>THORAX (four radiographs for review). No priors._x000D_
_x000D_
- Minimal diffuse bronchial pattern._x000D_
- Large volume of mixed fat and soft-tissue opacity in the caudal portion of the cranial mediastinum against the cranial margin of the cardiac silhouette, causing a mild widening. There may also be incomplete involution of the thymus gland._x000D_
- Cardiac silhouette and pulmonary vasculature normal._x000D_
- Trachea normal._x000D_
- Remaining included intrathoracic structures unremarkable._x000D_
- Included musculoskeletal structures are normal._x000D_
- No discrete abdominal abnormalities are detected.</t>
  </si>
  <si>
    <t>1. Minimal diffuse bronchial pattern could be artefactual, however given the reported history, lower airway disease (e.g. feline asthma vs. bronchitis of infectious parasitic, bacterial or inhaled irritant etiologies) is considered in this case. There is no radiographic evidence of pneumonia, or other over cause for the reported wheezing. Consider empirical therapy for lower airway disease with possible lower airway sampling (e.g. BAL) +/- CT if the patient does not improve or worsens despite medical management._x000D_
_x000D_
2. Large volume of cranial mediastinal fat, incomplete thymic involution or cranial mediastinal cyst (less likely mass). CT would be of use for further evaluation of this finding.</t>
  </si>
  <si>
    <t>THORAX (seven total radiographs for review). No priors._x000D_
_x000D_
- Thin body condition._x000D_
- Leftward mediastinal shift._x000D_
- Mild diffuse bronchial pattern._x000D_
- Mild bilateral pleural effusion, best seen in the ventral portion of the pleural cavity on the lateral projections._x000D_
- Fairly large, rounded, gas-filled structure in the right caudal lung lobe, with a thin and symmetric, well-defined wall._x000D_
- Round soft-tissue opacity dorsal to the 3rd sternal segment._x000D_
- Cardiac silhouette and pulmonary vasculature normal._x000D_
- (limited assessment) peritoneal effusion and mild hepatomegaly.</t>
  </si>
  <si>
    <t>1. Considering the presence of bicavitary effusion (peritoneal and pleural), sternal lymphadenopathy, hepatomegaly and in conjunction with the reported history, there is concern for a multicentric disease process. In this case, despite the patient being slightly older than typical, feline infectious peritonitis (FIP) is the first consideration. Round-cell neoplasia such as lymphoma is also possible._x000D_
_x000D_
2. Large right caudal lung lobe pulmonary bulla._x000D_
_x000D_
3. Mild diffuse bronchial pattern. DDx feline asthma or bronchitis related to #1 vs. infectious (parasitic, bacteral)._x000D_
_x000D_
4. Aerophagia._x000D_
_x000D_
5. Thin body condition.</t>
  </si>
  <si>
    <t>I suspect the thoracic fluid will be of same character to the abdominal fluid, so diagnostic thoracocentesis may not particularly useful or groundbreaking. Fine needle aspiration of the sternal lymph node may be attempted under ultrasound guidance. Consider ruling out FIP (e.g. PCR, etc.)_x000D_
_x000D_
The presence of the bulla in the right caudal lobe is likely incidental to the current clinical complaint. It may be that this bulla was acquired from the patients chronic lower airway disease, or it could be congenital as well.</t>
  </si>
  <si>
    <t xml:space="preserve">
1.This result does NOT detect soft tissue pulmonary nodules._x000D_
2.Rarely, this result detects minimal to mild pleural fissure lines/fluid._x000D_
3.This result detects minimal/equivocal to moderate cardiomegaly._x000D_
4.This result detects minimal to mild, mixed interstitial and bronchial pulmonary patterns._x000D_
5.This result does NOT detect an alveolar pulmonary pattern.  </t>
  </si>
  <si>
    <t>Study:_x000D_
Thoracic radiography: right lateral and orthogonal views (two images) dated January 6, 2024_x000D_
_x000D_
Findings:_x000D_
On the VD view, the cardiac silhouette is accentuated by pericardial fat. The cardiac silhouette is normal in size and shape. The pulmonary vasculature is normal in size. There is a mild generalized bronchial palmar a pattern. The pleural space is normal. There is no intrathoracic lymphadenopathy. The trachea is normal in diameter and course. There is no esophageal dilation. The stomach contains heterogeneous soft tissue material presumed to be ingesta. No skeletal abnormalities are present. The patient is of overweight body condition.</t>
  </si>
  <si>
    <t>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t>
  </si>
  <si>
    <t>Three radiographs of the thorax are provided. A large portion of the abdomen is included on the lateral views. There is mild cardiac silhouette enlargement on the lateral views, with focal indentation of the caudal heart waist on the left lateral view. Cranial pulmonary vessels are normal size. Left caudal pulmonary artery and vein are prominent. There is scant pleural fluid. There are faint bronchial markings in the lungs. Normal tracheal diameter. Degenerative change noted in the elbows. In the abdomen there is a punctate mineral density overlying the cranial aspect of the urinary bladder on both lateral views, however is most likely superimposed small intestinal. No abdominal effusion or organomegaly.</t>
  </si>
  <si>
    <t>Mild cardiomegaly most consistent with cardiomyopathy. There is pulmonary venous congestion, and mild pleural effusion indicating heart failure. Prominent pulmonary artery is concerning for pulmonary hypertension. Concurrent heartworm disease is not definitively ruled out. Bronchial markings suggestive of chronic airway inflammation. This should be correlated with chronicity of the cough. No abdominal abnormalities are appreciated.</t>
  </si>
  <si>
    <t>Treatment for heart failure, heartworm test, and an echocardiogram are recommended.</t>
  </si>
  <si>
    <t xml:space="preserve">
1.This result detects a mild to severe bronchial pulmonary pattern._x000D_
2.This result detects a mild to severe interstitial pulmonary pattern._x000D_
3.This result detects a minimal to moderate alveolar pulmonary pattern._x000D_
4.Rarely, this result detects minimal to mild pulmonary vasculature enlargement._x000D_
5.This result detects minimal to moderate pleural fissure lines/fluid. _x000D_
6.This result detects mild to severe cardiomegaly.</t>
  </si>
  <si>
    <t>Orthogonal views of the thorax are provided:_x000D_
_x000D_
Thorax:_x000D_
_x000D_
Cardiac silhouette has a normal shape and size._x000D_
Pulmonary vessels are within normal limits of size and shape._x000D_
Pulmonary parenchyma shows an oval, caveated thick wall irregularly shaped mass dorsally located in the left caudal lung lobe. There are some indistinct concomitant pulmonary nodules._x000D_
Pleural space, mediastinum, diaphragm and thoracic wall within normal limits.</t>
  </si>
  <si>
    <t>1) Solitary pulmonary mass in the left caudal lung lobe most consistent with a solitary primary pulmonary neoplasia with suspected pulmonary metastases.</t>
  </si>
  <si>
    <t>Consider a CT of the thorax to completely rule in/out concomitant metastases with US guided FNAs of the mass and any close nodule.</t>
  </si>
  <si>
    <t xml:space="preserve">
1.This result detects a minimal to mild interstitial pulmonary pattern.  _x000D_
2.This result detects a minimal to mild bronchial pulmonary pattern._x000D_
3.This result does not detect pulmonary vasculature enlargement._x000D_
4.This result does not detect pleural fissure lines/fluid.  _x000D_
5.This result does not detect an alveolar pulmonary pattern._x000D_
6.This result does not detect pulmonary soft tissue nodules._x000D_
7.This result detects equivocal/borderline to mild cardiomegaly. </t>
  </si>
  <si>
    <t>Given the lack of cardiomegaly but possible echo, consider a cardiology consultation with ECG and echocardiogram.</t>
  </si>
  <si>
    <t>THORAX (three radiographs for review). No priors._x000D_
_x000D_
- Excessive body habitus._x000D_
- Moderate diffuse bronchial pattern. Multiple airways are mineralized._x000D_
- Mild diffuse unstructured interstitial pattern, likely due to hypoinflation._x000D_
- Cardiac silhouette and pulmonary vasculature normal._x000D_
- The included cranial abdominal structures (liver, spleen, kidneys, stomach, small intestine and colon) are radiographically unremarkable._x000D_
- The included musculoskeletal structures are normal.</t>
  </si>
  <si>
    <t>1. Moderate diffuse bronchial pattern with airway mineralization is compatible with lower airway disease. This could be secondary to feline asthma or bronchitis of infectious (e.g. parasitic lungworm, bacterial), inhaled irritant or allergic etiologies. Consider empirical treatment for chronic lower airway disease with lower airway sampling (e.g. BAL) if the patient worsens or does not improve despite medical management._x000D_
_x000D_
2. Excessive body habitus.</t>
  </si>
  <si>
    <t>Three radiographs of the thorax and three views of the abdomen are provided. Previous images are not identified for this patient. There is a poorly delineated curved cavitary soft tissue opacity in the caudodorsal aspect of the right caudal lung. This measures approximately 4.6 cm, and has a thick cranial and dorsal wall. Numerous punctate mineral densities within this lesion. No other pulmonary nodules or masses. Fat deposition encircles the heart on the VD projection. The heart is normal size on the lateral views. Fat deposition separates the lungs from the sternum. Small volume gas in the esophagus is likely incidental. No pleural effusion. Normal tracheal diameter and position. Bilateral cubital osteoarthrosis._x000D_
_x000D_
In the abdomen there is no effusion or organomegaly. The gastrointestinal tract is moderately filled. No radiopaque urolithiasis. Spondylosis deformans in the caudal lumbar spine, and degenerative change in both stifles is incidental.</t>
  </si>
  <si>
    <t>1. Cavitary mass in the right caudal lung. This is most consistent with neoplasia. Since this has increased in size but has been present for at least a year, slow-growing neoplasia is most likely. A large granuloma/abscess is given lesser consideration._x000D_
2. Normal abdomen.</t>
  </si>
  <si>
    <t>Study:_x000D_
Thoracic/abdominal radiography: three images dated January 5,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left kidney is severely enlarged (approximately 6.5 cm in length). There is associated ventral and rightward displacement of the colon. The right kidney is normal in size and contour. The urinary bladder is normal in size and opacity. No skeletal abnormalities are present.</t>
  </si>
  <si>
    <t>1. Severe left renomegaly. Rule out hydronephrosis, perinephric pseudocyst or renal neoplasia. Recommend abdominal sonography for further evaluation._x000D_
2. Normal thorax. There is no radiographic evidence of cardiopulmonary or metastatic disease.</t>
  </si>
  <si>
    <t>DESCRIPTION:_x000D_
_x000D_
Orthogonal views of the thorax and abdomen are provided:_x000D_
_x000D_
Thorax:_x000D_
_x000D_
There is mild gas distension of the naso and oropharynx._x000D_
Cardiac silhouette has a normal shape and size._x000D_
Pulmonary vessels are within normal limits of size and shape._x000D_
Pulmonary parenchyma shows mild hyperinflation with mild bronchial pattern. Pleural space, mediastinum, diaphragm and thoracic wall within normal limits._x000D_
_x000D_
Abdomen:_x000D_
_x000D_
The stomach is markedly gas distended with some food. Small intestines are also gas distended. _x000D_
Serosal detail is preserved._x000D_
Liver and spleen are within normal limits of size and smoothly marginated._x000D_
Kidneys and urinary bladder WNL._x000D_
_x000D_
Right coco-femoral joint periarticular osteophytosis.</t>
  </si>
  <si>
    <t>1) Rule out upper airway obstruction at the level o the larynx._x000D_
2) Pulmonary changes compatible with a chronic lower airway disease. Hyperinflation due to uncontrolled hyperthyroidism is not excluded._x000D_
3) Aerophagia in the GI tract.</t>
  </si>
  <si>
    <t>Laryngeal exam under sedation.</t>
  </si>
  <si>
    <t>Three radiographs of the thorax, lateral view of the abdomen, and three views of the distal thoracic limbs are provided. The cardiac silhouette and pulmonary vessels are normal size and shape. There are no abnormalities in the pulmonary parenchyma or pleural space. Fat deposition encircles the heart on the VD projection. No cranial mediastinal abnormalities. In the abdomen there is no effusion or organomegaly. Punctate nephroliths are incidental. No radiopaque cystic calculi. Formed feces fills the descending colon. The stomach and small bowel are minimally filled. Normal-sized liver. The splenic head is visible and is also normal size._x000D_
_x000D_
On the three thoracic limb images, there is no laterality marker present. There is severe soft tissue swelling encircling the distal aspect of the 3rd digit of one of the forefeet. Suspect mild lysis and faint osseous proliferation along the palmar aspect of the associated ungual crest and process, although evaluation of the 3rd phalanx is limited due to superimposed digits. Punctate mineral density palmar and axial to the 3rd phalanx of this digit is likely superficial debris/crust. No other abnormalities in the distal limbs.</t>
  </si>
  <si>
    <t>Severe soft tissue swelling in the 3rd digit of a thoracic limb (laterality uncertain), with suspect mild osseous changes to the associated 3rd phalanx. A soft tissue neoplasm is most likely. Paronychia is given secondary consideration. The thorax and abdomen are normal.</t>
  </si>
  <si>
    <t>Histopathology/cytology of the affected digit is recommended.</t>
  </si>
  <si>
    <t>Four radiographs of the thorax/abdomen are provided. The cardiac silhouette and pulmonary vessels are normal size and shape. There are no abnormalities in the pulmonary parenchyma. The heart lies relatively flat along the sternum on the lateral views, an incidental feline variant. This also causes the aortic arch to appear prominent on the lateral projections and is seen cranial and to the left of the heart on the VD view (=ZZ92=aortic knob=ZZ92=). No pleural effusion. In the abdomen serosal detail is adequate for the thin body condition. The gastric axis is in normal position indicating normal size liver. The kidneys and spleen are obscured. No radiopaque urolithiasis. There is gas in the stomach and small bowel. Small volume of formed feces in the distal colon. No osseous abnormalities.</t>
  </si>
  <si>
    <t>Normal thorax. Other than thin body condition, no definitive abdominal abnormalities are appreciated on this study. A reason for weight loss is not identified.</t>
  </si>
  <si>
    <t>Consultation with an internist could be considered.</t>
  </si>
  <si>
    <t xml:space="preserve">
1.This result detects no cardiomegaly to equivocal/borderline cardiomegaly. _x000D_
2.This result detects a minimal, or rarely mild interstitial pulmonary pattern._x000D_
3.This result detects none, or a minimal to mild bronchial pulmonary pattern._x000D_
4.This result does not detect an alveolar pulmonary pattern._x000D_
5.This result does not detect pulmonary soft tissue nodules._x000D_
6.This result does not detect pulmonary vasculature enlargement._x000D_
7.Rarely, this result detects minimal pleural fissure lines/fluid.</t>
  </si>
  <si>
    <t>Right lateral and ventrodorsal thoracic radiographs (2 images) dated January 4, 2024._x000D_
_x000D_
The cardiac silhouette is moderately enlarged with dorsal deviation of the trachea and excessive widening at the cardiac heart base to give it a Valentine shaped appearance on the VD view. The pulmonary vasculature is enlarged, including the tertiary vessels in the periphery that are more conspicuous than normal. The left caudal lobar vessels are less well visualized due to a surrounding unstructured interstitial pattern. No pulmonary nodules or masses are identified. There are conspicuous pleural fissure lines appreciable on both views. The trachea is normal in diameter and contains gas. The mediastinum and diaphragm are normal. The liver is slightly enlarged, the caudal vena cava is prominent in diameter. The stomach contains a fair amount of gas and a small amount of ingesta. The included bowel segments and cranial peritoneal detail are normal. The osseous structures are unremarkable.</t>
  </si>
  <si>
    <t>1. Moderate generalized cardiomegaly with pulmonary vascular enlargement, a small unstructured interstitial pattern in the left caudodorsal lung field, and suspected scant pleural effusion are features suggestive congestive heart failure due to a primary or thyrotoxic cardiomyopathy._x000D_
2. Chronic caudal vena cava and mildly enlarged liver likely represent the congestion from cardiac disease. Other causes for the mild hepatomegaly, including a benign metabolic/vacuolar hepatopathy, hepatitis/cholangiohepatitis, and infiltrative round cell neoplasia cannot be ruled out.</t>
  </si>
  <si>
    <t>Initiate furosemide and pimobendan therapy._x000D_
Schedule an echocardiogram.</t>
  </si>
  <si>
    <t xml:space="preserve">
1.This result detects a minimalto moderate interstitial pulmonary pattern.  _x000D_
2.This result detects a moderate to severe, or less commonly mild  bronchial pulmonary pattern._x000D_
3.Uncommonly, this result detects a minimal to severe alveolar pulmonary pattern._x000D_
4.This result commonly detects pulmonary soft tissue nodules._x000D_
5.This result detects equivocal/borderline cardiomegaly most commonly.  Rarely, this result detects mild or moderate cardiomegaly._x000D_
6.This result does not detect pulmonary vasculature enlargement._x000D_
7.This result commonly detects minimal to moderate, or rarely severe pleural fissure lines/fluid.</t>
  </si>
  <si>
    <t>THORAX (three radiographs for review). No priors._x000D_
_x000D_
- The cardiac silhouette is moderately enlarged, characterized by increased apicobasilar length and dorsal displacement of the caudal portion of the thoracic trachea._x000D_
- The pulmonary vasculature is moderately distended._x000D_
- There is a diffuse, patchy unstructured interstitial-to-alveolar pattern throughout the lungs._x000D_
- There is mild bilateral increase in soft-tissue opacity in the pleural space._x000D_
- A leftward mediastinal shift is identified however the projections markedly oblique._x000D_
- The remaining intrathoracic structures are unremarkable._x000D_
- The liver is moderately enlarged, extending caudal to the costal arch with rounded margins._x000D_
- The stomach has a postprandial appearance and contains a small volume of gas._x000D_
- The small intestine contains mild multifocal soft-tissue opaque material and gas._x000D_
- The colon contains gas and formed fecal material.</t>
  </si>
  <si>
    <t>1. Moderate generalized cardiomegaly with pulmonary vasculature distention, patchy unstructured interstitial to alveolar pattern and mild bilateral pleural effusion. Most likely compatible with congestive heart failure (e.g. cardiomyopathy most likely). Consider echocardiography for further assessment._x000D_
_x000D_
2. Mild hepatomegaly. DDx metabolic (vacuolar) hepatopathy, less likely cholangiohepatitis, congestion or neoplasia. If there is a history of hepatic enzyme elevation, sonographic assessment of the liver +/- FNA may be considered._x000D_
_x000D_
3. Aerophagia and recent meal.</t>
  </si>
  <si>
    <t>Consider initiation of treatment for congestive heart failure (e.g. oxygen, diuretics, echocardiography/ECG). Recheck radiographs after initiation of therapy to evaluate for improvement (or lack thereof) of the pulmonary or pleural changes.</t>
  </si>
  <si>
    <t>Study:_x000D_
Thoracic/abdominal radiography: three images dated January 3,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granular soft tissue material presumed to be ingesta. Similar material is present in some small intestinal segments. The small intestines are normal in size and course. The colon contains formed fecal material. The liver and spleen are normal in size and margin. The kidneys are normal in size and contour. On the VD view, the left lobe of the pancreas is visualized situated between the spleen/left kidney. The distal aspect of the left lobe of the pancreas appear is mildly enlarged and irregular. The urinary bladder is normal in size and opacity. There are enlarged (measuring up to 1 cm) colic lymph nodes dorsal to the midaspect of the descending colon. The 13th ribs are hypoplastic. The patient is of overweight body condition.</t>
  </si>
  <si>
    <t>1. The enlargement and irregularity of the distal aspect of the left lobe of the pancreas may indicate pancreatitis and/or hyperplasia. Consider pancreatic lipase testing plus/minus abdominal sonography for further evaluation._x000D_
2. The colic lymphadenopathy may be reactive or neoplastic._x000D_
3. Postprandial gastrointestinal tract. There is no evidence of gastrointestinal foreign material or small test mechanical obstruction._x000D_
4. Normal thorax.</t>
  </si>
  <si>
    <t>Thorax: There is moderate generalized cardiomegaly.  There is a diffuse interstitial to coalescing alveolar pattern seen throughout all lung fields.  On the left lateral view there is a possible bulla within the caudal dorsal thorax near the level of the diaphragm.  There is no evidence of pleural effusion or lymphadenopathy._x000D_
_x000D_
Abdomen: The liver and spleen are unremarkable.  There are no abnormalities involving the urinary tract or gastrointestinal tract.  Serosal detail is normal.</t>
  </si>
  <si>
    <t>Generalized cardiomegaly._x000D_
_x000D_
Diffuse interstitial to coalescing alveolar pattern.  In light of cardiomegaly, primary differential consideration is congestive heart failure (cardiac decompensation).  Other etiologies such as infection or diffuse neoplasia cannot be ruled out but considered less likely._x000D_
_x000D_
Possible pulmonary bulla.</t>
  </si>
  <si>
    <t xml:space="preserve">
1.This result detects a mild to severe bronchial pulmonary pattern._x000D_
2.This result detects a mild to severe interstitial pulmonary pattern._x000D_
3.This result detects a minimal to moderate alveolar pulmonary pattern._x000D_
4.This result detects mild to severe cardiomegaly._x000D_
5.Rarely, this result detects minimal to mild pulmonary vasculature enlargement._x000D_
6.This result detects minimal to moderate pleural fissure lines/fluid. </t>
  </si>
  <si>
    <t>THORAX (three radiographs for review). No priors._x000D_
_x000D_
- Excessive body habitus._x000D_
- Mild diffuse bronchial pattern._x000D_
- Cardiac silhouette, pulmonary vasculature within normal limits._x000D_
- Remaining included intrathoracic structures unremarkable._x000D_
- Liver mildly enlarged, extending caudal to the costal arch with rounded margins._x000D_
- Stomach has a postprandial appearance and contains a small gas._x000D_
- Small intestine contains mild multifocal gas and soft-tissue opaque material._x000D_
- Colon contains mildly desiccated fecal material and gas._x000D_
- Spleen, kidneys, urinary bladder normal._x000D_
- Included musculoskeletal structures normal.</t>
  </si>
  <si>
    <t>1. Mild diffuse bronchial pattern. Likely compatible with chronic lower airway disease. Feline asthma is the primary differential diagnosis, however it could also reflect bronchitis of infectious (parasitic, bacterial), inhaled irritant or allergic etiologies. Treatment for lower airway disease may provide the greatest clinical benefit to the patient. Lower airway sampling (e.g. BAL) may be considered if the patient does not improve or worsens despite medical management._x000D_
_x000D_
2. Mild hepatomegaly. DDx metabolic (vacuolar) hepatopathy, less likely cholangiohepatitis, congestion or neoplasia. If there is a history of hepatic enzyme elevation, sonographic assessment of the liver +/- FNA may be considered._x000D_
_x000D_
3. Constipation._x000D_
_x000D_
4. Recent meal._x000D_
_x000D_
5. Excessive body habitus.</t>
  </si>
  <si>
    <t>Three orthogonal survey radiographs of the thorax and abdomen dated 3 January 2024 are available for review. There are no previous radiographs available for comparison. _x000D_
_x000D_
Thorax: _x000D_
Airway findings: The trachea, carina and mainstem bronchi are within normal limits for width and position. The pulmonary parenchyma is within normal limits for age.  _x000D_
_x000D_
Cardiovascular findings: The cardiac silhouette has a normal position, shape and size. The pulmonary vasculature and caudal vena cava are unremarkable. _x000D_
_x000D_
Mediastinum and pleural space:  There is no evidence of thoracic lymphadenomegaly or pleural effusion. _x000D_
_x000D_
Abdomen: There is a moderate amount of gas throughout the gastrointestinal tract. The colon is gas dilated with compacted faeces. The hepatic silhouette is normal. The spleen is prominent. The kidneys are partially obscured by gastrointestinal contents, but the visible aspect are normal. The serosal detail is normal._x000D_
_x000D_
Musculoskeletal findings: The animal is in a thin body condition.</t>
  </si>
  <si>
    <t>1. Normal thorax. Differentials for the clinical signs included upper airway disease such as laryngitis, foreign body, peripheral neuropathy._x000D_
2. The gas within the intestinal tract is most likely due to aerophagia secondary to the reported respiratory signs. A diffuse enteropathy due to bacterial overload is considered unlikely._x000D_
3. The prominent spleen may be due to sedation, however round cell infiltration (lymphoma) or splenitis should be considered.</t>
  </si>
  <si>
    <t>An upper endoscopic examination is advised. Depending on progression of abdominal clinical signs, consider abdominal ultrasonography. Complete blood work if not already performed.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</si>
  <si>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are irregular, the left one being small and blunted._x000D_
Urinary bladder WNL.</t>
  </si>
  <si>
    <t>1) Unremarkable thorax without signs of pulmonary metastases nor signs of thoracic lymphadenopathy._x000D_
2) Bilateral chronic renal changes, worse on the left side.</t>
  </si>
  <si>
    <t>Consider abdominal US to further evaluate the urinary tract with renal function, UPC and urinalysis and causes of neutropenia.</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</si>
  <si>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</si>
  <si>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 xml:space="preserve">
1.This result detects a minimal to mild interstitial pulmonary pattern.  _x000D_
2.This result detects a minimal to mild bronchial pulmonary pattern._x000D_
3.This result does not detect an alveolar pulmonary pattern._x000D_
4.Uncommonly, this result detects pulmonary soft tissue or cavitary nodules._x000D_
5.This result does not detect pulmonary vasculature enlargement._x000D_
6.Rarely, this result detects minimal to mild pleural fissure lines/fluid.  _x000D_
7.This result detects equivocal/borderline to moderate cardiomegaly. </t>
  </si>
  <si>
    <t>Consider empirical treatment for chronic bronchitis evaluating response to treatment. If clinical signs persist, consider a bronchoscopy with BAL, culture, cytology, Baermann test and deworming.</t>
  </si>
  <si>
    <t>Orthogonal views of the thorax are provided:_x000D_
_x000D_
Thorax:_x000D_
_x000D_
No abnormalities seen in the trachea. Incidental mild esophageal gas distension along with aerophagia in the stomach.._x000D_
Cardiac silhouette has a normal shape and size._x000D_
Pulmonary vessels are within normal limits of size and shape._x000D_
Pulmonary parenchyma is within normal limits. No evidence of pneumonia._x000D_
Pleural space, mediastinum, diaphragm and thoracic wall within normal limits.</t>
  </si>
  <si>
    <t>Consider a bronchoscopy with BAL, culture, cytology, Baermann test and deworming. Take advantage of sedation for a laryngeal exam under sedation.</t>
  </si>
  <si>
    <t>A three view study of the thorax is provided. Previous thoracic radiographs dated 9-7-21 are compared._x000D_
_x000D_
Moderate heart enlargement is identified. This was not present in the previous radiographs. Pulmonary vessels appear mildly enlarged in the VD view but normal in the lateral views. There is a moderate to severe diffuse bronchointerstitial pulmonary pattern, which is similar in appearance the previous radiographs. No tracheal abnormalities are identified. The cranial abdominal organs are within normal limits.</t>
  </si>
  <si>
    <t>There is heart enlargement, which represents an increase in heart size relative to the previous radiographs made two years ago._x000D_
Cardiomyopathy is likely responsible. Echocardiography is recommended._x000D_
_x000D_
The bronchointerstitial pattern is unchanged relative to the previous radiographs. The appearance is consistent with chronic lower airway disease such as asthma or chronic allergic lung disease. Parasitic infection such as lungworms or heartworm disease should also be ruled out.</t>
  </si>
  <si>
    <t xml:space="preserve">
1.Rarely, this result detect a minimal to mild alveolar pulmonary pattern._x000D_
2.Uncommonly, this result detects minimal to mild pulmonary vasculature enlargement._x000D_
3.This result detects minimal or rarely mild pleural fissure lines/fluid.  _x000D_
4.This result detects most commonly detects moderate cardiomegaly, and less commonly detects mild or severe cardiomegaly._x000D_
5.This result detects a mild to mild, or rarely moderate interstitial pulmonary pattern.  _x000D_
6.This result detects a minimal to mild, or rarely moderate bronchial pulmonary pattern.</t>
  </si>
  <si>
    <t>Opposite lateral and ventrodorsal whole body radiographs and a lateral radiograph of appendicular skeleton (thoracic and pelvic limbs) (4 images total) dated January 2, 2024. Positioning for the appendicular skeleton radiograph is non-standard and poorly collimated, and this will affect interpretation._x000D_
_x000D_
_x000D_
The cardiac silhouette, pulmonary vasculature, and great vessels are within normal limits. The pulmonary parenchyma is unremarkable with no nodules, infiltrates, or other pathology detected. The pleural space and diaphragm are normal. There is the impression of focal cranial mediastinal widening on the VD projection at the level of C2 and T3, and this corresponds with an ovoid increase in opacity resting on the sternum on the lateral views. The trachea is normal in diameter and course with gas filling its lumen. No intrathoracic lymphadenopathy is evident._x000D_
The liver and spleen are normal in size and shape. The stomach is distended with a large amount of granular soft-tissue content and mineral speckling. The small intestine is unremarkable in diameter and course and is mostly empty/collapsed aside from some fluid and gas. The colon contains unremarkable appearing stool and has a normal course. Both kidneys are normal in size and shape. The urinary bladder is small and homogeneously fluid opaque. Retroperitoneal and peritoneal detail are normal. The superficial inguinal lymph nodes are visible on the lateral views and measure at the upper limits of expected size. No other lymphadenopathy is appreciated. _x000D_
The elbows, antebrachii, carpi, mani, hips/pelvis, stifles, crura, tarsi, and pes are unremarkable on the image provided.</t>
  </si>
  <si>
    <t>1. Small soft-tissue opacity in the cranioventral mediastinum is suggestive of sternal lymphadenopathy due to infectious causes vs. benign reactivity from regional inflammation vs. round cell neoplasia (ex: FeLV/FIV). Non-lymph node origin is less likely and includes thymoma, ectopic thyroid carcinoma, and branchial cyst._x000D_
2. Unremarkable postprandial abdomen._x000D_
3. No osseous abnormalities are identified to account for the left pelvic limb lameness.</t>
  </si>
  <si>
    <t>CBC, chemistry, UA, FeLV/FIV, fecal, clinical pathology review of the blood smear._x000D_
Palpation for peripheral lymphadenopathy=ZZ90= fine needle aspirates for cytologic evaluation if present._x000D_
Although I suspect the sternal lymph node is to small for aspiration, parasternal ultrasound could be performed to see if the notice visible and amenable to aspirates._x000D_
Abdominal ultrasound and internal medicine consultation may provide more information.</t>
  </si>
  <si>
    <t>Orthogonal views of the thorax and abdomen are provided:_x000D_
_x000D_
Thorax:_x000D_
_x000D_
The esophagus is moderately gas distended in continuation with a moderately gas distended stomach and small intestines._x000D_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Moderately gas distended stomach and small intestines, the latter reaching up to 1.32mm in thickness._x000D_
Serosal detail is poor._x000D_
Liver and spleen are within normal limits of size and smoothly marginated._x000D_
Kidneys and urinary bladder WNL.</t>
  </si>
  <si>
    <t>1) Gas distended esophagus, stomach and small intestines: rule out a lower/distal small intestinal obstruction with mechcanilcal ileus and gad distended esophagus secondary to vomition or constant regurgitation. A concomitant neuromuscular disorder is not excluded to explain the gas distended esophagus such as true megaesophagus secondary to myasthenia gravis vs secondary to polymiositis vs idiopathic. Also a concomitant upper airway obstruction is not excluded either as a potential cause of the gas distended esophagus.</t>
  </si>
  <si>
    <t>Based on history consider an abdominal US. Rule out as well an upper airway obstruction such as nasal neoplasia vs other nasal pathology.</t>
  </si>
  <si>
    <t>Consider abdominal US to further evaluate the hepatic-billiary system and the urinary tract with renal function test, urinalysis, UPC and urine culture.</t>
  </si>
  <si>
    <t>Study:_x000D_
Thoracic radiography: three images dated December 30, 2023_x000D_
_x000D_
Findings:_x000D_
There is incidental cranioventral rotation of the cardiac silhouette and redundancy the aorta. There is mild generalized hepatomegaly (VHS approximately 8.5). The pulmonic vasculature is normal in size. There is a mild generalized bronchial pulmonary pattern. The pleural space is normal. There is no intrathoracic lymphadenopathy. The trachea is normal in diameter and course. The stomach contains unstructured heterogeneous soft tissue material presumed to be ingesta. No skeletal abnormalities present. The patient is of overweight body condition.</t>
  </si>
  <si>
    <t>1. 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Mild generalized cardiomegaly without evidence of decompensation. Hypertrophic cardiomyopathy is most likely. This finding may be overestimated by excessive pericardial fat given the overweight body condition of the patient. ProBNP testing and/or echocardiography can be considered for further heart disease screening.</t>
  </si>
  <si>
    <t xml:space="preserve">
1.This result detects equivocal/borderline to mild cardiomegaly. _x000D_
2.Rarely, this result detects a minimal to mild alveolar pulmonary pattern._x000D_
3.This result does not detect pleural fissure lines/fluid.  _x000D_
4.This result detects a minimal to mild, or rarely moderate interstitial pulmonary pattern.  _x000D_
5.This result detects a minimal to mild, or rarely moderate bronchial pulmonary pattern._x000D_
6.This result does not detect pulmonary vasculature enlargement.</t>
  </si>
  <si>
    <t>Thorax: The pulmonary parenchyma and pulmonary vasculature are unremarkable.  There is an impression of generalized cardiomegaly however this is most likely secondary to a moderate amount of pericardial fat.  There is no evidence of lymphadenopathy or pleural effusion.</t>
  </si>
  <si>
    <t>Suspect increased pericardial fat giving false impression of generalized cardiomegaly._x000D_
_x000D_
Unremarkable thorax</t>
  </si>
  <si>
    <t>4 images of the entire body are provided for review. There is a severe bronchial pattern in all lung lobes.  Several soft tissue nodular structures are seen throughout the pulmonary parenchyma that appears larger than the corresponding bronchi.  The cardiovascular structures are normal.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</si>
  <si>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on the view provided.  Severe bronchial pulmonary pattern.  Considerations include asthma, heartworm, lungworm, atypical infection, bronchitis.  Consider empiric therapy versus further diagnostics such as heartworm testing, Baermann fecal, airway sampling.  Additional pulmonary nodules are concerning for metastasis.  Chronically dilated and blood bronchi cannot be completely excluded, but this appearance is not typical.  CT and airway sampling may be helpful.</t>
  </si>
  <si>
    <t xml:space="preserve">
1.This result detects equivocal/borderline to moderate cardiomegaly. _x000D_
2.This result detects a mild to moderate bronchial pulmonary pattern._x000D_
3.Rarely, this result detects a minimal alveolar pulmonary pattern._x000D_
4.Rarely, this result detects pulmonary soft tissue nodules._x000D_
5.This result does not detect pulmonary vasculature enlargement._x000D_
6.This result does not detect pleural fissure lines/fluid.  _x000D_
7.This result detects a minimal to mild, or rarely moderate interstitial pulmonary pattern.  </t>
  </si>
  <si>
    <t>THORAX (three radiographs for review). No priors._x000D_
_x000D_
- Mild diffuse bronchial pattern._x000D_
- Mild pulmonary hyperinflation._x000D_
- Cardiac silhouette and pulmonary vasculature are unremarkable._x000D_
- Prominent aortic root._x000D_
- Remaining included thoracic structures unremarkable._x000D_
- Stomach moderately distended with gas and contains gas stippled soft-tissue opaque material._x000D_
- Included cranial abdominal structures unremarkable._x000D_
- The included musculoskeletal structures are normal.</t>
  </si>
  <si>
    <t>1. Mild diffuse bronchial pattern with pulmonary hyperinflation is compatible with chronic lower airway disease and air-trapping. Consider feline asthma or less likely bronchitis of infectious, inhaled irritant or allergic etiologies._x000D_
_x000D_
2. Prominent aortic root can be incidentally seen in older cats, however given there is a reported heart murmur, it could be associated with systemic hypertension. There is no evidence of cardiomegaly to indicate secondary concentric cardiac hypertrophy, however regardless an echocardiogram may still be considered._x000D_
_x000D_
3. Aerophagia.</t>
  </si>
  <si>
    <t>SPINE (six radiographs for review). No previous for comparison._x000D_
_x000D_
- Mild narrowing of the C3-4 intervertebral disc space._x000D_
- There is mild multifocal spondylosis deformans in the midthoracic region._x000D_
- The remaining thoracic, thoracolumbar, lumbar and lumbosacral vertebral column are normal._x000D_
- The included portions of the pelvis are normal._x000D_
- There is a moderate volume of desiccated fecal material in the colon._x000D_
- The remaining abdominal structures are unremarkable._x000D_
- The patient has a prominent aortic root. The remaining intrathoracic structures are unremarkable.</t>
  </si>
  <si>
    <t>1. A discrete radiographic cause for the reported ataxia, inappetence and lethargy is not clearly identified. It may or may not be related to the C3-4 disc site (which is the most radiographically abnormal portion of the vertebral column included). There is no evidence of fracture, luxation, discospondylitis or aggressive bone lesions. If clinically indicated, consultation with a veterinary neurologist may be considered._x000D_
_x000D_
2. Likely incidental mild multifocal spondylosis deformans._x000D_
_x000D_
3. Constipation._x000D_
_x000D_
4. Prominent aortic root can be an incidental finding in older cats however can also be associated with systemic hypertension.</t>
  </si>
  <si>
    <t>ABDOMEN (four radiographs for review). No previous for comparison._x000D_
_x000D_
- Reduced midabdominal peritoneal detail._x000D_
- Very large mid-to-caudal abdominal mass or multiple masses, which are lobular and homogeneously soft-tissue opaque and displacing/compressing the regional abdominal viscera._x000D_
- Moderately irregular renal margins, bilaterally._x000D_
- Stomach contains a mild volume of gas and gas stippled soft-tissue opaque material._x000D_
- Small intestine relatively nondistended and contains mild multifocal gas and soft-tissue._x000D_
- Colon is mostly empty, containing only gas._x000D_
- Included musculoskeletal structures are normal._x000D_
- Sternal lymphadenopathy. _x000D_
- Remaining included intrathoracic structures are within normal limits.</t>
  </si>
  <si>
    <t>1. Large mid- to caudal abdominal mass/masses, with locoregional peritonitis/peritoneal effusion and sternal lymphadenopathy raise primary concern for a multicentric disease process such as neoplasia (e.g. lymphoma most likely given the patient species, less likely carcinoma). The masses could be extremely enlarged abdominal lymph nodes, gastrointestinal masses, or less likely associated with the retroperitoneal space. Non-neoplastic etiologies such as granulomatous fungal or mycobacterial disease is possible, but less likely. Abdominal ultrasound +/- FNA is recommended for further assessment._x000D_
_x000D_
2. Bilateral chronic degenerative renal disease.</t>
  </si>
  <si>
    <t>Thorax: There is moderate bilateral pleural effusion.  Air bronchograms are noted within the right and left cranial lung lobes.  Due to lung pathology as well as pleural effusion, evaluation for cranial mediastinal mass/lymphadenopathy is compromised.  Although pleural effusion compromise evaluation of the cardiac silhouette, on the lateral view the cardiac silhouette appears generally enlarged.  There are no abnormalities involving the visible portions of the abdomen.</t>
  </si>
  <si>
    <t>Bilateral pleural effusion._x000D_
_x000D_
Suspect generalized cardiomegaly._x000D_
_x000D_
Possible consolidation of cranial portions of the right and left cranial lung lobes.</t>
  </si>
  <si>
    <t>THORAX (three radiographs for review). No priors._x000D_
_x000D_
- Mild pulmonary hyperinflation._x000D_
- Mild diffuse bronchial pattern._x000D_
- Cardiac silhouette, pulmonary vasculature normal._x000D_
- Mild rightward mediastinal shift most likely due to image obliquity._x000D_
- Remaining included intrathoracic structures normal._x000D_
- The included portions of the abdomen are unremarkable.</t>
  </si>
  <si>
    <t>1. Mild diffuse bronchial pattern with pulmonary hyperinflation is likely compatible with chronic lower airway disease such as feline asthma with secondary air-trapping. Bronchitis of infectious, allergic or inhaled irritant etiologies are also possible but less likely. Consider empirical treatment for lower airway disease, with thoracic CT and lower airway sampling if the patient=ZZ91=s coughing does not improve or worsens despite medical management.</t>
  </si>
  <si>
    <t>THORAX (three radiographs for review). A radiographic examination of the abdomen is available from the day prior (12/27/23)._x000D_
_x000D_
- Mild diffuse bronchial pattern._x000D_
- Mild pulmonary hyperinflation._x000D_
- Cardiac silhouette, pulmonary vasculature are normal._x000D_
- Small volume of gas in the mid-thoracic esophagus._x000D_
- Remaining included intrathoracic structures are unremarkable._x000D_
- Moderate multifocal spondylosis deformans._x000D_
_x000D_
ABDOMEN:_x000D_
- Stomach is moderately distended with gas, And contains mild gas stippled soft-tissue opaque material._x000D_
- Rounded soft-tissue opaque craniodorsal mass caudal to the gastric body, causes a caudal displacement of the right kidney. Retrospectively this mass can be appreciated on the previous study, but is subtle/indistinct (likely due to lack of gas in the stomach versus that seen in the current study).</t>
  </si>
  <si>
    <t>1. Mild diffuse bronchial pattern with mild pulmonary hyperinflation (air-trapping) likely indicates chronic lower airway disease (e.g. asthma, chronic bronchitis). These findings may or may not be associated with the more acutely reported episode of dyspnea._x000D_
_x000D_
2. Suspect craniodorsal abdominal mass (limited assessment). Possible tissues of origin include the pancreas, or less likely the gastric wall or an intestinal segment. DDx neoplasia (e.g. carcinoma), less likely pancreatic pseudocyst/abscess, granuloma. Consider abdominal ultrasound for further assessment.</t>
  </si>
  <si>
    <t>I cannot appreciate a clear radiographic cause for the acute dyspnea, however if there is chronic respiratory signs the thoracic findings could be the primary contributor._x000D_
_x000D_
I am concerned about the presence of a craniodorsal abdominal mass in this patient. I have consulted with Dr. Jones, who has similar concerns. We would recommend considering an abdominal ultrasound, with focus on the cranial abdomen. _x000D_
_x000D_
If you have any questions about this case, please feel free to contact me personally at steven.robi.acvr=ZZ95=gmail.com</t>
  </si>
  <si>
    <t>Three radiographs of the thorax/abdomen and two views of the head/neck are provided. The cardiac silhouette is mildly enlarged. Curved soft tissue opacity at the heart base on the right lateral view is normal great vessels. Pulmonary vessels are normal size. There are no abnormalities in the pulmonary parenchyma. No pleural effusion. Punctate mineral density ventral to the trachea at the level of C5-6 is likely incidental. In the abdomen there is large volume soft tissue opaque ingesta, small volume mineral opaque debris, and gas filling the stomach. Small intestines are moderately fluid filled. Semi-formed and formed feces fills the colon. No radiopaque urolithiasis. Normal-sized spleen, kidneys, and liver. Narrowed L4-5 intervertebral disc space with spondylosis deformans, and moderate coxofemoral osteoarthrosis, of doubtful significance today._x000D_
_x000D_
Head/neck radiographs include a closed mouth rostroventral to caudodorsal view and an oblique lateral view. Due to the breed, this patient has reduced nasal sinuses. No definitive nasal or frontal sinus abnormalities are appreciated. There is no osseous proliferation or lysis on this study, although fine detail evaluation is limited due to superimposed normal anatomy and obliquity. No soft tissue swelling. The laryngeal region is unremarkable.</t>
  </si>
  <si>
    <t>Mild cardiomegaly consistent with cardiomyopathy. There is no evidence of heart failure. Otherwise normal thorax and abdomen. No definitive head abnormalities are appreciated. With the history, rhinitis is suspected. Intranasal neoplasia is given secondary consideration.</t>
  </si>
  <si>
    <t>Advanced imaging of the head with computed tomography should be considered.</t>
  </si>
  <si>
    <t>9 images of the thorax are provided for review. There is a mild bronchial pattern in all lung lobes.  The cardiovascular structures are normal.  Fat is present in the pericardium.  The trachea is consistently narrowed in the caudal cervical region to the cranial thoracic portion.  Small amounts of gas are present in the esophagus.  The mediastinal and pleural structures are normal.  Cranial abdominal detail is adequate.</t>
  </si>
  <si>
    <t>Mild bronchial pulmonary pattern.  Considerations include asthma, heartworm, lungworm, atypical infection, bronchitis.  Consider empiric therapy versus further diagnostics such as heartworm testing, Baermann fecal, airway sampling.  Tracheal narrowing may be due to superimposed esophagus, particularly if material is present in the esophagus.  An esophagram could be considered to rule out an esophageal cause for this appearance.  Tracheal collapse has rarely been reported in cats, so fluoroscopy or bronchoscopy could be considered if an esophageal cause for narrowing is ruled out.</t>
  </si>
  <si>
    <t>Thorax: The pulmonary parenchyma, cardiac silhouette, and pulmonary vasculature are unremarkable.  There is no evidence of pleural effusion or lymphadenopathy._x000D_
_x000D_
Abdomen: There are segments of small intestine that appear to have diffuse wall thickening.  The liver and spleen are unremarkable.  The urinary tract is unremarkable.  Serosal detail is normal.  There is no evidence of an intra-abdominal mass.  Spondylosis deformans is noted at the lumbosacral junction.</t>
  </si>
  <si>
    <t>Possible diffuse small intestinal wall thickening.  This is not a definitive finding on survey radiography.  Differential considerations include artifactual, variation of normal, enteritis, IBD, or possible neoplasia.</t>
  </si>
  <si>
    <t>Study:_x000D_
Thoracic radiography: three images dated December 27, 2023_x000D_
_x000D_
Findings:_x000D_
The cardiac silhouette and pulmonary vasculature are normal in size. The pulmonary parenchyma is unremarkable. The pleural space is normal. There is no intrathoracic lymphadenopathy. The trachea is normal in diameter and course. The stomach contains heterogeneous soft tissue material presumed to be ingesta. The osseous structures are unremarkable.</t>
  </si>
  <si>
    <t>Normal thorax. There is no radiographic evidence of cardiopulmonary disease. Consider infectious respiratory disease PCR testing plus/minus computed tomography of the head/nasal passages and rhinoscopy for further evaluation of the upper respiratory signs.</t>
  </si>
  <si>
    <t>Patient name: Marlow Carlson_x000D_
ABDOMEN (3 views=ZZ90= 5 images, [4 Lateral, 1 VD]) _x000D_
Images are dated December 27, 2023 _x000D_
There are no previous radiographs for comparison. _x000D_
 _x000D_
Liver: The liver is normal in size and shape with smooth margins._x000D_
_x000D_
Spleen: The spleen is normal in size and shape with smooth margins. _x000D_
_x000D_
Kidneys and urinary bladder: Only the left kidney is detected but appears at the upper limits of normal size with smooth margins.  An indwelling urinary catheter is present, terminating within the trigone of the bladder. The bladder is mildly distended with urine. No radiopaque cystic or urethral calculi are detected._x000D_
_x000D_
GI: The stomach contains a moderate volume of gas and coarse granular soft tissue contents consistent with food. No gastric enlargement is seen. An ovoid to geoid (0.73cm x 0.45cm x 0.49cm) mineral opacity is noted superimposing the stomach wall in all views.   Diffusely the small intestines contain fluid while maintaining normal diameter but are entirely within the right abdomen on the VD image. Gas and formed feces are noted in the colon which is also entirely within the right abdomen on the VD view. _x000D_
_x000D_
Abdominal detail: Serosal detail in the ventral abdomen is decreased, with wispy streaks of soft tissue around the small intestine, kidney, and urinary bladder.  _x000D_
_x000D_
MSK: Visible musculoskeletal structures are within normal limits. _x000D_
_x000D_
Caudal thorax: The cardiac silhouette is wide and tall.  Pulmonary vessels are normal in width.  A diffuse mild bronchial opacity is observed. An indwelling endotracheal tube is present in the cervical trachea.  No pleural effusion detected.</t>
  </si>
  <si>
    <t>1) Indwelling urinary catheter and moderate urinary bladder distention compatible with the history of lower urinary tract obstruction. No radiopaque urinary calculi are identified. _x000D_
_x000D_
2) Rightward shifting of the intestinal tract is most likely an incidental finding secondary to right-sided recumbency. A mass or mass effect to otherwise shift the abdominal viscera rightwards is not seen._x000D_
_x000D_
3) Decreased peritoneal and retroperitoneal serosal detail is consistent with inflammation and effusion secondary to recent urethral obstruction. Early urinary bladder or urethral rupture is not excluded. Retroperitoneal effusion could indicate a degree of pyelonephritis and/or hydronephrosis._x000D_
_x000D_
4) Non-visualized right kidney and left renomegaly. For the right kidney, absence may be due to historic nephrectomy vs. renal agenesis vs extreme right renal atrophy. For the left renomegaly, consider compensatory hypertrophy +/- pyelonephritis._x000D_
 _x000D_
5) Non-obstructive, presumed gastric, mineral foreign body vs. dystrophic mineralization of the gastric wall or peritoneal tissue (e.g. Bates Body)._x000D_
_x000D_
6) Mild generalized cardiomegaly. DDx early fluid overload vs. true cardiac disease (e.g. hypertrophic cardiomyopathy).</t>
  </si>
  <si>
    <t>I would recommend abdominal ultrasound in this patient as peritoneal effusion and retroperitoneal effusion are concerning findings and the left renomegaly would benefit from investigation. _x000D_
_x000D_
Please note that there is also a possibility that this patient is being fluid overloaded as there is bicavitary effusion and cardiomegaly. Consider monitoring the patient=ZZ91=s in=ZZ91=s and out=ZZ91=s and charting their weight with IV fluid therapy if this is being administered.</t>
  </si>
  <si>
    <t xml:space="preserve">
1.Cardiac silhouette: Normal in most cases; rarely, minimal to mild generalized cardiomegaly is present._x000D_
2.Negative for pulmonary vasculature enlargement._x000D_
3.Negative for pleural fissure lines/pleural fluid._x000D_
4.Uncommonly, this result detects a minimal to mild bronchial pulmonary pattern._x000D_
5.Rarely, this result detects a minimal to mild interstitial pulmonary pattern._x000D_
6.Rarely, this result detects a minimal alveolar pulmonary pattern.</t>
  </si>
  <si>
    <t>3 views of the thorax are provided for review.  The cardiac silhouette is widened with rounding of the left ventricular border.  Moderate bronchial markings are present in all lung lobes.  No perihilar pulmonary infiltrates are seen.  The pulmonary vasculature is normal in size.  The mediastinal and pleural structures are normal.  Cranial abdominal detail is adequate.</t>
  </si>
  <si>
    <t>Orthogonal views of the abdomen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 (bubble of gas in some views from cystocentesis)._x000D_
Moderate inguinal lymphadenopathy._x000D_
_x000D_
13th right rib shows an irregular mineralized caudal aspect.</t>
  </si>
  <si>
    <t>1) Unremarkable abdomen. _x000D_
2) Inguinal lympahdenopathy: reactive vs metastatic.</t>
  </si>
  <si>
    <t>Consider abdominal US to further evaluate this vague clinical history with FNAs of the inguinal lymph nodes.</t>
  </si>
  <si>
    <t>5 images of the thorax and abdomen are presented for review.  The cardiac silhouette is overall normal in size.  There is mild prominence of the aortic arch.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with mineral foci.  The small intestines are normal in size.  Gas and feces are present in the colon.  The urinary bladder is moderately distended.  The right kidney is small.  The remaining abdominal organs are normal.</t>
  </si>
  <si>
    <t>Small right kidney suggestive of chronic renal disease.  Prominence of the aortic arch may indicate systemic hypertension.</t>
  </si>
  <si>
    <t>Consider measurement of systemic blood pressure.  Correlation of findings with serum biochemistry, urinalysis, and SDMA may be helpful.</t>
  </si>
  <si>
    <t>Patient name: Brio Harrell _x000D_
THORAX (3 views, 3 images=ZZ90= [2 lateral, 1 VD])_x000D_
Images are dated December 27, 2023. _x000D_
There are no previous radiographs for comparison. _x000D_
_x000D_
Airway/Pulmonary: The lungs are adequately inflated.  Diffusely throughout the lungs a mild increase in bronchial opacity is noted.  No distinct soft tissue pulmonary nodules are detected.  Tracheal and mainstem bronchial diameter is normal. _x000D_
_x000D_
Cardiovascular: The cardiac silhouette is normal in size and shape.  Pulmonary vessels are normal in width. _x000D_
_x000D_
Mediastinum: No lymph node enlargement is detected.  The caudal vena cava is normal in height.  _x000D_
_x000D_
Pleural space: No pleural effusion is seen. _x000D_
_x000D_
Cranial abdomen: Visible portions of the liver, spleen, kidneys, stomach, small intestine, and colon are within normal limits. _x000D_
_x000D_
Musculoskeletal: No abnormalities detected in the visible musculoskeletal structures. The patient has an excessive body habitus.</t>
  </si>
  <si>
    <t>1) Mild diffuse bronchial pattern.  This is consistent with allergic / inflammatory bronchitis (e.g. feline asthma) as a cause of the coughing. Infectious, parasitic and irritant bronchitis are also possible. _x000D_
_x000D_
2) Excessive body habitus.</t>
  </si>
  <si>
    <t>Respiratory workup including CBC, serum chemistry, urinalysis, Baermann fecal testing, +/- respiratory panel as indicated. Alternatively, empirical therapy for asthma, and removal of allergens and environmental irritants (i.e. smoke, dust, perfumes, etc.) can be considered.</t>
  </si>
  <si>
    <t>Three radiographs of the thorax and of the abdomen are provided. The cardiac silhouette is upper normal size. The heart lies relatively flat along the sternum on the lateral views, an incidental aged feline variant. There are no abnormalities in the pleural space or pulmonary parenchyma. Punctate mineral density caudal to the visible shoulder is incidental._x000D_
_x000D_
In the abdomen the stomach contains a large amount of soft tissue opacity that is stippled with gas. Small volume mineral opaque debris in the stomach. Small intestines are diffusely mildly fluid-filled. Moderate volume of formed feces in the colon. Normal-sized liver, kidneys, spleen. No radiopaque cystic calculi.</t>
  </si>
  <si>
    <t>Normal thorax and postprandial abdomen. Gastric contents appears to be normal ingesta. I cannot rule out the possibility that there is also a trichobezoar in the stomach. There is no evidence of gastrointestinal obstruction or constipation on this study.</t>
  </si>
  <si>
    <t>If the patient develops vomiting, lethargy, hyporexia, additional abdominal imaging with strictly fasted abdominal ultrasound could be considered.</t>
  </si>
  <si>
    <t xml:space="preserve">
1.This result detects mild to moderate cardiomegaly._x000D_
2.This result does NOT detect pleural fissure lines._x000D_
3.This result detects a minimal to moderate bronchial pulmonary pattern._x000D_
4.This result detects a minimal to mild interstitial pulmonary pattern._x000D_
5.This result does NOT detect an alveolar pulmonary pattern.</t>
  </si>
  <si>
    <t>THORAX and ABDOMEN (five radiographs for review). No previous for comparison._x000D_
_x000D_
THORAX:_x000D_
- Moderate generalized cardiomegaly, characterized by rounded cardiac margins._x000D_
- Pulmonary vasculature is within normal limits._x000D_
- Mild diffuse bronchial pattern._x000D_
- Remaining intrathoracic structures unremarkable._x000D_
_x000D_
ABDOMEN:_x000D_
- Spleen is enlarged, with lobular margins. On a single VD projection just caudal to the spleen and craniolateral to the left kidneys there is a medium-sized, smoothly-margined soft-tissue opaque mass (3 x 4 cm)._x000D_
- The stomach, colon, urinary bladder and kidneys are within normal limits for size, shape and margins._x000D_
- There is a single well-defined sharply marginated angular mineral opacity most likely within the small intestine._x000D_
_x000D_
The included musculoskeletal structures are normal.</t>
  </si>
  <si>
    <t>1. Moderate generalized cardiomegaly, without pulmonary vascular congestion or congestive heart failure. Compatible with the reported history of cardiac murmur and most likely represents cardiomyopathy (hypertrophic, restrictive, unclassified). If not recently performed, consider echocardiogram._x000D_
_x000D_
2. Mild bronchial pattern. Consider feline asthma versus chronic bronchitis._x000D_
_x000D_
3. Irregular splenomegaly and left mid-abdominal mass in the position of the splenic tail. DDx neoplasia (e.g. sarcoma, lymphoma, mast cell tumor) vs. lobular/prominent complex hyperplasia, hematoma, EMH. The mass could also theoretically originate from the left limb of the pancreas (e.g. pseudocyst, carcinoma). Abdominal ultrasound is recommended for further assessment._x000D_
_x000D_
4. Likely incidental mineral opaque foreign bodies in the small intestine.</t>
  </si>
  <si>
    <t>The patient=ZZ91=s abnormal breathing pattern is more likely to be attributed to the lower airway changes than the cardiac changes, and empirical treatment for lower airway disease may provide clinical benefit. _x000D_
_x000D_
I would also recommend abdominal ultrasound as there appears to be a small mass in the left midabdomen that is most likely originating from the spleen.</t>
  </si>
  <si>
    <t>Four radiographs of the thorax are provided. The cardiac silhouette is prominent on the 2nd right lateral view and the left lateral view, appearing more normal size on the VD projection and 1st right lateral view. Pulmonary vessels and caudal vena cava are normal size. There are a few faint peripheral bronchial markings. No pleural effusion. Scant gas in the esophagus is transient and incidental. Normal cranial mediastinal width. Gas in the stomach and intestines on the edge of the study is due to aerophagia.</t>
  </si>
  <si>
    <t>1. Faint bronchial markings suggestive of chronic airway inflammation such as asthma. No other abnormalities are identified to explain the respiratory signs. With the history, intranasal disease such as rhinitis or neoplasia is suspected._x000D_
2. Equivocal mild cardiomegaly, consistent with a history of cardiomyopathy. There is no evidence of heart failure.</t>
  </si>
  <si>
    <t>Additional nasal imaging with computed tomography could be considered.</t>
  </si>
  <si>
    <t>Orthogonal views of the thorax are provided:_x000D_
_x000D_
Thorax:_x000D_
_x000D_
No abnormalities are seen in the trachea._x000D_
Cardiac silhouette has a normal shape and size._x000D_
Pulmonary vessels are within normal limits of size and shape._x000D_
Pulmonary parenchyma is within normal limits. _x000D_
Pleural space, mediastinum, diaphragm and thoracic wall within normal limits.</t>
  </si>
  <si>
    <t>Consider empirical treatment for allergic bronchitis with deworming evaluating response to treatment with deworming.</t>
  </si>
  <si>
    <t>Three radiographs of the thorax and of the abdomen are provided. Images dated 9/16/23 are available for comparison. The cardiac silhouette and pulmonary vessels are normal size and shape. Fat deposition in the mid ventral left thorax causes the hazy increased opacity to the left of the heart on the VD projection, and overlying the ventral heart on the right lateral view. No abnormalities are appreciated in the pulmonary parenchyma. There is no pleural effusion or intrathoracic lymphadenomegaly. Scant gas in the esophagus consistent with aerophagia._x000D_
_x000D_
In the abdomen moderate volume of formed feces fills the colon. A few punctate mineral densities in the colon are likely incidental. The stomach and small bowel are minimally distended. No radiopaque foreign material, intestinal bunching, or plication. Normal size liver, left kidney, spleen. The right kidney is reduced in size, and there is indented lateral margin of the left kidney. Punctate mineral densities dorsal to the distal descending colon were present previously and are likely incidental granulomas. No osseous abnormalities.</t>
  </si>
  <si>
    <t>The study is essentially unchanged compared to the previous examination._x000D_
1. Chronic renal disease, worse on the right. No other abdominal abnormalities. A reason for gastrointestinal signs is not identified. Gastroenteritis is most likely. There is no evidence of an obstructive process._x000D_
2. Normal thorax.</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</si>
  <si>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contusions, pneumothorax or pleural effusion._x000D_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There are ischial fractures without bony callus in the pelvis (pelvis is not completely included in the VD view) with suspected fracture of the left side of S1. Rest of the spine (except for S1 is unremarkable without signs of disc herniation, vertebral fractures or subluxations.</t>
  </si>
  <si>
    <t>1) Unremarkable thorax and abdomen._x000D_
2) Pelvic fractures.</t>
  </si>
  <si>
    <t>Consider orthogonal views of the pelvis with physical exam evaluating if fractures are recent so it could explain the clinical signs. If fractures are not recent, consider abdominal US for further evaluate with oral exam under sedation with renal and hepatic function tests.</t>
  </si>
  <si>
    <t>ABDOMEN (three radiographs for review). No previous for comparison._x000D_
_x000D_
- Peritoneal serosal detail is normal._x000D_
- The stomach is nondistended and contains a small volume of soft-tissue/fluid._x000D_
- The small intestines diffusely, homogenously mildly to moderately distended with gas and fluid. A few loops have a frothy fluid containing appearance._x000D_
- The colon contains gas and mild formed fecal material._x000D_
- The liver is mildly enlarged, extending caudal to the costal arch with rounded margins._x000D_
- The spleen, kidneys, urinary bladder and remaining abdominal structures are normal._x000D_
- Included musculoskeletal structures are unremarkable._x000D_
- There is a relatively large degree of pericardial fat, however the cardiac silhouette, pulmonary parenchyma, pleural space and remaining included thoracic structures are unremarkable.</t>
  </si>
  <si>
    <t>1. The appearance of the small intestinal tract can be compatible with a diffuse, nonspecific functional ileus such as enteritis or infiltrative bowel disease (e.g. IBD or lymphoma). There is no evidence of small intestinal mechanical obstruction. If clinically indicated, an abdominal ultrasound may provide further clarification._x000D_
_x000D_
2. Mild hepatomegaly. DDx metabolic (vacuolar) hepatopathy, less likely cholangiohepatitis, congestion or neoplasia. If there is a history of hepatic enzyme elevation, sonographic assessment of the liver +/- FNA may be considered._x000D_
_x000D_
3. Normal thorax.</t>
  </si>
  <si>
    <t>As above. It is uncertain whether the changes to the small intestinal tract are clinically relevant as there is no vomiting, diarrhea or sensitivity on abdominal palpation reported. If unrelated, a discrete radiographic cause for the reported clinical signs is not noted.</t>
  </si>
  <si>
    <t>Patient name: Piper Burr _x000D_
THORAX (3 views, 3 images=ZZ90= [2 lateral, 1 VD])_x000D_
Images are dated December 22, 2023. _x000D_
There are no previous radiographs for comparison. _x000D_
_x000D_
Airway/Pulmonary: The lungs are hyper-inflated. Diffusely throughout the lungs, a mild increase in bronchial opacity is noted. No distinct soft tissue pulmonary nodules are detected.  Tracheal and mainstem bronchial diameter is normal. _x000D_
_x000D_
Cardiovascular: The cardiac silhouette is normal in size and shape.  Pulmonary vessels are normal in width. _x000D_
_x000D_
Mediastinum: No lymph node enlargement is detected.  The caudal vena cava is normal in height.  _x000D_
_x000D_
Pleural space: No pleural effusion is seen. _x000D_
_x000D_
Cranial abdomen: Visible portions of the liver, spleen, stomach, small intestine, and colon are within normal limits. _x000D_
_x000D_
Musculoskeletal: No abnormalities detected in the visible musculoskeletal structures.</t>
  </si>
  <si>
    <t>1. Negative examination for evidence of metastatic neoplasia._x000D_
_x000D_
2. Mild diffuse bronchial pattern with pulmonary hypoinflation. Consider chronic lower airway disease (e.g. feline asthma, less likely chronic bronchitis) with secondary air-trapping. If clinically indicated empirical treatment for this pathology may be considered.</t>
  </si>
  <si>
    <t>Thorax/abdominal radiographs. Three views of the thorax/abdomen dated December 22, 2023 are provided. _x000D_
_x000D_
The stomach contains a small heterogeneous focus on ingesta and minimal amount of gas. The small bowel is diffusely filled with gas or fluid. There are no pathologically dilated loops. The ascending colon is gas-filled. The descending colon is predominately soft tissue opaque (fluid-filled). There is normal serosal detail. The liver, spleen, and kidneys are unremarkable. The urinary bladder is mildly distended. There is wet hair artifact noted along the ventral abdomen. _x000D_
_x000D_
The cardiac silhouette is mildly enlarged. The pulmonary arteries and veins are within normal limits. The pulmonary parenchyma is normal with no abnormal pulmonary patterns, nodules or masses. The trachea is unremarkable. The mediastinum and pleural space are within normal limits. There is no evidence of intrathoracic lymphadenopathy.</t>
  </si>
  <si>
    <t>1. There is a small focus of ingesta in the stomach. Consider a recent meal/treat, hairball, or foreign body. _x000D_
2. The small intestinal appearance is consistent with ileus._x000D_
-There is no evidence of a mechanical gastrointestinal obstruction. _x000D_
-Gastroenterocolitis and pancreatitis should also be considered.   _x000D_
3. Diarrhea. _x000D_
4. Mild cardiomegaly. There is no evidence of congestive heart failure. _x000D_
-A cardiogenic cough is not suspected. _x000D_
5. The pulmonary parenchyma is normal with no evidence of aspiration pneumonia or cardiogenic pulmonary edema. _x000D_
-Chronic bronchitis of allergic, infectious/inflammatory, or irritant etiologies cannot be excluded.</t>
  </si>
  <si>
    <t>-If a recent meal/treat has not been fed, recheck fasted radiographs of the abdomen could be considered to confirm the stomach fully empties (vs. gastroscopy for a hairball or foreign body)._x000D_
-If clinical signs persist, an abdominal ultrasound would be recommended. _x000D_
-If a murmur can be auscultated, an echocardiogram, EKG, blood pressure and proBNP would be recommended to more fully evaluate the significance of mild cardiomegaly.</t>
  </si>
  <si>
    <t>4 images of the thorax are provided for review. There is a severe bronchial pattern in all lung lobes.  The cardiovascular structures are normal.  A poorly defined cavitated soft tissue mass is present in the left caudal lung lobe.  Amorphous soft tissue is also present in the right caudal lung lobe.  The mediastinal and pleural structures are normal.  Cranial abdominal detail is adequate.</t>
  </si>
  <si>
    <t>Severe bronchial pulmonary pattern.  Considerations include asthma, heartworm, lungworm, atypical infection, bronchitis.  Consider empiric therapy versus further diagnostics such as heartworm testing, Baermann fecal, airway sampling.  Bilateral caudal lung lobe masses.  Consider neoplasia versus other infiltrates such as noncardiogenic edema, abscess, lungworm, etc.  Airway sampling and CT may be helpful.</t>
  </si>
  <si>
    <t>Study:_x000D_
Thoracic radiography: four images dated December 22, 2023_x000D_
_x000D_
Compared to prior study dated October 16, 2023_x000D_
_x000D_
Findings:_x000D_
As before, there is incidental cranial ventral rotation the cardiac silhouette and redundancy of the aorta. The cardiac silhouette is normal in size and shape. The pulmonary vasculature is normal in size. There is a static mild to moderate generalized bronchial pulmonic pattern. The pleural space is normal. There is no intrathoracic lymphadenopathy. The trachea is normal in diameter and course. The included abdomen is normal. There is unchanged moderate bilateral elbow periarticular new bone formation.</t>
  </si>
  <si>
    <t>1. The static generalized bronchial pulmonary pattern likely indicates allergic/inflammatory bronchitis (asthma). Infectious, parasitic and irritant bronchitis are also possible. Airway sampling, heartworm testing and Baermann fecal flotation can be considered for further evaluation. Alternatively, a treatment trial for asthma can be considered._x000D_
2. Static moderate bilateral elbow osteoarthrosis.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</si>
  <si>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mildly prominent.  The small intestines are normal in size.  Gas and feces are present in the colon.  The urinary bladder is moderately distended.  The kidneys are at the lower limits of normal for size.  The remaining abdominal organs are normal.</t>
  </si>
  <si>
    <t>Prominent rugal folds suggestive of gastritis.  This may be secondary to azotemia.  Other considerations such as pancreatitis or infiltrative neoplasia cannot be excluded.  Radiographically normal thorax for patient of this age.</t>
  </si>
  <si>
    <t>THORAX (three radiographs for review). No priors._x000D_
_x000D_
- Excessive body habitus._x000D_
- Mild right-sided mediastinal shift most likely mostly due to image obliquity._x000D_
- Moderate diffuse bronchial pattern present._x000D_
- Mild pulmonary hypoinflation._x000D_
- The cardiac silhouette, pulmonary vasculature and remaining included intrathoracic structures are unremarkable._x000D_
- The stomach has a postprandial appearance._x000D_
- The remaining included cranial abdominal structures are normal._x000D_
- The included musculoskeletal structures are normal.</t>
  </si>
  <si>
    <t>1. Moderate diffuse bronchial pattern. Consider chronic lower airway disease. Most likely feline asthma, less likely bronchitis of infectious (parasitic, bacterial) allergic or inhaled irritant etiologies. Most likely the cause of the reported intermittent coughing. Treatment directed at lower airway disease may provide clinical benefit to the patient. If not improving, lower airway sampling (e.g. BAL) may be reasonable.</t>
  </si>
  <si>
    <t>Patient Name: Wedneday Kavanaugh, Date of Study 12/22/2023_x000D_
There are no previous radiographs for comparison._x000D_
_x000D_
ABDOMEN (3 views, 3 images):_x000D_
_x000D_
Liver:  The liver is normal in size with smooth, well-defined margins.  _x000D_
Spleen:  The spleen is normal in size with smooth, well-defined margins._x000D_
Kidneys:  The kidneys are normal in size with smooth, well-defined margins and homogeneous soft tissue. .    _x000D_
Urinary bladder:    The urinary bladder is within normal limits for size, smoothly marginated and homogeneous soft tissue._x000D_
Gastrointestinal tract:   The stomach contains mild to moderate soft tissue material or minimally mineral material admixed with gas.  The stomach is normal in size.  Minimal gas is suspected in the pylorus in the ventrodorsal image, but not in the left lateral image._x000D_
_x000D_
The small intestine contains mild to moderate fluid or is empty, and minimal gas. The small intestine is subjectively uniform in size.  _x000D_
_x000D_
The colon contains moderate well-defined soft tissue material and gas.  The colon is subjectively normal in size.    _x000D_
Peritoneum:   Peritoneal serosal detail is adequate._x000D_
_x000D_
Musculoskeletal:  The included musculoskeletal structures are normal.</t>
  </si>
  <si>
    <t>1. Gastric material with possible mineral content due to recent meal and/or dietary indiscretion, with/without gastritis/delayed gastric emptying, or less likely pyloric outflow obstruction._x000D_
2. No current evidence of small intestinal mechanical ileus.</t>
  </si>
  <si>
    <t>Consider repeat radiographs after 8-12 hours of fasting to monitor for passage of gastric contents. In the interim, empirical therapy for gastritis depending on clinical signs.  GI panel, fecal analysis/deworming, and routine blood work for further evaluation may be contributory if signs fail to improve, change of worsen in the face of empirical therapy.  Monitoring as directed, or sooner if clinical signs acutely change, fail to improve or worsen.</t>
  </si>
  <si>
    <t>WHOLE-BODY (five radiographs for review). No previous for comparison._x000D_
_x000D_
- Diffuse,moderate-to-severe gas dilation of the stomach, entire small intestinal tract and colon. The colon also contains a small volume of formed fecal material._x000D_
- On the VD projections, there is a questionable thickening of the gastric cardia region that is well-outlined by gas._x000D_
- Peritoneal serosal detail remains normal._x000D_
- The liver, spleen, kidneys, urinary bladder and remaining included abdominal structures are normal._x000D_
- The included musculoskeletal structures are normal._x000D_
- There is a moderate leftward mediastinal shift most likely mostly due to image obliquity and some left-sided pulmonary atelectasis._x000D_
- The cardiac silhouette, pulmonary parenchyma and pleural space are otherwise normal. The remaining included intrathoracic structures are normal, besides mild gas in the midthoracic esophagus.</t>
  </si>
  <si>
    <t>1. Marked aerophagia. No evidence of mechanical obstruction or overt foreign material identified._x000D_
_x000D_
2. Questionable thickening of the gastric cardia. Raises concern for a pathologic lesion such as a mass (e.g. lymphoma, carcinoma) or locally extensive gastritis._x000D_
_x000D_
3. Left-sided pulmonary atelectasis.</t>
  </si>
  <si>
    <t>This patient may benefit from abdominal ultrasound, both to further assess the entire GI tract and for a focused assessment of the stomach, particularly the gastric cardia region.</t>
  </si>
  <si>
    <t>Thorax: There is a diffuse peribronchial pattern.  The cardiac silhouette and pulmonary vasculature are unremarkable.  There is no evidence of lymphadenopathy or pleural effusion._x000D_
_x000D_
Abdomen: There is mild amount of heterogeneous soft tissue opacity within the gastric lumen. There is no evidence of a gastric outflow obstruction. There are several segments of jejunum that have mild amount of heterogeneous soft tissue opacity within their lumens without evidence of obstruction. The liver and spleen are unremarkable. There are no abnormalities involving the urinary tract. Serosal detail is normal.</t>
  </si>
  <si>
    <t>Diffuse peribronchial pattern suggestive of a lower airway inflammatory process such as asthma._x000D_
_x000D_
The appearance of the stomach and segments of small intestine most likely represents normal ingesta.</t>
  </si>
  <si>
    <t>3 views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</si>
  <si>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Echocardiography and thyroid testing may be helpful in further evaluation.</t>
  </si>
  <si>
    <t xml:space="preserve">
1.This result does NOT detect pleural fissure lines._x000D_
2.This result detects a minimal to mild interstitial pulmonary pattern._x000D_
3.This result does NOT detect an alveolar pulmonary pattern._x000D_
4.This result does NOT detect pulmonary soft tissue nodules._x000D_
5.This result detects a minimal to mild bronchial pulmonary pattern._x000D_
6.This result detects equivocal/borderline to mild, or rarely moderate cardiomegaly.</t>
  </si>
  <si>
    <t>Three radiographs of the thorax/abdomen are provided. Images dated 3/1/21 are available for comparison. The cardiac silhouette is upper normal size. The left cranial pulmonary artery is enlarged, with multiple mineralizations that are slightly larger and more numerous than on the previous study. Equivocal faint bronchial markings. No soft tissue pulmonary nodules or pleural effusion. In the abdomen formed feces fills the colon. Moderate volume gas, small volume fluid, and several punctate mineral densities in the stomach, likely incidental. Small bowel are minimally filled. There are a few punctate nephroliths, likely incidental. No radiopaque cystic calculi. Normal-sized liver, spleen, right kidney. The left kidney is reduced in size.</t>
  </si>
  <si>
    <t>1. Enlarged left cranial lobar pulmonary artery with mineralization, slightly progressed since the previous study and suggestive of parasitism such as heartworm disease (current or previous infection)._x000D_
2. Unchanged faint bronchial markings, of doubtful clinical significance._x000D_
3. Probable chronic renal disease on the left. Otherwise normal abdomen.</t>
  </si>
  <si>
    <t>There are no specific contraindications for general anesthesia. Testing for heartworms is recommended if not already performed.</t>
  </si>
  <si>
    <t xml:space="preserve">
1.This result does not detect pleural fissure lines/fluid.  _x000D_
2.This result detects a minimal to mild interstitial pulmonary pattern.  _x000D_
3.This result does not detect pulmonary vasculature enlargement._x000D_
4.This result detects a minimal to mild, or rarely moderate bronchial pulmonary pattern._x000D_
5.Rarely, this result detects a minimal to mild alveolar pulmonary pattern._x000D_
6.This result does not detect pulmonary soft tissue nodules._x000D_
7.This result detects none, or equivocal/borderline to mild cardiomegaly. </t>
  </si>
  <si>
    <t>Orthogonal views of the thorax and abdomen are provided._x000D_
_x000D_
There is a moderate diffuse bronchial pulmonary pattern. Interstitial lung opacity is mildly increased. No alveolar infiltrates or pulmonary nodules are identified. The cardiovascular structures are within normal limits._x000D_
The liver is slightly enlarged, with normal shape and smooth margins. The kidneys are at the upper end of normal range. The descending colon is moderately distended with fecal material. The upper GI tract is unremarkable. No mass lesions are seen in the abdomen. Serosal detail is normal._x000D_
No spinal abnormalities are identified. Both femoral heads are mildly flattened and subluxated. There is mild chronic remodeling of the acetabular rim bilaterally.</t>
  </si>
  <si>
    <t>1) There is a moderate bronchial pattern with mild increased interstitial lung opacity. This is most likely the result of chronic lower airway disease such as asthma. Parasitic infection such as lungworms or heart disease should be considered as less likely possibilities. This is probably not related to the presenting complaint._x000D_
_x000D_
2) The liver is slightly enlarged. This is a nonspecific finding that can be associated with significant diffuse hepatic disease such as hepatitis, lymphoma, or lipidosis, but can also be seen as an incidental finding. Clinical relevance should be correlated with relevant labwork abnormalities._x000D_
_x000D_
3) Chronic degenerative changes are present involving the hip joints. This could be associated with the difficulty jumping on furniture. It is not likely related to the hyporexia and weight loss._x000D_
No spinal abnormalities that would explain the ataxia are identified. Soft tissue pathology affecting the spine could still be present without radiographic changes, including neoplasia or disc disease.</t>
  </si>
  <si>
    <t>CBC, serum chemistry, and urinalysis is recommended._x000D_
_x000D_
More advanced imaging such as MRI may be indicated depending on the severity of ataxia.</t>
  </si>
  <si>
    <t>A three view thoracoabdominal study is provided for interpretation._x000D_
_x000D_
There is a mild diffuse bronchointerstitial pulmonary pattern. No alveolar infiltrates or pleural effusion are identified. There is a small quantity of gas in the cranial thoracic esophagus. No tracheal abnormalities are identified._x000D_
_x000D_
The small intestine is diffusely gas filled, but not distended. No intestinal plication is seen. Some of the intestinal loops have a hyperperistaltic appearance. There is a moderate quantity of formed soft tissue dense ingesta in the stomach. The other abdominal organs are within normal size and shape limits. Serosal detail is normal._x000D_
There is a discrete round 9 mm opacity just cranial to the urinary bladder in the lateral views. This is suspected to be an incidental finding associated with a partially mineralized benign granuloma.</t>
  </si>
  <si>
    <t>The ingesta in the stomach has a formed appearance. This is compatible with some food products, but foreign material can sometimes appear similar. Clinical significance is unknown, given the other clinical signs in addition to vomiting gastric foreign material is not the most likely primary differential._x000D_
The gassy appearance of the GI tract would be compatible with aerophagia or enteritis. No obstructive pattern or definitive foreign body is seen._x000D_
_x000D_
There is a bronchointerstitial pulmonary pattern that is excessive for the age of the patient. The appearance is compatible with bronchitis or chronic lower airway disease such as asthma. Considering the lethargy and acute nature of the clinical signs, infectious bronchitis would be most likely.</t>
  </si>
  <si>
    <t>Bronchitis is suspected. Enteritis may be present. Systemic infectious disease including viral disease should be ruled out as a cause of the clinical signs. No indication for surgical intervention is identified._x000D_
_x000D_
CBC, serum chemistry, and urinalysis is recommended._x000D_
Antibiotic therapy for suspected bronchitis should be considered, especially if supported by lab work abnormalities.</t>
  </si>
  <si>
    <t>Study:_x000D_
Thoracic radiography: three images dated December 21, 2023_x000D_
_x000D_
Findings:_x000D_
The cardiac silhouette is normal in size and shape. The pulmonary vasculature is normal in size. The pulmonary parenchyma is unremarkable. The pleural space is normal. There is no intrathoracic lymphadenopathy. There is narrowing of the trachea lumen in the cranial thorax characterized by dorsal bulging of the ventral tracheal wall. On the lateral projections, there is widening of the cranial mediastinum in this region. The stomach is gas distended, likely secondary to aerophagia. The left kidney is small with smooth margins. The right kidney is mildly moderately enlarged with smooth margins. No skeletal abnormalities are present.</t>
  </si>
  <si>
    <t>The trachea lumen narrowing in the cranial thorax may be secondary to extraluminal compression (given the credit mediastinal widening in this region). A tracheal stricture, tracheal mass or chondromalacia and dynamic airway disease are also possible. Differentials for the cranial mediastinal widening include lymphadenopathy or ectopic thyroid carcinoma. Thymoma and thymic lymphoma are less likely based on the location. Consider computed tomography of the thorax plus/minus tracheoscopy for further evaluation._x000D_
2. The small size of the left kidney is suggestive of chronic kidney disease. The right renomegaly may indicate compensatory hypertrophy. Nephritis or hydronephrosis cannot be excluded. Correlate with renal values, estimate testing and urinalysis. Abdominal sonography can also be considered for further evaluation.</t>
  </si>
  <si>
    <t>Orthogonal views of the thorax and abdomen are provided:_x000D_
_x000D_
Thorax:_x000D_
_x000D_
Cardiac silhouette has a normal shape and size._x000D_
Pulmonary vessels are within normal limits of size and shape._x000D_
Pulmonary parenchyma is hyper inflated. _x000D_
Pleural space, mediastinum, diaphragm and thoracic wall within normal limits._x000D_
_x000D_
Abdomen:_x000D_
_x000D_
The stomach is empty._x000D_
Small intestines are mildly gas and fluid filled, not overtly distended. _x000D_
Hydrated feces in the colon, not overtly distended._x000D_
Serosal detail is poor due to a thin body condition._x000D_
Liver and spleen are within normal limits of size and smoothly marginated._x000D_
Kidneys and urinary bladder WNL.</t>
  </si>
  <si>
    <t>Given the lack of cardiomegaly but audible murmur, consider a cardiology consultation with ECG and echocardiogram._x000D_
Consider abdominal US to further evaluate causes of weight loss and PU/PD. Rule out hyperthyroidism.</t>
  </si>
  <si>
    <t>Study:_x000D_
Abdominal radiography: three images dated December 21, 2023_x000D_
_x000D_
Findings:_x000D_
The stomach is empty. Some small intestinal segments contain a small amount of smoothly marginated fragmented gas. The small intestines are normal in size and course. The colon contains gas and poorly formed fecal material. The liver and spleen are normal in size and margin. The renal silhouettes are normal in size and contour. The urinary bladder is normal in size and opacity. There is a mild to moderate bronchial pulmonary pattern in the included lung fields. The L1 vertebra is transitional with bilateral hypoplastic ribs.</t>
  </si>
  <si>
    <t>1. The smoothly marginated fragmented gas pattern seen in some small intestinal segments can be an indicator of nonspecific enteritis. There is no radiographic evidence of gastrointestinal foreign material or small intestinal mechanical obstruction. Abdominal sonography can be considered for further evaluation if clinical signs persist or worsen in spite of medical management._x000D_
2. The bronchial pulmonary pattern in the included lung fields may indicate allergic/inflammatory bronchitis (asthma). Infectious, parasitic and irritant bronchitis are also possible. Airway sampling, heartworm testing and Baermann fecal flotation can be considered for further evaluation.</t>
  </si>
  <si>
    <t>Right lateral and ventrodorsal whole body radiographs and a right lateral thoracic radiograph (3 images) dated December 21, 2023._x000D_
_x000D_
The pulmonary parenchyma has a mild diffuse bronchial pattern. No pulmonary nodules, masses, or other pathology is detected. The cardiac silhouette, pulmonary vasculature, and great vessels are within normal limits. The pleural space and diaphragm are normal. No mediastinal abnormalities are appreciated. The trachea is normal in diameter and course with gas filling its lumen. No intrathoracic lymphadenopathy is evident._x000D_
The liver is normal in size and shape. The stomach is abnormally dilated with gas. The small intestine is diffusely dilated with gas and more spread out throughout the peritoneal space than is typical for a cat. The colon contains a small amount of unremarkable stool. Both kidneys are normal in size and shape. The spleen is only partially visible with no overt abnormalities detected. The urinary bladder is mildly distended with fluid opacity. Retroperitoneal and peritoneal detail are normal. No regional lymphadenopathy is evident. There is minimal thoracolumbar and caudal lumbar spondylosis deformans. No aggressive osseous lesions are identified.</t>
  </si>
  <si>
    <t>1. Severe gastric and small intestinal dilation with gas is an abnormal finding in the cat and typically represents a functional gastric stasis, such as from flareup of a chronic enteropathy (ex: IBD or GI LSA) and other causes for gastroenteritis. Aerophagia from respiratory distress can also because this appearance, although this is ranked lower likelihood given the reported gastrointestinal clinical signs._x000D_
2. Mild bronchitis. Rule out eosinophilic/feline asthma vs. infectious (bacterial or parasitic [including heartworm]) vs. chronic inhaled irritants.</t>
  </si>
  <si>
    <t>CBC, chemistry, UA, T4, FeLV/FIV, fecal, systemic blood pressure evaluation._x000D_
Abdominal ultrasound to further examine the gastrointestinal tract and remaining abdominal viscera._x000D_
Supportive care with fluids, maropitant, omeprazole, and bland or novel protein diet._x000D_
_x000D_
_x000D_
For the respiratory issues:_x000D_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</si>
  <si>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3 images of the thorax and abdomen are presented for review.  The cardiac silhouette is mildly widened in the region of the atria.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kidneys are small with mildly irregular margins.  The remaining abdominal organs are normal.</t>
  </si>
  <si>
    <t>Chronic renal changes.  Cardiomegaly without current evidence of cardiogenic pulmonary edema.</t>
  </si>
  <si>
    <t>Echocardiography may be helpful in further evaluation.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</si>
  <si>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distended.  The kidneys are small with mildly irregular margins.  The remaining abdominal organs are normal.</t>
  </si>
  <si>
    <t>WHOLE-BODY (three radiographs for review). No previous for comparison._x000D_
_x000D_
- Excessive body habitus._x000D_
- Mild left-sided mediastinal shift._x000D_
- Cardiac silhouette, pulmonary parenchyma, pleural space are normal._x000D_
- Small volume of gas present in the thoracic esophagus._x000D_
- Remaining included intrathoracic structures unremarkable._x000D_
- Stomach mildly distended with gas._x000D_
- Small intestine contains mild multifocal gas._x000D_
- Colon is empty and the caudal mesenteric lymph node is mildly enlarged._x000D_
- The included musculoskeletal structures are normal.</t>
  </si>
  <si>
    <t>1. Relatively unremarkable thoracic radiographs with mild left-sided pulmonary atelectasis and mild thoracic esophageal gas. No distinct radiographic evidence of asthma, bronchitis or bronchopneumonia. Radiographic sensitivity for these findings may be limited._x000D_
_x000D_
2. The empty appearance of the colon and enlarged caudal mesenteric lymph node may be compatible with colitis, however there is no clinical signs referable to the colon reported so this is of questionable clinical significance._x000D_
_x000D_
3. Aerophagia_x000D_
_x000D_
4. Excessive body habitus.</t>
  </si>
  <si>
    <t>A discrete radiographic cause for the reported clinical signs is not identified.</t>
  </si>
  <si>
    <t>Opposite lateral and VD thoracoabdominal views are provided._x000D_
_x000D_
There is mild patchy bronchial mineralization. The appearance is within the limits of age related change. No alveolar infiltrates or mass lesions are identified. One thin pleural fissure line is seen, not expected to be clinically significant. The trachea is normal. No cardiovascular abnormalities are identified._x000D_
The abdominal organs are all within normal size and shape limits. No mass lesions or loss of detail are seen in the abdomen. There is moderate spondylosis deformans involving T 11-T 12 and L7-S1.</t>
  </si>
  <si>
    <t>The mild increase in bronchial markings is a finding that can be seen as an incidental age related change. Chronic inflammation could also contribute, but the radiographic appearance overall is equivocal. No evidence of pneumonia or neoplasia is identified._x000D_
Chronic allergic lung disease or asthma would be most likely. Parasitic infection such as lungworms or heartworm disease should also be ruled out. Active infectious disease is considered unlikely._x000D_
No abdominal abnormalities are identified.</t>
  </si>
  <si>
    <t>Symptomatic therapy for the cough is recommended.</t>
  </si>
  <si>
    <t>WHOLE-BODY (seven radiographs for review). No previous for comparison._x000D_
_x000D_
- Increased soft-tissue and fat opacity in the caudal thorax near midline, as well as in the region of the right middle lung lobe._x000D_
- Indistinct visualization of the cranial margin of the diaphragm on multiple projections._x000D_
- Ventral displacement of the carina._x000D_
- Rounded soft-tissue opacity in the cranioventral thorax dorsal to S2/3 sternal segments._x000D_
- Cardiac silhouette, pulmonary vasculature normal._x000D_
- Stomach is moderately distended with gas._x000D_
- Small intestine contains moderate gas._x000D_
- The remaining included cranial abdominal structures unremarkable._x000D_
- Multifocal spondylosis deformans most severe in the cranial thoracic region._x000D_
- Irregular and proliferative costochondral junction changes.</t>
  </si>
  <si>
    <t>1. This is a challenging and very interesting case. I believe the patient either has a diaphragmatic hernia of the mid-portion of the diaphragm (with herniation of peritoneal fat +/-  a portion of the liver and displacement of the right accessory/right caudal lung lobe) or a right accessory lung lobe mass with tracheobronchial lymphadenopathy (neoplasia being most likely in this case). The sternal lymphadenopathy would raise concern for a neoplastic etiology, but reactive causes are also possible. If this is a hernia, it is most likely from prior trauma, or less likely congenital. _x000D_
_x000D_
2. Aerophagia._x000D_
_x000D_
3. Cranial thoracic spondylosis deformans.</t>
  </si>
  <si>
    <t>I would recommend considering further imaging of this patient as the radiographic findings are not straightforward. A somewhat simple cageside examination might be focal abdominal ultrasound of the cranial abdomen, which allows for integrity of the diaphragm. CT is likely the superior diagnostic however, and may be preferred for surgical planning and/or staging the patient.</t>
  </si>
  <si>
    <t xml:space="preserve">
1.This result detects moderate to severe, or rarely mild cardiomegaly._x000D_
2.Rarely, this result detects minimal pulmonary vasculature enlargement._x000D_
3.This result detects a minimal to mild interstitial pulmonary pattern.  _x000D_
4.This result detects a minimal to mild, or rarely moderate bronchial pulmonary pattern._x000D_
5.Rarely, this result detects a minimal alveolar pulmonary pattern._x000D_
6.Rarely, this result detects minimal pleural fissure lines/fluid.  </t>
  </si>
  <si>
    <t>A three view thoracoabdominal study is provided for interpretation._x000D_
_x000D_
No pulmonary infiltrates or pleural effusion are identified. The cardiovascular structures are within normal limits. No foreign bodies are seen in the GI tract. There is no dilation of the stomach or intestines. Abdominal serosal detail is normal. The organs are within normal size and shape limits. No destructive or productive bone lesions are identified. No soft tissue swelling is seen.</t>
  </si>
  <si>
    <t>No significant anatomic abnormalities are identified.</t>
  </si>
  <si>
    <t>No radiographic changes that would explain the anorexia are identified. Supportive care and symptomatic therapy is recommended._x000D_
Ultrasound of the abdomen could be considered for more definitive evaluation.</t>
  </si>
  <si>
    <t>Study:_x000D_
Thoracic/abdominal radiography: three images dated December 20, 2023_x000D_
_x000D_
Findings:_x000D_
There is moderate generalized cardiomegaly (VHS approximately 8.5). The pulmonary vasculature is normal in size. The pulmonary parenchyma is unremarkable. The pleural space is normal. There is no intrathoracic lymphadenopathy. The trachea is normal in diameter. The stomach and small intestines contain unstructured heterogeneous/granular soft tissue material with interspersed stippled mineral. The small intestines are normal in size and course. The colon contains formed fecal material. The liver and spleen are normal in size and margin. The renal silhouettes are normal in size and contour. The urinary bladder is normal in size and opacity. The included thorax is normal.</t>
  </si>
  <si>
    <t>1. Moderate generalized renomegaly without evidence of decompensation. Rule out congenital heart disease (given the young age of the patient) versus hypertrophic cardiomyopathy. Echocardiography should be considered for further evaluation._x000D_
2. Postprandial gastrointestinal tract=ZZ90= otherwise, unremarkable abdomen.</t>
  </si>
  <si>
    <t>A three view thoracoabdominal study is provided for interpretation._x000D_
_x000D_
No pulmonary nodules or parenchymal infiltrates are identified. No pleural effusion is seen. There is subtle focal opacity dorsal to the second intersternebral space that is suspicious for possible mild sternal lymph node enlargement. The cardiovascular structures are within normal limits._x000D_
_x000D_
There is a large ill-defined mass effect in the cranial abdomen, and caudal deviation of the gastric axis consistent with hepatomegaly. Serosal detail elsewhere in the abdomen is mildly reduced. Subtle nodular shadows are seen within the mesenteric fat in the left caudal abdomen. There is a small focal region of irregular mineral density in the left caudal abdomen._x000D_
No destructive or productive bone lesions are identified.</t>
  </si>
  <si>
    <t>Severe liver enlargement is identified. There is a lobular mass effect associated with the caudal liver consistent with the reported diagnosis of hepatic neoplasia. There is also reduced detail in the abdomen and a subtle nodular appearance. Mild ascites is likely, and small mesenteric nodules should also be ruled out. There is also a small area of mineral density in the left caudal abdomen. This is suspected to be an incidental finding of benign mineralized granuloma, but involvement with the other suspected neoplastic changes cannot be excluded._x000D_
There is a subtle opacity in the area of the sternal lymph node suspected to represent mild sternal node enlargement. This could be a metastatic or reactive change.</t>
  </si>
  <si>
    <t>CT would be ideal to better define the subtle changes such as potential mild sternal lymph node enlargement and possible small mesenteric nodules. This would also be most definitive to rule out pulmonary nodules not visible in the radiographs.</t>
  </si>
  <si>
    <t>Study:_x000D_
Thoracic/abdominal radiography: three images dated December 20, 2023_x000D_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amount of unstructured heterogeneous soft tissue material. The small intestines are normal in size, course and content. The colon is empty. There are two mildly enlarged colic lymph nodes dorsal to the descending colon at the level of L6. The liver and spleen are normal in size and margin. The kidneys are normal in size and contour. The urinary bladder is normal in size and opacity. The osseous structures are unremarkable.</t>
  </si>
  <si>
    <t>1. Gastric contents likely represent ingesta. Foreign material cannot be excluded. There is no evidence of small intestinal mechanical obstruction or intestinal plication. Repeat fasted radiography can be considered to ensure gastric emptying. Alternatively, sonography can be considered if clinical signs persist or worsen in spite of medical management._x000D_
2. The mild colic lymphadenopathy is likely reactive. A neoplastic etiology cannot be completely excluded._x000D_
3. Normal thorax.</t>
  </si>
  <si>
    <t>3 views of the are provided for review. There is a moderate bronchial pattern in all lung lobes.  The cardiovascular structures are normal.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</si>
  <si>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WHOLE-BODY (three radiographs for review). No previous for comparison._x000D_
_x000D_
- The cardiac silhouette, pulmonary parenchyma and pleural space are normal._x000D_
- The remaining included intrathoracic structures are unremarkable._x000D_
- The spleen is moderately enlarged, with rounded margins._x000D_
- The right kidney is small and contains a solitary mineral focus within the caudal portion._x000D_
- There is desiccated fecal material in the colon._x000D_
- The liver, urinary bladder, stomach, small intestine are within normal limits._x000D_
- The included musculoskeletal structures are normal.</t>
  </si>
  <si>
    <t>1. Normal thorax._x000D_
_x000D_
2. Moderate-to-marked splenomegaly. This is atypical to see in a cat. Consider extramedullary hematopoiesis or neoplasia (e.g lymphoma, mast cell tumor). Lymphoid hyperplasia or congestion from sedation also possible. _x000D_
_x000D_
3. Chronic degenerative renal disease=ZZ90= right kidney. Single small nephrolith._x000D_
_x000D_
4. Constipation.</t>
  </si>
  <si>
    <t>A discrete radiographic cause for the reported seizure is not identified. Overt radiographic evidence of hemorrhage secondary to anticoagulant rodenticide toxicosis is not seen (e.g. effusions in the pleural space, mediastinum, peritoneal or retroperitoneal space). An abdominal ultrasound may be of utility in this patient to further assess the spleen, kidneys and colonic contents.</t>
  </si>
  <si>
    <t>Patient name: Jazz Jenkins_x000D_
THORAX (3 views, 3 images=ZZ90= [2 lateral, 1 VD])_x000D_
Images are dated December 19, 2023. _x000D_
There are no previous radiographs for comparison. _x000D_
_x000D_
Airway/Pulmonary: The lungs are adequately inflated. Diffusely throughout the lungs a mild increase in bronchial opacity is observed. No distinct soft tissue pulmonary nodules are detected.  Tracheal and mainstem bronchial diameter is normal. _x000D_
_x000D_
Cardiovascular: The cardiac silhouette is normal in size and shape.  Pulmonary vessels are normal in width. _x000D_
_x000D_
Mediastinum: No lymph node enlargement is detected.  The caudal vena cava is normal in height.  _x000D_
_x000D_
Pleural space: No pleural effusion is seen. _x000D_
_x000D_
Cranial abdomen: Visible portions of the liver, spleen, kidneys, stomach, small intestine, colon, and urinary bladder are within normal limits. _x000D_
_x000D_
Musculoskeletal: Mild smooth new bone formation is seen along the cranioventral aspect of vertebral bodies T8 and T9.  The 7th sternal segment is very small and triangular, partially fused to the 6th sternal segment.</t>
  </si>
  <si>
    <t>1) Mild diffuse bronchial pattern. Consider lower airway disease such as feline asthma, less likely bronchitis of infectious, inhaled irritant or allergic etiologies._x000D_
_x000D_
2) Unremarkable cardiac silhouette and pulmonary vasculature._x000D_
_x000D_
3) Mild hepatomegaly. DDx metabolic (vacuolar) hepatopathy, less likely cholangiohepatitis, congestion or neoplasia. If there is a history of hepatic enzyme elevation, sonographic assessment of the liver +/- FNA may be considered.</t>
  </si>
  <si>
    <t>The cause of the patient=ZZ91=s coughing is most likely related to chronic lower airway disease. Empirical treatment for asthma may provide clinical benefit. A radiographic cause for nausea is not clearly identified. Abdominal ultrasound may be of utility in this patient for further assessment of the clinical picture.</t>
  </si>
  <si>
    <t>Opposite lateral and VD thoracoabdominal views are provided for interpretation._x000D_
_x000D_
There is a moderate bronchial pulmonary pattern. Several small ill defined nodular regions are suspected, but no lesions that could be considered a discrete pathologic nodule are identified. The cardiovascular structures are within normal limits. No pleural effusion is seen._x000D_
The abdominal organs are within normal size and shape limits. No mass lesions or loss of detail are seen in the abdomen. There is normal appearing soft tissue dense ingesta in the stomach. The intestinal tract is unremarkable. Inguinal lymph nodes are slightly prominent, but not pathologically enlarged.</t>
  </si>
  <si>
    <t>There is a moderate bronchial pattern with a subtle nodular component. The overall appearance is consistent with chronic lower airway disease. Asthma would be most likely. Chronic allergic lung disease or parasitic infection such as lungworms or heartworm disease should also be ruled out. Infectious bronchitis is less likely but should still be considered if there is a persistent cough._x000D_
_x000D_
No significant abdominal abnormalities are identified._x000D_
No evidence of neoplasia or hemorrhage is seen in the thorax or abdomen.</t>
  </si>
  <si>
    <t>Immune mediated or infectious causes of thrombocytopenia should be ruled out if clinically indicated.</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</si>
  <si>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  The ventral cervical soft tissues are within normal limits._x000D_
In the abdomen, the stomach contains a minimal amount of gas and ingesta.  The small bowel is normal and uniform in diameter and contains a mild amount of gas.  A mild amount of stool is noted in the colon.  The liver and spleen are normal in size, shape, and margination.  The bilateral renal silhouettes are within normal limits.  The urinary bladder is unremarkable.  Serosal detail is normal._x000D_
No osseous abnormalities are seen.</t>
  </si>
  <si>
    <t>Radiographically normal thorax and abdomen.  The material in the stomach is nonspecific and could be associated with mild amount of fluid and mucus, food, or admixture of both.  No evidence of mechanical obstruction of the GI tract is seen.</t>
  </si>
  <si>
    <t>Supportive medical management appears appropriate.</t>
  </si>
  <si>
    <t>A three view study of the thorax is provided for interpretation._x000D_
_x000D_
The patient has obese body condition._x000D_
There is moderate ill defined increased opacity ventral cranial to the heart, and in the cranial thorax. This is significantly more prominent in the lateral views. There is mild widening of the cranial mediastinum in the VD view. The heart is surrounded by fat. The heart is within normal size and shape limits. No pulmonary infiltrates are identified. No bronchial thickening is seen. The trachea is normal.</t>
  </si>
  <si>
    <t>There is ill defined increased opacity in the cranioventral thorax and ventral to the heart. There is increased pericardial fat, and the ill defined opacity suspected to represent excess mediastinal fat secondary to the obese body condition of the patient. More significant mediastinal pathology such as inflammation or lymphoid neoplasia cannot be entirely excluded but is felt less likely._x000D_
_x000D_
The increased opacity is suspected to be mediastinal, and therefore unlikely to be related to the clinical complaint of coughing. No findings that would explain the cough/wheeze complaint are identified. Reactive lower airway disease such as asthma could still be present without significant radiographic changes.</t>
  </si>
  <si>
    <t>Symptomatic therapy for possible asthma is recommended as needed._x000D_
Recheck radiographs of the thorax to reassess the unusual opacity are recommended in 2 to 3 months, or sooner if concerning clinical signs appear.</t>
  </si>
  <si>
    <t>Patient name: Calypso Barron_x000D_
THORAX (3 views, 3 images=ZZ90= [2 lateral, 1 VD])_x000D_
Images are dated December 18, 2023. _x000D_
There are no previous radiographs for comparison. _x000D_
_x000D_
Airway/Pulmonary: The lungs are adequately inflated. The pulmonary parenchyma is normal. No distinct soft tissue pulmonary nodules are detected.  Tracheal and mainstem bronchial diameter is normal. _x000D_
_x000D_
Cardiovascular: the cardiac silhouette and pulmonary vasculature are normal._x000D_
_x000D_
Mediastinum: No lymph node enlargement is detected.  The caudal vena cava is normal in height.  _x000D_
_x000D_
Pleural space: No pleural effusion is seen. _x000D_
_x000D_
Cranial abdomen: The stomach contains a moderate volume of amorphous soft tissue contents admixed with gas, consistent with intended ingesta.  Variably the small intestines contain fluid, gas, or finely granular digesta.  No distinct abnormal intraluminal contests or regions of dilation are identified.  The kidneys are mildly small but retain smooth margins.  _x000D_
_x000D_
Musculoskeletal: An indistinctly marginated ovoid fat opacity is seen along the left caudolateral thoracic subcutaneous tissue.  Moderate smooth new bone formation is detected along the ventral and lateral aspects of vertebral bodies C2-T3, variably bridging the intervertebral disc spaces.  Moderate to severe narrowing of the intervertebral disc spaces is suspected from C3-T1 but may be over-pronounced due to patient position.  Minimal non-bridging osteophytosis is seen along the ventral aspects of vertebral bodies T7-T10.</t>
  </si>
  <si>
    <t>1. Left extra-thoracic lipomatous mass (6 x 2 cm). Most likely compatible with a lipoma, less likely infiltrative lipoma or liposarcoma._x000D_
_x000D_
2. Normal thorax, without evidence of significant radiographic intrathoracic pathology._x000D_
_x000D_
3. Multifocal chronic intervertebral disc disease and spondylosis deformans, most severe in the cervicothoracic region._x000D_
_x000D_
4. Recent meal.</t>
  </si>
  <si>
    <t>Fine needle aspiration of the left lateral thoracic mass if not already performed. A radiographic cause for chronic vomiting and respiratory stertor is not distinctly identified. For the vomiting, consider abdominal ultrasound. For respiratory stertor, cervical/thoracic CT may provide greater conspicuity of the airways.</t>
  </si>
  <si>
    <t>THORAX (three radiographs for review). No priors._x000D_
_x000D_
- Moderate diffuse bronchial pattern._x000D_
- Moderate pulmonary hyperinflation, resulting in a flattening of the diaphragm._x000D_
- Mild right-sided mediastinal shift._x000D_
- The stomach has a postprandial appearance._x000D_
- The small intestine contains mild multifocal gas._x000D_
- The colon contains formed fecal material._x000D_
- Bilaterally, the real margins are mildly irregular and a subtle mineralized focuses superimposed over the left kidney._x000D_
- Urinary bladder is normal._x000D_
- The included musculoskeletal structures are normal.</t>
  </si>
  <si>
    <t>1. Moderate diffuse bronchial pattern with pulmonary hyperinflation. Most compatible with chronic lower airway disease with secondary air-trapping. The primary differential diagnosis is feline asthma. Chronic bronchitis of infectious (e.g. parasitic, bacterial) vs. inhaled irritant or allergic etiologies may also be possible. Consider empirical treatment for asthma/chronic lower airway disease with thoracic CT and lower airway sampling for further assessment if clinically indicated._x000D_
_x000D_
2. Bilateral chronic degenerative renal disease with left nephrolith and/or dystrophic mineralization. Consider blood work to assess the kidneys values plus or minus abdominal ultrasound.</t>
  </si>
  <si>
    <t xml:space="preserve">
1.This result detects a minimal, or less commonly mild interstitial pulmonary pattern.  _x000D_
2.This result detects a mild or rarely moderate bronchial pulmonary pattern._x000D_
3.This result does not detect an alveolar pulmonary pattern._x000D_
4.This result detects equivocal/borderline to mild cardiomegaly. _x000D_
5.This result does not detect pulmonary vasculature enlargement._x000D_
6.This result does not detect pleural fissure lines/fluid.  </t>
  </si>
  <si>
    <t>Right lateral and ventrodorsal whole body radiographs (2 images) dated Dec 18, 2023._x000D_
_x000D_
_x000D_
There is pleural effusion causing rounding and retraction of the lung lobes and pleural fissure widening. The cardiac silhouette is unremarkable in size and shape. The pulmonary vasculature is normal. A gas-cavitated soft tissue nodule (1.5 cm) is present in the left caudal lung lobe. No additional pulmonary lesions are identified. There is an alveolar pattern affecting the cranial segment of the left cranial lung lobe, which may indicate atelectasis or true pulmonary infiltrate. The trachea is normal in diameter and course with gas filling its lumen. No obvious abnormalities are detected in the mediastinum. The diaphragm is normal._x000D_
The small intestine is moderately and diffusely distended with gas and has a typical broad ropelike turns in its course to give it a subjectively turgid appearance, and is more spread out throughout the peritoneal space than is typical for a cat. The kidneys measure at the lower limits of normal size and are unremarkable shape. The liver and spleen are normal in size and shape. Peritoneal detail surrounding the small intestine is subtly reduced. The urinary bladder is not included. No aggressive or clinically significant osseous pathology is identified.</t>
  </si>
  <si>
    <t>1. Pleural effusion. Rule out round cell neoplasia vs. idiopathic chylous vs. less likely right-sided heart failure or hypoproteinemia._x000D_
2. Solitary cavitated pulmonary nodule in the left caudal lung lobe. Rule out malignant neoplasia vs. granuloma or abscess._x000D_
3. The appearance of the small intestine is concerning for enteritis or flareup of a chronic enteropathy (inflammatory bowel disease or small cell lymphoma).</t>
  </si>
  <si>
    <t>CBC, chemistry, UA, T4, fecal, systemic blood pressure evaluation, abdominal ultrasound, and thoracocentesis for cytology and fluid analysis. GI blood panel could also be considered.</t>
  </si>
  <si>
    <t xml:space="preserve">
1.This result detects moderate to severe, or rarely mild cardiomegaly._x000D_
2.This result detects a minimal to severe bronchial pulmonary pattern._x000D_
3.This result detects a minimal to moderate interstitial pulmonary pattern._x000D_
4.Rarely, this result detects a minimal to mild alveolar pulmonary pattern._x000D_
5.Rarely, this result detects minimal to mild pulmonary vasculature enlargement._x000D_
6.This result detects minimal to moderate pleural fissure lines/fluid. </t>
  </si>
  <si>
    <t>WHOLE-BODY (two radiographs for review). No previous for comparison._x000D_
_x000D_
- Leftward mediastinal shift._x000D_
- Mostly right-sided, moderate pleural effusion, causing a widening of pleural visualized and retraction of the lungs in the thoracic body wall._x000D_
- Unstructured interstitial pattern in the retracted lung lobes, as well as the caudal subsegment of the left cranial lung lobe._x000D_
- Cardiac silhouette and pulmonary vasculature within normal limits._x000D_
- Remaining included intrathoracic structures unremarkable._x000D_
- Mottled loss in peritoneal serosal detail, wispy soft-tissue opacities throughout the abdomen._x000D_
- Moderate hepatomegaly._x000D_
- Marked distention of the stomach with gas._x000D_
- Mild multifocal small intestinal gas dilation._x000D_
- Spleen is unremarkable. Urinary bladder are unremarkable. Kidneys unremarkable._x000D_
- Moderate bilateral coxofemoral osteoarthritis._x000D_
- Excessive body habitus.</t>
  </si>
  <si>
    <t>1. Bicavitary effusion (moderate right-sided pleural effusion and moderate peritoneal effusion) raises confirmed for a multicentric disease process, most likely neoplasia (e.g. round cell such as lymphoma)._x000D_
_x000D_
2. Moderate hepatomegaly. DDx metabolic (vacuolar) hepatopathy vs. hepatic infiltration of neoplasia (e.g. lymphoma) or less likely cholangiohepatitis._x000D_
_x000D_
3. Aerophagia._x000D_
_x000D_
4. Bilateral coxofemoral osteoarthritis._x000D_
_x000D_
5. Excessive body habitus.</t>
  </si>
  <si>
    <t>Diagnostic thoracocentesis and abdominocentesis recommended for cytological examination. Abdominal ultrasound and/or whole body CT may be useful diagnostic modalities in this patient.</t>
  </si>
  <si>
    <t>Study:_x000D_
Thoracic radiography: three images dated December 18, 2023_x000D_
_x000D_
Findings:_x000D_
The cardiac silhouette is normal in size and shape. The pulmonic vasculature is normal in size. There is a mild generalized bronchial pulmonary pattern. The pleural space is normal. There is no intrathoracic lymphadenopathy. The trachea is normal in diameter and course. The stomach contains heterogeneous soft tissue material presumed to be ingesta. The included abdomen is otherwise unremarkable. The osseous structures are normal. The patient is of overweight body condition.</t>
  </si>
  <si>
    <t>1. The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There is no radiographic evidence of heart disease. Consider echocardiography for further evaluation of the reported heart murmur.</t>
  </si>
  <si>
    <t>Three radiographs of the thorax/abdomen are provided. The cardiac silhouette and pulmonary vessels are normal size. The lungs are clear. There is no pleural effusion. A few small gas lucencies in the dorsal left extrathoracic tissues is likely recent injection site. The caudal esophagus is transiently gas dilated, incidental. In the abdomen and serosal detail is poor consistent with moderate to severe peritoneal effusion. Mild caudal deviation of the gastric axis. Small intestines are poorly visible. There is small volume of formed feces in the distal colon. No radiopaque foreign material. Normal sized left kidney. The right kidney is reduced in size. The spleen is obscured. Round 2.2 cm soft tissue density overlying and extending ventral to the cranioventral abdominal body wall is likely a cutaneous or subcutaneous lesion and is of uncertain significance. No osseous abnormalities.</t>
  </si>
  <si>
    <t>Moderate to severe peritoneal effusion and evidence of hepatomegaly. Neoplasia is most likely. An inflammatory process or metabolic abnormality are given lesser consideration. The thorax is normal.</t>
  </si>
  <si>
    <t>Recommend abdominal ultrasound and peritoneal fluid evaluation.</t>
  </si>
  <si>
    <t>WHOLE-BODY (three radiographs for review). No previous for comparison._x000D_
_x000D_
- Prominent aortic root._x000D_
- Cardiac silhouette otherwise within normal limits for size, shape and margins._x000D_
- Pulmonary vasculature normal._x000D_
- Mild diffuse bronchial pattern._x000D_
- The remaining included intrathoracic structures are normal._x000D_
- Stomach is nondistended._x000D_
- Small intestine diffusely, moderately homogenously distended with a mixture of soft tissue and granular mineral opaque material. No segmental dilation is appreciated._x000D_
- The colon contains gas and mineralized fecal material._x000D_
- Liver, spleen, kidneys, urinary bladder within normal limits._x000D_
- Included musculoskeletal structures within normal limits.</t>
  </si>
  <si>
    <t>1. The appearance and contents of the small intestinal tract is abnormal and could reflect a diffuse, generalized functional ileus such as such as secondary to infiltrative bowel disease (e.g. IBD or lymphoma). Alternatively enteritis is possible. The mineralized contents may be an atypical ingesta such as raw food or bones. There is no evidence of small intestinal mechanical obstruction. Consider abdominal ultrasound for further assessment of these findings._x000D_
_x000D_
2. Prominent aortic root. Tends to be a incidental finding in older cats but has been associated with systemic hypertension. What pressure measurement may be considered._x000D_
_x000D_
3. Mild diffuse bronchial pattern. Consider feline asthma or chronic bronchitis.</t>
  </si>
  <si>
    <t>3 views of the thorax are provided for review.  The lung lobes are retracted from the thoracic wall and fluid is present in the pleural space.  The cardiac silhouette cannot be fully visualized due to silhouetting but appears grossly normal in size.  The visible pulmonary vasculature is normal in size.  Variably sized soft tissue nodules and masses are seen throughout the pulmonary parenchyma.  Cranial abdominal detail is adequate.  Mineral is present in the right ventral liver in the area of the gallbladder.  The right kidney is small with irregular margins.</t>
  </si>
  <si>
    <t>Pleural effusion.  Pulmonary nodules concerning for metastatic neoplasia.  Right chronic renal changes.  Nephrolithiasis.</t>
  </si>
  <si>
    <t>The cardiac silhouette and pulmonary vessels are normal size and shape. There are no abnormalities in the pulmonary parenchyma. Scant gas in the mid-thoracic esophagus, consistent with aerophagia. No significant/persistent esophageal dilation. No esophageal foreign material. The common pharyngeal region is gas dilated on the 1st lateral view, but is not persistent. This is also consistent with phase of swallowing/aerophagia. Normal tracheal diameter and position. No pleural effusion. In the abdomen there is scant gas in the stomach. There are several loops of severely gas dilated small intestine, and a few loops that are moderately filled with fluid. Large volume gas in the cecum and colon. No radiopaque foreign material or effusion. Normal-sized kidneys, spleen, liver. No osseous abnormalities.</t>
  </si>
  <si>
    <t>1. Gas dilated loops of small bowel is most likely due to aerophagia. Partial to near complete small bowel obstruction is given lesser consideration in the absence of vomiting. Otherwise normal abdomen._x000D_
2. Normal thorax.</t>
  </si>
  <si>
    <t>If the patient develops vomiting or anorexia persists, fasted abdominal ultrasound would be recommended.</t>
  </si>
  <si>
    <t>4 images of the thorax are provided for review. There is a severe bronchial pattern in all lung lobes.  The cardiovascular structures are normal.  The mediastinal and pleural structures are normal.  On multiple views, a portion of stomach extends into the caudodorsal thorax.  Cranial abdominal detail is adequate.  The kidneys are small with irregular margins.</t>
  </si>
  <si>
    <t>Severe bronchial pulmonary pattern.  Considerations include asthma, heartworm, lungworm, atypical infection, bronchitis.  Sliding hiatal hernia.  Chronic renal changes.</t>
  </si>
  <si>
    <t>Study:
Thoracic radiography: three images dated December 16, 2023
Findings:
The cardiac silhouette and pulmonary vasculature are normal in size. There is a mild caudodorsal bronchial pulmonary pattern. The pleural space is normal. There is no intrathoracic lymphadenopathy. The trachea is normal in diameter and course. The included abdomen is unremarkable. No skeletal abnormalities are present.</t>
  </si>
  <si>
    <t>Six radiographs of the thorax and abdomen are provided. There is mild cardiomegaly on all views. Pulmonary vessels are normal size. There are no abnormalities in the pulmonary parenchyma. No pleural effusion. There is hazy approximately 2.4 cm soft tissue opacity dorsal to the 2nd sternal segment on the lateral views. There is superimposed thoracic limb tissue at this level on the lateral views, and no cranial mediastinal widening on the VD projection. Normal tracheal diameter._x000D_
_x000D_
In the abdomen gas and moderate volume semi-formed feces in the colon. Small intestines are mildly filled with fluid. A few punctate mineral densities in the intestines are likely incidental. The stomach contains moderate volume soft tissue opaque ingesta. Normal-sized liver, kidneys, spleen. No radiopaque cystic calculi. Spondylosis deformans at the lumbosacral junction is likely incidental.</t>
  </si>
  <si>
    <t>1. Mild cardiomegaly most consistent with cardiomyopathy. There is no evidence of heart failure today._x000D_
2. Equivocal sternal lymphadenopathy versus superimposed thoracic limb tissue. Enlarged sternal lymph node is typically indicative of a disease process originating from the cranial abdomen._x000D_
3. Normal abdomen.</t>
  </si>
  <si>
    <t>An echocardiogram is recommended. Abdominal ultrasound and ultrasound of the region of the sternal lymph node should also be considered.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</si>
  <si>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are mildly irregular._x000D_
Urinary bladder WNL.</t>
  </si>
  <si>
    <t>1) Unremarkable lungs do not exclude a chronic lower airway disease such as asthma, chronic bronchitis or parasitic bronchitis._x000D_
2) Bilateral chronic renal changes.</t>
  </si>
  <si>
    <t>Consider empirical treatment for allergic bronchitis with deworming evaluating response to treatment. If clinical signs persist, then consider bronchoscopy with BAL, culture, cytology, Baermann test and deworming._x000D_
Consider abdominal US to further evaluate the urinary tract with renal function, UPC and urinalysis.</t>
  </si>
  <si>
    <t>Three-view thoracic radiographs. _x000D_
_x000D_
The pulmonary parenchyma is normal, with no abnormal pulmonary patterns or nodules. The cardiac silhouette and pulmonary vessels are within normal limits. There is no intrathoracic lymphadenopathy. A small volume of gas is within the esophagus at the level of the thoracic inlet. The trachea is normal. The included skeletal and superficial soft tissue structures are unremarkable.</t>
  </si>
  <si>
    <t>Normal thorax. Lower airway pathology is not identified.</t>
  </si>
  <si>
    <t>-A skull CT (pre and post-contrast) could be considered to further evaluate the upper respiratory tract. _x000D_
-Nasal sampling (e.g. swab, biopsy, flush) is recommended to guide treatment options.</t>
  </si>
  <si>
    <t>Orthogonal views of the thorax and abdomen are provided:_x000D_
_x000D_
Thorax:_x000D_
_x000D_
Cardiac silhouette has a normal shape and size._x000D_
Pulmonary vessels are within normal limits of size and shape._x000D_
Pulmonary parenchyma shows 3 sites of bronchiolar microlithiasis. No evidence of pulmonary nodules/masses._x000D_
Pleural space, mediastinum, diaphragm and thoracic wall within normal limits._x000D_
_x000D_
Abdomen:_x000D_
_x000D_
The stomach is empty._x000D_
Small intestines occupy more abdomen than expected, being are mildly gas and fluid filled, not overtly distended. No signs of mechanical ileus._x000D_
Serosal detail is preserved. In the VD view between the mesenteric border of the spleen, caudal to the fundus and lateral to the left kidney the left lobe of the pancreas is visualized with irregular borders._x000D_
Liver and spleen are within normal limits of size and smoothly marginated._x000D_
Kidneys and urinary bladder WNL._x000D_
_x000D_
L7-S1 shows end plate sclerosis with the IVDS being collapsed and with ventral spondylosis deformans.</t>
  </si>
  <si>
    <t>1) Bronchiolar microlithiasis is consistent with a chronic lower airway disease._x000D_
2) Left lobe of the pancreas: could be incidental (normal), however, with the history of vomition, rule out potential pancreatitis of this lobe._x000D_
3) Small intestines: Rule out infiltrative disease of the wall such as IBD vs small cell lymphoma._x000D_
4) L7-S1: Changes consistent with chronic IVDD. No signs of discospondylitis.</t>
  </si>
  <si>
    <t>Consider abdominal US to further evaluate causes of vomition, ideally with a linear probe to better evaluate the small intestinal wall and pancreas.</t>
  </si>
  <si>
    <t>3 views of the entire body are presented for review.  The cardiovascular and pulmonary structures are normal.  The pleural and mediastinal structures are normal.  Abdominal serosal detail is adequate in all quadrants.  The stomach contains a large amount of soft tissue material.  The small intestines are normal in size.  Gas and feces are present in the colon.  The urinary bladder is moderately distended.  The remaining abdominal organs are normal.</t>
  </si>
  <si>
    <t>Material within the stomach may represent normal ingesta or foreign material.  Consider repeat radiographs following strict fasting to determine if gastric contents persist.  Radiographically normal thorax.</t>
  </si>
  <si>
    <t>Study:_x000D_
Thoracic/abdominal radiography: three images dated December 14, 2023_x000D_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minimal gas. The small intestines are gas and fluid-filled and normal in size and course. The colon contains gas and formed fecal material. The liver and spleen are normal in size and margin. The renal silhouettes are normal in size and contour. The urinary bladder is normal in size and opacity. The osseous structures are unremarkable/age appropriate.</t>
  </si>
  <si>
    <t>1. Unremarkable abdomen. A cause of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t>
  </si>
  <si>
    <t>Study:_x000D_
Thoracic/abdominal radiography: right lateral and orthogonal views (two images dated December 14, 2023_x000D_
_x000D_
Findings:_x000D_
The cardiac silhouette and pulmonary vasculature are normal in size. There is a moderate to severe generalized bronchial pulmonary pattern. The pleural space is normal. There is no intrathoracic lymphadenopathy. The trachea is normal in diameter and course. The stomach contains recently ingested food..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</si>
  <si>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The moderate to severe generalized bronchial pulmonary pattern may indicate allergic/inflammatory bronchitis (asthma). Infectious, parasitic and irritant bronchitis are also possible. Airway sampling, heartworm testing and Baermann fecal flotation can be considered for further evaluation. Alternatively, a treatment trial for asthma can be considered._x000D_
2. Unremarkable abdomen.</t>
  </si>
  <si>
    <t>Study:_x000D_
Thoracic radiography: three images dated December 14, 2023_x000D_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included abdomen is otherwise unremarkable. No skeletal abnormalities are present.</t>
  </si>
  <si>
    <t>Normal thorax. There is no radiographic evidence of cardiopulmonary disease. A cause of the respiratory signs is not evident. Consider upper airway disease. Lack of a bronchial pulmonary pattern does not exceed the possibility of allergic, inflammatory, infectious, inhaled irritant or parasitic associated bronchitis. Airway sampling plus/minus heartworm testing and Baermann fecal flotation can be considered to further evaluate for possible lower airway disease.</t>
  </si>
  <si>
    <t>DESCRIPTION:_x000D_
_x000D_
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</si>
  <si>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Consider abdominal US to further evaluate causes of anemia with renal function test, urinalysis and UPC, also evaluating causes of vomition.</t>
  </si>
  <si>
    <t xml:space="preserve">
1.This result does not detect pulmonary vasculature enlargement._x000D_
2.This result detects equivocal/borderline to mild cardiomegaly. _x000D_
3.This result does not detect pleural fissure lines/fluid.  _x000D_
4.This result detects a minimal to mild, or rarely moderate interstitial pulmonary pattern.  _x000D_
5.This result detects a minimal to mild, or rarely moderate bronchial pulmonary pattern._x000D_
6.Rarely, this result detects a minimal to mild alveolar pulmonary pattern.</t>
  </si>
  <si>
    <t>Three radiographs of the abdomen and three views of the thorax/abdomen are provided. Images dated 3/27/23 are available for comparison. The cardiac silhouette and pulmonary vessels are normal size and shape. Fat deposition encircles the heart on the VD view. There are no abnormalities of the pulmonary parenchyma or pleural space. No esophageal dilation._x000D_
_x000D_
In the abdomen the stomach contains scant amorphous soft tissue density. Small intestines are mildly filled with fluid and small volume gas. A few punctate mineral densities are present within the small bowel. Several loops of small bowel appear clustered in the caudoventral abdomen on the 1st two lateral views, not definitively seen on the VD or last two lateral views. There is gas and moderate volume of formed feces in the colon. No radiopaque urolithiasis. Normal-sized kidneys, liver, spleen. Osseous structures are unremarkable.</t>
  </si>
  <si>
    <t>No definitive abnormalities are appreciated on the study to explain the vomiting. Scant soft tissue density in the stomach may represent residual ingesta or foreign material/trichobezoar. The appearance of bunched small bowel on the 1st two lateral views is concerning for partial obstruction, however is not persistent.</t>
  </si>
  <si>
    <t>A CBC, blood chemistry profile, supportive care, and fasted abdominal ultrasound are recommended.</t>
  </si>
  <si>
    <t>Opposite lateral and ventrodorsal thoracic radiographs (3 images) dated December 14, 2023._x000D_
_x000D_
_x000D_
The cardiac silhouette, pulmonary vasculature, and great vessels are within normal limits. The pulmonary parenchyma as subtle diffuse bronchial markings. No pulmonary nodules, infiltrates, or other pathology is detected. The pleural space and diaphragm are normal. No mediastinal abnormalities are appreciated. The trachea is normal in diameter and course with gas filling its lumen. No intrathoracic lymphadenopathy is evident._x000D_
The liver, ingesta and gas-filled stomach, cranial peritoneal detail, and the included osseous structures are unremarkable.</t>
  </si>
  <si>
    <t>No definitive abnormalities are identified to account for the coughing. The subtle bronchial markings can be normal in an older cat vs. represent mild bronchitis (rule out eosinophilic/feline asthma vs. infectious [bacterial or parasitic (including heartworm)] vs. chronic inhaled irritants).</t>
  </si>
  <si>
    <t>3 views of the entire body are presented for review.  The cardiovascular and pulmonary structures are normal.  The pleural and mediastinal structures are normal.  Abdominal serosal detail is adequate in all quadrants.  The stomach contains a small amount of gas.  The small intestines are normal in size.  Gas and feces are present in the colon.  The urinary bladder is small.  The kidneys are small with irregular margins, with best visualization of the right kidney on the VD view.  The remaining abdominal organs are normal.</t>
  </si>
  <si>
    <t>Radiographically normal thorax.  Small and irregular kidneys may indicate renal dysplasia or chronic renal changes and patient of this age.  Abdominal ultrasound, serum biochemistry, and SDMA may be helpful.  A specific cause for chronic diarrhea and more recent vomiting is not identified.  Pancreatitis or inflammatory bowel disease cannot be excluded and abdominal ultrasound may be helpful.</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</si>
  <si>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moderately distended.  The kidneys are small.  The remaining abdominal organs are normal.  1 pelvic limb has been amputated at the proximal diaphysis of the femur.</t>
  </si>
  <si>
    <t>Previous pelvic limb partial amputation.  Small kidneys suggestive of chronic renal disease.  Radiographically normal thorax for patient of this age.</t>
  </si>
  <si>
    <t>Opposite lateral and ventrodorsal whole body radiographs (4 images) dated December 13, 2023._x000D_
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mildly enlarged. The spleen is unremarkable in size and shape. Both kidneys are normal in size and shape. The urinary bladder is mildly distended with homogeneous fluid opacity. The stomach is mildly distended with heterogeneous soft-tissue content that most closely resembles partially digested food. The small intestine is unremarkable in diameter and course and contains a mixture of soft-tissue/fluid material and gas=ZZ90= multiple small bowel segments have an irregular linear coalescing gas pattern. Retroperitoneal and peritoneal detail are normal. The superficial inguinal lymph nodes are prominent in size, measuring approximately 1 cm in short axis diameter._x000D_
No aggressive or clinically significant osseous pathology is identified.</t>
  </si>
  <si>
    <t>1. The coalescing gas pattern in the small intestine is suspicious for enteritis. Rule out food allergy/intolerance vs. flareup of a chronic enteropathy (ex: IBD or GI LSA) vs. systemic/extra GI causes (liver or kidney injury/disease, pancreatitis, endocrine disorder, systemic infection, non-GI neoplasia) vs. less likely other causes._x000D_
2. Hepatomegaly. Rule out a benign metabolic/vacuolar hepatopathy vs. hepatitis/cholangiohepatitis vs. infiltrative round cell neoplasia. _x000D_
3. Unremarkable thorax.</t>
  </si>
  <si>
    <t>General health profile (CBC, chemistry, T4, FeLV/FIV/heartworm, UA, fecal) and GI blood panel to screen for underlying causes. Abdominal ultrasound to further assess the gastrointestinal tract and liver.</t>
  </si>
  <si>
    <t>THORAX (4 radiographs for review). No priors._x000D_
_x000D_
- Fairly large (2.3 x 2.2 cm), rounded soft-tissue opaque mass in the right cranial thorax._x000D_
- The cardiac silhouette, pulmonary parenchyma and pleural space are normal._x000D_
- The remaining included intrathoracic structures are normal._x000D_
- The intra-abdominal structures are within normal limits, besides mild constipation._x000D_
- There is mild thoracolumbar spondylosis deformans.</t>
  </si>
  <si>
    <t>1. Right cranial hemithoracic mass. Most likely differential diagnosis is neoplasia. Possible tissues of origin include the lung (e.g. pulmonary carcinoma) or mediastinal (mediastinal lymphoma, thymoma). Most likely the cause of the reported clinical signs. The mass appears to be fairly peripheral and is likely amenable to fine needle aspiration with ultrasound-guided sampling. Whole body CT and/or abdominal ultrasound may be considered in addition for further staging of the patient._x000D_
_x000D_
2. Mild constipation.</t>
  </si>
  <si>
    <t>It is difficult to determine whether this mass in the pulmonary parenchyma or in the mediastinum, and CT could help clarify this. It should be partially visible with ultrasound of the right cranial thoracic region.</t>
  </si>
  <si>
    <t>Three radiographs of the thorax are provided. Images dated 12/5/23 were reviewed for comparison. The cardiac silhouette is upper normal size to mildly enlarged on all views. Fat deposition encircles the heart on the VD view. Pulmonary vessels are normal size. There are faint bronchial markings in the lungs as before. No interstitial infiltrates or pleural effusion. The trachea is normal diameter. Normal cranial abdomen.</t>
  </si>
  <si>
    <t>1. This study is essentially unchanged compared to the previous radiographs. There is a mild bronchial pattern suggestive of chronic airway inflammation due to inhaled irritant/allergens. Infectious airway disease is also possible. There is no evidence of pneumonia._x000D_
2. Equivocal prominent heart, concerning for cardiomyopathy. In the absence of a murmur or arrhythmia, significance is doubtful.</t>
  </si>
  <si>
    <t>Current diagnostics are appropriate. If respiratory signs persist, airway cytology may be necessary.</t>
  </si>
  <si>
    <t>Opposite lateral and ventrodorsal whole body radiographs (3 images) dated December 12, 2023._x000D_
_x000D_
_x000D_
The cardiac silhouette, pulmonary vasculature, and great vessels are within normal limits. The pulmonary parenchyma is mostly unremarkable aside from an ovoid shaped and somewhat ill-defined soft-tissue opacity measuring 1.1 x 0.9 cm in the caudoventral lung field and superimposed with the accessory lung lobe on both lateral views, but is not visible on the VD projection. The pleural space and diaphragm are normal. No mediastinal abnormalities are appreciated. The trachea is normal in diameter and course with gas filling its lumen. No intrathoracic lymphadenopathy is evident._x000D_
The liver and spleen are unremarkable in size and shape. Both kidneys are irregular in shape, and the left kidney is small in size. The urinary bladder is mildly distended with fluid opacity and has appointed apex on the lateral views. The stomach is empty/collapse. The small intestine is unremarkable in diameter and course and predominantly contains gas, and in many instances has an irregular linear coalescing gas pattern. The colon contains a small amount of gas mixed with stool. Retroperitoneal and peritoneal detail are normal. No regional lymphadenopathy is evident._x000D_
There is caudal lumbar and lumbosacral spondylosis, as well as L5-L6 disc space narrowing. Both stifles have multiple irregular free osseous bodies with the stifle joint.</t>
  </si>
  <si>
    <t>1. Small left kidney and bilaterally irregular kidneys are findings most consistent with chronic renal disease. Correlation with renal blood work and urinalysis is needed to determine significance._x000D_
2. The appearance of the intestine is suspicious for enteritis._x000D_
3. Pointed apex of the urinary bladder may indicate a urachal remnant or prominent urachal ligament. Clinical significance of this finding is unknown._x000D_
4. Ill-defined ovoid soft-tissue opacity superimposed with the accessory lung lobe on both lateral views. This could represent pulmonary consolidation due to underlying airway disease or a nodule (neoplasia, abscess, granuloma)._x000D_
5. Bilateral stifle osteoarthritis and L5-L6 vertebral disc disease.</t>
  </si>
  <si>
    <t>CBC, chemistry, UA, thyroid, fecal, systemic blood pressure evaluation._x000D_
Supportive care with fluids, antiemetics, gastroprotectants/omeprazole, and appetite stimulant if needed. _x000D_
Abdominal ultrasound may provide more information.</t>
  </si>
  <si>
    <t>Study:_x000D_
Thoracic/abdominal and thoracic limb radiography: six images dated December 12, 2023_x000D_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The small intestines are normal in size, course and content. The colon contains gas and a small amount of poorly formed fecal material. The liver and spleen are normal in size and margin. The kidneys are normal in size and contour. The urinary bladder is normal in size and opacity. Suture material is present in the ventral abdominal body wall. There is mild to moderate multifocal thoracolumbar spondylosis deformans. There is mild left elbow periarticular bone formation. A discrete osseous body is present adjacent to the cranioproximal aspect of the radial head. This finding is not bilateral. There is no evident joint swelling. The thoracic limb superficial soft tissues are bilaterally symmetric.</t>
  </si>
  <si>
    <t>1. Left elbow osteoarthrosis. The osseous body adjacent to the left radial head likely represents an osteophyte. While this finding is in the region of the sesamoid of the supinator muscle (normal variant), the fact that the finding is not bilateral would make this a less likely differential. Orthopedic consultation computed tomography of the forelimbs can be considered if the lameness persists in spite of activity restriction and pain management._x000D_
2. Unremarkable abdomen. A cause of the reported diarrhea is not evident. Abdominal sonography can be considered for further evaluation of the nuchal signs persist or worsen in spite of medical management._x000D_
3. Normal thorax.</t>
  </si>
  <si>
    <t>Four orthogonal radiographs of the abdomen dated 12 December 2023 are available for review. There are no previous radiographs available for comparison. _x000D_
_x000D_
Intra-abdominal findings: Within the stomach there is a mild amount of granular material. The gastric axis is normal. The duodenum is not dilated. The small intestines are mild to moderately dilated with a mixture of gas and fluid/soft tissue opaque material. The small intestinal loops are stacked, with a concertina and comma shaped appearance. Within the small intestinal lumina several linear soft tissue opaque foreign bodies are seen (likely plastic wire). The descending colon contains formed faeces. The hepatic silhouette is normal in shape and size. The spleen has a normal position, outline and size. The kidneys are partially obscured by gastrointestinal contents, but the visible aspects are normal. The urinary bladder is normal in size and outline._x000D_
_x000D_
Extra-abdominal findings:  No significant abnormalities are detected. _x000D_
_x000D_
Included thorax:  No significant abnormalities are detected.</t>
  </si>
  <si>
    <t>Non-radiopaque likely plastic linear foreign body is present in the small intestines.</t>
  </si>
  <si>
    <t>Confirmation with abdominal ultrasound is advised, alternatively consider an explorative laparotomy after adequate stabilisation.</t>
  </si>
  <si>
    <t>A three view study of the thorax is provided for interpretation._x000D_
_x000D_
The cardiovascular structures are within normal limits. Bronchial markings are slightly increased relative to the young age of the patient. This is a subtle change. No alveolar infiltrates are identified. No thoracic lymphadenopathy or pleural effusion is seen. The trachea is normal. The cranial abdominal organs are unremarkable.</t>
  </si>
  <si>
    <t>No significant thoracic abnormalities are identified._x000D_
Bronchial markings are slightly increased, but the appearance is equivocal. This could be seen as a normal variant or associated with mild lower airway inflammation. No findings convincing for pneumonia, pleuritis, or other pathology that would explain the fever are identified. Viral disease could still be present without significant radiographic changes.</t>
  </si>
  <si>
    <t>Symptomatic therapy and supportive care is recommended._x000D_
CBC and serum chemistry, and urinalysis is also be considered.</t>
  </si>
  <si>
    <t xml:space="preserve">
1.This result detects equivocal/borderline to mild cardiomegaly. _x000D_
2.This result detects a minimal to mild interstitial pulmonary pattern.  _x000D_
3.This result detects a mild to moderate bronchial pulmonary pattern._x000D_
4.This result does not detect an alveolar pulmonary pattern._x000D_
5.This result does not detect pulmonary soft tissue nodules._x000D_
6.This result does not detect pulmonary vasculature enlargement._x000D_
7.This result does not detect pleural fissure lines/fluid.  </t>
  </si>
  <si>
    <t>THORAX and FORELIMBS (seven radiographs for review). No priors._x000D_
_x000D_
- Mild pulmonary hyperinflation, resulting in a flattening of the diaphragm._x000D_
- Mild diffuse bronchial pattern._x000D_
- Cardiac silhouette and pulmonary parenchyma normal._x000D_
- The remaining included thoracic structures normal._x000D_
- Cranial abdominal structures unremarkable._x000D_
- Mild bony remodeling at the medial epicondyle of the humerus bilaterally. Otherwise the elbow joints, shoulder joints and included portions of the carpi are normal._x000D_
- The soft-tissue and remaining osseous musculoskeletal structures are normal.</t>
  </si>
  <si>
    <t>1. Mild pulmonary hypoinflation with mild diffuse bronchial pulmonary pattern is supportive of chronic lower airway disease with air-trapping. The most likely differential diagnosis is feline asthma, however chronic bronchitis of infectious, allergic or inhaled irritant etiologies are possible._x000D_
_x000D_
2. Mild remodeling at the medial humeral epicondyle bilaterally could be compatible with early/mild epicondylitis/flexor enthesopathy. Otherwise, a good radiographic explanation for the patient=ZZ91=s lameness/pain is not identified in no discrete osteoarthritis is localized.</t>
  </si>
  <si>
    <t>Consider empirical treatment for chronic feline lower airway disease. If the patient does not respond as expected, thoracic CT and lower airway sampling may be reasonable._x000D_
_x000D_
A distinctly obvious radiographic cause for the reported pain in the forelimbs is not clearly identified. If the patient does not respond to traditional medical management and or further assessment, orthopedic CT and/or consultation with a sports medicine specialist may be considered.</t>
  </si>
  <si>
    <t>Patient Name: Cleo Jones, Date of Study 12/12/2023. Feline Thorax (4 Images) - 1 VD =ZZ96= 3 Laterals. There are no previous radiographs for comparison._x000D_
_x000D_
Thorax:_x000D_
Airway/pulmonary: A diffuse bronchial pattern is present along with lobar bronchial dilation in the cranial thorax and a mixed bronchointerstitial pulmonary pattern is present in the caudodorsal thorax. Mild hyperinflation of the caudal lung lobe is also present on the left lateral projection time stamped 10:26:41 AM. Within the caudal lung lobe on the lateral projections are several round soft tissue opacities in the caudodorsal thorax. Also on this left lateral projection are thin walled, cavitary regions consistent with gas filled bulla. On the VD projection, there is opacification of the entire left lung and a lucent appearance to the entire right lung. There is also a lobar margin and increased opacity with an air bronchogram affecting the accessory lung lobe. The accessory lung lobe opacity obscures CVC visualization on all lateral projections. _x000D_
_x000D_
Cardiovascular: The cardiac silhouette is small. On the VD projection, the cranial and caudal pulmonary arteries have asymmetric size with enlargement to the left pulmonary vasculature and decreased size and reduced visualization to the right pulmonary vasculature. The pulmonary changes to the left lung are resulting in increased opacity to the left cranial and caudal lung lobes._x000D_
_x000D_
Mediastinum: A soft tissue opacity is noted dorsal to the trachea and carina on the lateral projection concerning for regional lymph node enlargement._x000D_
_x000D_
Pleural space: Rounding to the caudal lung lobes is present on the VD projection, right more than left. _x000D_
_x000D_
Cranial abdomen: The liver is mildly enlarged but retains a smooth margin. Cranial abdominal detail is normal._x000D_
_x000D_
Msk: Normal</t>
  </si>
  <si>
    <t>1) Asymmetric pulmonary circulation. Under circulation affecting the right lung and compensatory overcirculation of the left lung. An extraluminal cause compressing the right main pulmonary artery and causing the accessory lung atelectasis is a primary consideration. Congenital hypoplasia of the right pulmonary artery and hypoplasia or bronchial plug of the accessory lung lobe bronchus is a secondary consideration. Intraluminal causes would be a thrombus (bacterial) or other cause for thrombus development or a hypercoagulable disease but an intraluminal cause would not explain the accessory lung lobe collapse. Heartworm disease obstructing the right main pulmonary artery and causing the concurrent lung changes is unlikely given the cat=ZZ91=s age and CA location, but not excluded. _x000D_
2) Left sided microcardia. Right heart enlargement. Pulmonary hypertension causing the right heart enlargement and decreased preload of the left heart are most likely._x000D_
3) Scant pleural fluid. Mild hepatomegaly. Rule out right heart failure._x000D_
4) Soft tissue opacity craniodorsal to the carina. Ddx: enlarged main pulmonary artery vs. lymph node enlargement.</t>
  </si>
  <si>
    <t>Both cardiac ultrasound and thoracic CT are recommended to further assess this case.
(amended on 12/13/2023 12:47)
Dr. Vito. This is an interesting case. Please let me know if you get a diagnosis on this case. Regards, Seth</t>
  </si>
  <si>
    <t>Three radiographs of the thorax are provided. The abdomen is included on two views. The cardiac silhouette and pulmonary vessels are normal size. There is a mild mixed bronchointerstitial pattern throughout the lungs. There is a well-defined round 0.8 cm increased opacity overlying the caudoventral lung/liver on the right lateral view, faint curved 0.8 cm soft tissue density in the right 12th intercostal space and in the left 9th intercostal space on the VD projection. A few additional suspect faint pulmonary nodules throughout the lungs. No pleural effusion or intrathoracic lymphadenomegaly. Cubital osteoarthrosis noted. In the abdomen there is no effusion or organomegaly. The gastrointestinal tract is minimally filled. No radiopaque cystic calculi. Several soft tissue opaque cutaneous masses measuring up to 2.9 cm in ventral extra-abdominal tissues, consistent with the reported mammary carcinoma.</t>
  </si>
  <si>
    <t>1. Pulmonary metastatic disease. Mixed bronchointerstitial pattern in the remaining lungs suggestive of chronic airway inflammation._x000D_
2. Abdominal mammary masses._x000D_
3. No intra-abdominal abnormalities.</t>
  </si>
  <si>
    <t>THORAX and ABDOMEN, six images dated December 11, 2023._x000D_
_x000D_
There is significantly increased subcutaneous and intra-abdominal fat. The cardiovascular structures and pulmonary parenchyma are within normal limits. The pleural and mediastinal spaces are within normal limits. No intrathoracic lymphadenopathy is seen. There is a small amount of gas in the stomach. The small intestines are a combination of gas-filled and fluid-filled/collapsed, and all are within normal limits in diameter. The colon contains a combination of gas and granular fecal material. The remainder of the abdomen is unremarkable. There is a transitional L7.</t>
  </si>
  <si>
    <t>Unremarkable thorax and abdomen aside from increased fat. Consideration given to underlying bowel disease.</t>
  </si>
  <si>
    <t>Consider abdominal ultrasound and submission of a gastrointestinal panel._x000D_
_x000D_
_x000D_
_x000D_
_x000D_
NOTE: There is human anatomy in the primary beam.</t>
  </si>
  <si>
    <t>Study:_x000D_
Thoracic/abdominal radiography: four images dated December 11, 2023_x000D_
_x000D_
Findings:_x000D_
The cardiac silhouette is normal in size and shape. There is an approximately 3 cm round soft tissue opaque mass in the cranial segment of the left cranial lung lobe. There is a mild amount of stippled mineral within the mass. The mass appears to extend to the periphery of the lung lobe. The remaining lung fields are clear. The pleural space is normal. There is no intrathoracic lymphadenopathy. The trachea is normal in diameter. The abdominal serosal detail is normal. The stomach contains a small volume of gas. The small intestines are normal in size, course and content. The colon contains formed fecal material. The liver and spleen are normal in size and margin. The renal silhouettes are normal in size and contour. There are two punctate mineral foci in the right kidney. The only bladder is normal in size and opacity. There is narrowing of the L7-S1 intervertebral disc space with sclerotic endplates and mild spondylosis deformans. The patient is of overweight body condition.</t>
  </si>
  <si>
    <t>1. Left cranial lung lobe mass. Primary pulmonary neoplasia is prioritized. A pulmonary abscess or granuloma cannot be excluded. As the mass appears to extend to the periphery of the lung lobe, thoracic sonography plus/minus tissue sampling can be considered for further evaluation._x000D_
2. The mineral opacities in the right kidney may indicate nephrolithiasis and/or nephrocalcinosis. The remainder the abdomen is unremarkable._x000D_
3. Chronic lumbosacral intervertebral disease.</t>
  </si>
  <si>
    <t>A three view study of the thorax is provided for interpretation._x000D_
_x000D_
The trachea has smooth walls and normal uniform diameter. Bronchial markings in all lung fields are mildly increased, which appears to be primarily due to to patchy bronchial wall mineralization. The cardiovascular structures are within normal limits. No alveolar infiltrates or pleural effusion are identified. There is subtle increased opacity at the cranial aspect of the heart in the lateral views suspected to represent residual thymus tissue.</t>
  </si>
  <si>
    <t>There is mild pulmonary mineralization which is slight more prominent than expected for the age of the patient. This could still be a benign variant, or associated with chronic inflammation. Clinical relevance is limited if the clinical signs are short-term._x000D_
No findings convincing for active pulmonary infectious disease or tracheal or esophageal pathology are identified.</t>
  </si>
  <si>
    <t>Symptomatic therapy is recommended. Additional workup with CBC, heartworm testing, and Baermann fecal exam for lungworms is recommended if clinical signs persist.</t>
  </si>
  <si>
    <t>Study:_x000D_
Thoracic/abdominal radiography: three images dated December 10, 2023_x000D_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The small intestines contain fluid and smoothly marginated fragmented gas. The colon contains gas and poorly formed fecal material. The liver and spleen are normal in size and margin. The renal silhouettes are normal in size and contour. The left lobe of the pancreas is incidentally visualized superimposed with the left kidney and is normal in thickness. The urinary bladder is normal in size and opacity. There is a small mineral opacity in the mesentery of the left caudal abdomen consistent with an incidental Bates bodies (nodular fat necrosis. Suture material is present in the caudoventral abdominal body wall. There is narrowing of the lumbosacral intervertebral disc space with moderate spondylosis deformans.</t>
  </si>
  <si>
    <t>1. Gastric contents likely represent ingesta. Foreign material cannot be completely excluded. The smoothly marginated fragmented gas pattern seen in the small intestines can be an indicator of nonspecific enteritis. There is no evidence of small intestinal mechanical obstruction. Repeat fasted radiography can be considered to ensure gastric emptying if clinically relevant based on recent dietary history. Alternatively, sonography can be considered if clinical signs persist or worsen in spite of medical management._x000D_
2. The generalized bronchial pulmonary pattern may indicate allergic/inflammatory bronchitis (asthma). Infectious, parasitic and irritant bronchitis are also possible. Airway sampling, heartworm testing and Baermann fecal flotation can be considered for further evaluation._x000D_
3. There is no radiographic evidence of heart disease. Consider echocardiography for further evaluation of the reported heart murmur._x000D_
4. Chronic lumbosacral intervertebral disc disease.</t>
  </si>
  <si>
    <t>Three radiographs of the thorax/abdomen are provided. There is moderate volume pleural fluid. This obscures the heart on both of the lateral views, however the heart is partially visible on the VD projection and does not appear to be enlarged. Pulmonary vessels are normal size. Lung margins are retracted and mildly rounded. Tracheal diameter is adequate. No rib lesions. Small volume gas in the dorsolateral left extrathoracic tissues, presumably due to recent subcutaneous fluid administration. In the abdomen there is moderate volume peritoneal fluid. The spleen is mildly enlarged. Normal size kidneys and liver. The gastrointestinal tract is minimally gas-filled, but poorly delineated due to the effusion. Degenerative change at L7-S1.</t>
  </si>
  <si>
    <t>Moderate pleural and peritoneal effusion, with mild splenomegaly. Neoplasia such as lymphoma is of concern. An inflammatory process or metabolic abnormality are next on the differential list. There is no convincing evidence of cardiovascular disease.</t>
  </si>
  <si>
    <t>Ultrasound evaluation of the pleural space, diagnostic and therapeutic pleurocentesis is recommended initially. Abdominal ultrasound should also be considered.</t>
  </si>
  <si>
    <t xml:space="preserve">
1.This result detects mild to severe cardiomegaly._x000D_
2.This result detects minimal to severe pleural fissure lines/fluid._x000D_
3.Rarely, this result detects minimal to moderate pulmonary vasculature enlargement.  _x000D_
4.This result detects a mild to severe interstitial pulmonary pattern._x000D_
5.This result detects a mild to severe bronchial pulmonary pattern._x000D_
6.This result detects a minimal to moderate alveolar pulmonary pattern.</t>
  </si>
  <si>
    <t>Thoracic and whole body radiographs (6 images) dated December 11, 2023._x000D_
_x000D_
The cardiac silhouette is mildly tall and widened. The pulmonary vasculature and great vessels are within normal limits. The lungs are poorly inflated with a generalized unstructured interstitial pattern. No pulmonary nodules masses are identified. No intrathoracic lymphadenopathy is evident. The trachea is normal in diameter and contains gas. The pleural space, mediastinum, and diaphragm are normal._x000D_
The liver is enlarged. The spleen is also larger the visible tail on the lateral views. The stomach contains a small and gas. The small intestine is unremarkable in size, course, and content. The colon contains normal appearing stool and has a normal course. Both kidneys are unremarkable in size and shape. The urinary bladder is partially included and is mildly fluid-filled. Retroperitoneal and peritoneal detail are normal. No regional lymphadenopathy is evident._x000D_
No aggressive or clinically significant osseous pathology is identified. There is the impression of heterogeneous soft-tissue mix of gas in the inguinal region on the included lateral view.</t>
  </si>
  <si>
    <t>1. Prominent cardiac silhouette could be incidental from sedation or other physiologic causes (such as anemia if applicable). A primary or thyrotoxic cardiomyopathy is also possible. There is no evidence of heart failure._x000D_
2. Pulmonary hypoinflation is suspected to be an indication of sedation. There is no radiographic evidence of metastatic neoplasia in the thorax._x000D_
3. Splenomegaly. Rule out benign causes (sedation if applicable, extramedullary hematopoiesis, lymphoid hyperplasia) vs. infiltrative round cell neoplasia vs. infectious splenitis (FIP, Mycoplasma, histoplasmosis)._x000D_
4. Mild hepatomegaly. This could represent a benign metabolic/vacuolar hepatopathy (such as lipidosis) vs. hepatitis/cholangiohepatitis vs. infiltrative round cell neoplasia or FIP._x000D_
5. Irregular soft-tissue and gas in the inguinal region may represent a recent biopsy performed vs. the mammary tumor with gas in it from necrosis.</t>
  </si>
  <si>
    <t>The cardiac Pro BNP testing, T4 testing, and abdominal ultrasound to further evaluate the liver and spleen (especially if not sedated), and to sonographic examine the superficial inguinal and medial iliac lymph nodes for regional metastatic disease._x000D_
CBC, chemistry, UA, FeLV/FIV, fecal, and systemic blood pressure evaluation as a general health profile.</t>
  </si>
  <si>
    <t>1) Generalized bronchial pattern is compatible with a chronic lower airway disease such as asthma vs feline allergic bronchitis vs bronchitis of parasitic origin.</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</si>
  <si>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Left kidney is irregular.</t>
  </si>
  <si>
    <t>1) Unremarkable thorax without signs of pulmonary metastases nor signs of thoracic lymphadenopathy._x000D_
2) Left renal chronic changes.</t>
  </si>
  <si>
    <t>Consider abdominal US to further evaluate the urinary tract with renal function test, urinalysis, UPC and urine culture.</t>
  </si>
  <si>
    <t>Opposite lateral and ventrodorsal thoracic radiographs (3 images) dated December 9, 2023._x000D_
_x000D_
The cardiac silhouette is enlarged, characterized by dorsal deviation of the trachea, spanning more than 2.5 intercostal spaces in craniocaudal length, and slight flattening along the region of the left Oracle on the right lateral view. The pulmonary vasculature and the aorta are within normal limits. The caudal vena cava measures at the upper limits of normal size on the lateral views.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mostly gas-filled stomach, and cranial peritoneal detail are normal. The kidneys are best visualized on the VD projection, where they appear unremarkable in size and shape._x000D_
No aggressive osseous lesions are identified. The elbows have advanced periarticular bony remodeling and free osseous bodies affecting them.</t>
  </si>
  <si>
    <t>1. Mild generalized cardiomegaly. Rule out a thyrotoxic or primary cardiomyopathy vs. left ventricular hypertrophy secondary to systemic hypertension. DCM is unlikely. There is no evidence of heart failure._x000D_
2. Advanced elbow osteoarthritis.</t>
  </si>
  <si>
    <t>Treatment for hyperthyroidism and schedule an echocardiogram._x000D_
Consider antihypertensive treatment.</t>
  </si>
  <si>
    <t xml:space="preserve">
1.This result detects a minimal, or rarely mild interstitial pulmonary pattern.  _x000D_
2.This result detects a minimal to mild, or rarely moderate bronchial pulmonary pattern._x000D_
3.This result does not detect an alveolar pulmonary pattern._x000D_
4.This result detects mild cardiomegaly. _x000D_
5.This result does not detect pulmonary vasculature enlargement._x000D_
6.Rarely, this result detects minimal pleural fissure lines/fluid.  </t>
  </si>
  <si>
    <t xml:space="preserve">
1.This result detects a minimal to mild or rarely moderate bronchial pulmonary pattern._x000D_
2.This result detects a minimal to mild or rarely moderate interstitial pulmonary pattern._x000D_
3.Rarely, this result detects a minimal to mild alveolar pulmonary pattern._x000D_
4.Rarely, this result detects minimal pleural fissure lines._x000D_
5.This result detects mild to moderate, or rarely severe cardiomegaly.</t>
  </si>
  <si>
    <t>A two view thoracoabdominal study is provided for interpretation._x000D_
_x000D_
There is a moderate bronchial pulmonary pattern. The appearance is actually slightly less prominent than what was seen in previous radiographs dated 3-13-23. There is a triangular smoothly marginated opacity along the lobar margin in the right middle lung field compatible with atelectasis of the right middle lobe. This was also present previously. No active appearing alveolar infiltrates are identified. The trachea has smooth walls and normal uniform diameter. The spleen is prominent in the VD view, but not visible in the lateral view. The other abdominal organs are within normal limits.</t>
  </si>
  <si>
    <t>There is a diffuse bronchial pattern and atelectasis involving the right middle lung lobe. These findings are typical of chronic lower airway disease such as asthma. No changes are concerning for pneumonia or neoplasia are identified._x000D_
Infectious bronchitis cannot be entirely excluded but is not felt likely based on the radiographic appearance. Parasitic infection such as heartworm disease or lungworms should also be ruled out.</t>
  </si>
  <si>
    <t>Sampling from the lower airways via BAL/TTW should be considered for cytology and culture.</t>
  </si>
  <si>
    <t>3 images views of the abdomen are provided for review.  Serosal detail is adequate in all quadrants.  The stomach contains a moderate amount of gas and the rugal folds are prominent.  The small intestines are normal in size.  Gas and feces present in the colon.  The urinary bladder is small.  The remaining abdominal organs are normal.</t>
  </si>
  <si>
    <t>Prominent rugal folds suggestive of gastritis.  This does not rule out underlying pancreatitis or infiltrative neoplasia.</t>
  </si>
  <si>
    <t>A three view study of the thorax that includes the cranial abdomen is provided for interpretation._x000D_
_x000D_
There is a mild diffuse bronchial pulmonary pattern. The thorax is moderately hyperinflated. No tracheal abnormalities are seen. There is a small quantity of gas in the esophagus. The right cranial and caudal lobe pulmonary arteries are slightly prominent. The heart is within normal size and shape limits. No abdominal abnormalities are identified.</t>
  </si>
  <si>
    <t>There is a mild bronchial pattern and moderate thoracic hyperinflation. The findings are typical of asthma as a likely explanation for the clinical signs. Upper airway obstruction can also cause hyperinflation, so swelling or infiltration involving the larynx should also be ruled out if clinically indicated._x000D_
Heartworm disease or lungworms also be ruled out.</t>
  </si>
  <si>
    <t>CBC, heartworm testing, and Baermann fecal exam for lungworms is recommended._x000D_
Sedated laryngeal/pharyngeal exam may also be indicated depending on clinical findings and suspicion.</t>
  </si>
  <si>
    <t>Opposite lateral and VD views of the thorax and abdomen are provided for interpretation._x000D_
_x000D_
Thorax: There is a ill-defined increased soft-tissue opacity in the cranial ventral thorax just cranial to the cardiac silhouette. This is visible in both lateral views but not in the VD view, and is suspected to be in the mediastinum. No pulmonary infiltrates or bronchial thickening identified. No pleural effusion is seen. The cardiovascular structures are within normal limits. The trachea has smooth walls and normal uniform diameter._x000D_
_x000D_
There is a moderate increase in gas throughout the intestinal tract. The descending colon appears moderately hyperperistaltic. There is normal appearing ingesta in the stomach. The spleen is slightly enlarged. The other abdominal organs are within normal size and shape limits. Serosal detail is normal._x000D_
_x000D_
L7 is a transitional vertebra, with partial sacral characteristics. No destructive or productive bone lesions are seen.</t>
  </si>
  <si>
    <t>No tracheal or pulmonary abnormalities identified that would account for the coughing. Reactive lower airway disease such as asthma could still be present without significant radiographic changes. Laryngeal/pharyngeal pathology should also still be ruled out if clinically indicated._x000D_
_x000D_
The ill-defined opacity seen in the cranial ventral thorax is suspected to be an artifact caused by mediastinal fat deposition in this area. This is not definitive. Mild thymic enlargement from early neoplasia involving the thymus cannot be excluded._x000D_
_x000D_
The gassy appearance of the intestinal tract is likely incidental secondary to aerophagia. Aerophagia is not necessarily indicative of pathology, but can sometimes be secondary to an upper airway abnormality involving the larynx or pharynx._x000D_
Enteritis should also still be ruled out if warranted by relevant clinical signs.</t>
  </si>
  <si>
    <t>The opacity in the cranial ventral thorax is suspected to be incidental. CT would be ideal for more definitive evaluation. This is not likely to be associated with the coughing due to suspected mediastinal location._x000D_
Symptomatic therapy for probable asthma is recommended._x000D_
Sedated laryngeal/pharyngeal exam should also be considered depending on clinical suspicion.</t>
  </si>
  <si>
    <t xml:space="preserve">
1.This result detects equivocal/borderline to mild cardiomegaly. _x000D_
2.This result does not detect pulmonary vasculature enlargement._x000D_
3.This result does not detect pleural fissure lines/fluid.  _x000D_
4.This result detects a minimal to mild interstitial pulmonary pattern.  _x000D_
5.This result detects a minimal to mild bronchial pulmonary pattern._x000D_
6.This result does not detect an alveolar pulmonary pattern._x000D_
7.This result does not detect pulmonary soft tissue nodules.</t>
  </si>
  <si>
    <t>Study:_x000D_
Thoracic radiography: four images dated December 8, 2023_x000D_
_x000D_
Findings:_x000D_
The cardiac silhouette and pulmonary vasculature are normal in size. There is a mild generalized bronchial pulmonary pattern. There is an indistinct approximately 3 cm soft tissue opaque mass with the gas lucent center in the left caudal lung lobe. The pleural space is normal. There is no intrathoracic lymphadenopathy. The trachea is normal in diameter. The included abdomen is normal. No skeletal abnormalities are present.</t>
  </si>
  <si>
    <t>1. Cavitated left caudal lung lobe mass. Rule out primary pulmonary neoplasia (carcinoma) or pulmonary abscess. Computed tomography of the thorax in lung lobectomy can be considered._x000D_
2. The generalized bronchial pulmonary pattern may indicate allergic/inflammatory bronchitis (asthma). Infectious, parasitic and irritant bronchitis are also possible. Airway sampling, heartworm testing and Baermann fecal flotation can be considered for further evaluation.</t>
  </si>
  <si>
    <t>Study:_x000D_
Thoracic/abdominal radiography: two images dated December 8, 2023_x000D_
_x000D_
Compared to prior study dated September 18, 2023_x000D_
_x000D_
Findings:_x000D_
The cardiac silhouette and pulmonary vasculature are normal in size. There is a severe generalized bronchial pulmonary pattern. This finding is progressive from the prior exam. There also multifocal patchy unstructured interstitial to alveolar infiltrates throughout the lung fields.. The pleural space is normal. There is no intrathoracic lymphadenopathy. The trachea is normal in diameter and course. The abdomen is distended with severely reduced peritoneal detail secondary to a large volume peritoneal effusion. The severity of the effusion limits evaluation of the abdominal viscera. The stomach is empty. There is no small intestinal dilation. The colon contains a small volume of gas and a small amount formed fecal material. There is no overt hepatomegaly or splenomegaly. The renal silhouettes are normal in size and contour. The urinary bladder is normal in size and opacity. The osseous structures are unremarkable/age appropriate.</t>
  </si>
  <si>
    <t>1. Severe nonspecific peritoneal effusion. A cause is not radiographically evident. Recommend abdominal sonography with abdominocentesis and fluid analysis plus/minus FIP PCR testing for further evaluation._x000D_
2. The generalized bronchial pulmonary pattern may indicate allergic/inflammatory bronchitis (asthma). Infectious, parasitic and irritant bronchitis are also possible. Airway sampling, heartworm testing and Baermann fecal flotation can be considered for further evaluation._x000D_
3. The concurrent patchy interstitial to alveolar infiltrates may indicate bronchopneumonia, pneumonitis noncardiogenic pulmonary edema.</t>
  </si>
  <si>
    <t>Opposite lateral and ventrodorsal thoracic radiographs (3 images) dated December 8, 2023._x000D_
_x000D_
_x000D_
The cardiac silhouette, pulmonary vasculature, and great vessels are within normal limits. The pulmonary parenchyma is unremarkable with no nodules, infiltrates, or other pathology detected. The pleural space is unremarkable. No mediastinal abnormalities are appreciated. The trachea is normal in diameter and course with gas filling its lumen. No intrathoracic lymphadenopathy is evident. The diaphragm is normal on the lateral views, and on the VD projection there is evidence of diaphragmatic tenting._x000D_
No aggressive or clinically significant osseous pathology is identified.</t>
  </si>
  <si>
    <t>1. Diaphragmatic tenting is an indication of pulmonary hyperinflation. It is unclear if this is due to gas trapping from bronchiolitis that is insensitive to radiographic detection vs. from other causes._x000D_
2. Thorax is otherwise unremarkable.</t>
  </si>
  <si>
    <t>Sedated upper airway exam +/- head/nasal CT. If normal:_x000D_
Airway sampling may be needed for definitive diagnosis (bronchoalveolar lavage or transtracheal wash).  Heartworm testing and fecal parasite screening (float and Baermann).  Empirical anti-inflammatory steroidal therapy is reasonable to consider.  Internal medicine consultation if the patient remains clinical despite treatment and the cause remains unknown.</t>
  </si>
  <si>
    <t>Three radiographs of the thorax and three views of the abdomen are provided. Images dated January 22, 2021 were reviewed for comparison. The cardiac silhouette and pulmonary vessels are normal size and shape. There are a few faint bronchial markings in the periphery, similar to the previous study. There is no pleural effusion or intrathoracic lymphadenomegaly. Normal tracheal diameter and plane of the esophagus._x000D_
_x000D_
In the abdomen moderate volume of formed feces fills the colon. Small intestines are minimally distended with fluid and gas. Small volume gas in the stomach. No radiopaque foreign material. Normal-sized liver, kidneys, spleen. The urinary bladder is mildly filled, with no radiopaque cystic calculi. Osseous structures are unremarkable.</t>
  </si>
  <si>
    <t>Faint bronchial markings as before, suggestive of airway inflammation. Since the patient has no history of respiratory signs, this is incidental. Otherwise the thorax and abdomen are normal. The reason for the vomiting is not identified. Gastroenteritis secondary to dietary indiscretion is suspected. There is no evidence of an obstructive process. Small radiolucent gastric foreign material is not definitively ruled out. There is no urinary obstruction.</t>
  </si>
  <si>
    <t>Routine blood work is recommended. If vomiting persists despite supportive care, strictly fasting abdominal ultrasound should be considered. If not available, a positive contrast gastrogram is another option to rule out gastric foreign material.</t>
  </si>
  <si>
    <t>Study:_x000D_
Thoracic/abdominal radiography: three images dated December 7, 2023_x000D_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with no peritoneal effusion present. The stomach contains a small volume of gas. The small intestines are normal in size, course and content. The colon contains gas and formed fecal material. The liver and spleen are normal in size and margin. The renal silhouettes are normal in size and contour. The left lobe of the pancreas is incidentally visualized between the spleen/left kidney on the VD view and is normal in thickness. The urinary bladder is normal in size and opacity. No skeletal abnormalities present. There is subcutaneous emphysema along the caudodorsal thorax from prior subcutaneous fluid administration. The osseous structures are unremarkable/age appropriate.</t>
  </si>
  <si>
    <t>1. Normal thorax. There is no radiographic evidence of cardiopulmonary disease.  There is no pleural effusion. A cause of the respiratory signs is not evident. Lack of a definitive bronchial pulmonary pattern does not exclude the possibility of allergic/inflammatory, infectious, irritant or parasitic bronchitis._x000D_
2. Unremarkable abdomen. A cause of the reported anorexia, lethargy and pyrexia is not evident. There is no intra-abdominal mass. Abdominal sonography should be considered for further evaluation if clinical signs persist or worsen in spite of ongoing medical management.</t>
  </si>
  <si>
    <t>Opposite lateral and ventrodorsal thoracic radiographs and a right lateral abdominal radiograph (4 images) dated December 8, 2023._x000D_
_x000D_
The cardiac silhouette is severely enlarged with dorsal deviation of the trachea and significant widening on the VD projection. The pulmonary parenchyma has a severe patchy unstructured interstitial pattern that is primarily central and ventral in distribution. The caudal/caudoventral lung field is most affected. The caudal pulmonary vessels are enlarged. The cranial pulmonary vessels are difficult to identify due to the pulmonary infiltrates. No discrete pulmonary nodules or masses are identified. No intrathoracic lymphadenopathy is evident. Aside from the dorsal deviation, the trachea is normal in diameter and contains gas. The mediastinum, pleural space, and diaphragm are unremarkable._x000D_
The liver is slightly enlarged. The spleen is not identified. The stomach contains a large amount of heterogeneous granular soft-tissue content mixed with gas. The small intestine has a mild and unremarkable variation in diameter with the more distended segments containing gas. The colon contains normal appearing stool and has a normal course. Both kidneys are unremarkable in size and shape. The urinary bladder is mildly distended with homogeneous fluid opacity. Retroperitoneal and peritoneal detail are normal. No regional lymphadenopathy is evident._x000D_
No aggressive or clinically significant osseous pathology is identified.</t>
  </si>
  <si>
    <t>1. Severe generalized cardiomegaly with pulmonary vascular enlargement coupled with the patchy pulmonary infiltrates are features most consistent with left congestive heart failure due to a primary or thyrotoxic cardiomyopathy, and less likely DCM. Infectious and neoplastic causes for the pulmonary infiltrates are less likely._x000D_
2. Borderline hepatomegaly. This can be due to hepatic venous congestion from right-sided heart backup vs. a benign metabolic/vacuolar hepatopathy (lipidosis, diabetes, other) vs. hepatitis/cholangiohepatitis vs. less likely infiltrative round cell neoplasia._x000D_
3. The remainder of the abdomen is unremarkable. A cause for the weight loss is not radiographically apparent (aside from the potential of cardiac-related cachexia).</t>
  </si>
  <si>
    <t>Initiate diuretic therapy (at least 2 injectable furosemide doses at 3-4 mg/kg IV q 4 hrs before oral) and pimobendan therapy. Recheck thoracic radiographs in 16-24 hours to assess pulmonary clearance. Schedule an echocardiogram._x000D_
CBC, chemistry, UA, T4, fecal, FeLV/FIV/heartworm testing. Abdominal ultrasound to screen for other potential causes for the unintentional weight loss.</t>
  </si>
  <si>
    <t xml:space="preserve">
1.Rarely, this result detects minimal to mild pulmonary vasculature enlargement._x000D_
2.This result detects minimal to moderate pleural fissure lines/fluid. _x000D_
3.This result detects a minimal to severe bronchial pulmonary pattern._x000D_
4.This result detects a minimal to moderate interstitial pulmonary pattern._x000D_
5.Rarely, this result detects a minimal to mild alveolar pulmonary pattern._x000D_
6.This result detects moderate to severe, or rarely mild cardiomegaly.</t>
  </si>
  <si>
    <t>3 views of the entire body are provided for review. There is a mild bronchial pattern in all lung lobes.  The cardiovascular structures are normal.  The mediastinal and pleural structures are normal.  Abdominal serosal detail is adequate in all quadrants.  The stomach contains a large amount of gas.  The small intestines are normal in size.  Gas and feces are present in the colon.  The urinary bladder is distended.  The remaining abdominal organs are normal.</t>
  </si>
  <si>
    <t xml:space="preserve">
1.This result detects no cardiomegaly to equivocal/borderline cardiomegaly. _x000D_
2.Rarely, this result detects minimal pleural fissure lines/fluid._x000D_
3.This result detects a minimal, or rarely mild interstitial pulmonary pattern._x000D_
4.This result detects a minimal  mild, or rarely moderate bronchial pulmonary pattern._x000D_
5.Rarely, this result detects a minimal alveolar pulmonary pattern._x000D_
6.This result does not detect pulmonary soft tissue nodules._x000D_
7.This result does not detect pulmonary vasculature enlargement.</t>
  </si>
  <si>
    <t>6 images of the thorax and abdomen are presented for review.  The cardiovascular and pulmonary structures are normal.  The pleural and mediastinal structures are normal.  Abdominal serosal detail is poor and the abdomen is distended.  The stomach contains a small amount of gas.  The small intestines are normal in size.  Gas and feces are present in the colon.  The remaining abdominal organs are not visible.</t>
  </si>
  <si>
    <t>Radiographically normal thorax.  Poor serosal detail and abdominal distention consistent with the reported ascites.</t>
  </si>
  <si>
    <t>Study:_x000D_
Thoracic/abdominal radiography: three images dated December 7, 2023_x000D_
_x000D_
Findings:_x000D_
The cardiac silhouette and pulmonary vasculature are normal in size. There is a mild increase in the conspicuity the walls of the small caliber bronchi in the caudodorsal lung fields. The pleural space is normal. There is no intrathoracic lymphadenopathy. The larynx and pharynx are unremarkable. The trachea is normal in diameter and course. The serosal detail is normal. The stomach is empty. The small intestines are normal in size, course and content. The colon gas and contains formed fecal material. The liver and spleen are normal in size and margin. The kidneys are normal in size and contour. The urinary bladder is normal in size and opacity. No skeletal abnormalities are present. The patient is of overweight body condition._x000D_
_x000D_
Human digits are present in the primary beam on both lateral projections.</t>
  </si>
  <si>
    <t>1. The mild caudodorsal bronchial pulmonary pattern may indicate allergic/inflammatory bronchitis (asthma). Infectious, parasitic and irritant bronchitis are also possible. Airway sampling, heartworm testing and Baermann fecal flotation can be considered for further evaluation. A treatment trial for asthma can also be considered._x000D_
2. Normal abdomen.</t>
  </si>
  <si>
    <t>Opposite lateral and ventrodorsal thoracic and abdominal radiographs (6 images) dated December 7, 2023._x000D_
_x000D_
The cardiac silhouette is mildly widened on the VD projection. There is also a large bulge in the aortic arch that is best appreciated on the VD projection. The pulmonary vasculature and caudal vena cava are normal. The pulmonary parenchyma is unremarkable with no nodules, infiltrates, or other pathology detected. The trachea is normal in diameter and course with gas filling its lumen. The pleural space, mediastinum, and diaphragm are normal. A small amount of gas is present in the midthoracic esophagus._x000D_
The liver and spleen are unremarkable in size and shape. Both kidneys are normal in size and shape. The urinary bladder is mildly distended with homogeneous fluid opacity, and also has a focal ovoid area of mineral within it that measures approximately 0.58 cm in maximal diameter. No radiopaque stones are detected in the plane of urethra or trigone. The stomach is moderately distended with heterogeneous soft-tissue content that most closely resembles partially digested food. The small intestine has a mild variation in diameter with the more distended segments containing gas=ZZ90= the predominance of gas in the small intestine is atypical for a cat. The distribution of the bowel is unremarkable. The colon contains normal stool mixed with gas. Retroperitoneal and peritoneal detail are normal. No regional lymphadenopathy is evident._x000D_
The right hip has mild periarticular bony remodeling creating a flared acetabular rim. No aggressive osseous lesions are identified.</t>
  </si>
  <si>
    <t>1. Mild widening of the cardiac silhouette is an indication of cardiomegaly. Considering the aortic arch changes, rule out systemic hypertension causing left ventricle hypertrophy vs. a primary or thyrotoxic cardiomyopathy. There is no evidence of heart failure. The remainder of the thorax is unremarkable._x000D_
2. The predominance of gas in the small intestine is an atypical finding in the cat and is suspicious for enteritis vs. less likely incidental gas buildup from sedation (if applicable)._x000D_
3. Nonobstructive cystolith. Rule out calcium oxalate vs. struvite vs. mixed stone type vs. unlikely mineralized tumor._x000D_
4. Right hip osteoarthritis.</t>
  </si>
  <si>
    <t>Systemic blood pressure evaluation, T4, cardiac Pro BNP testing, and echocardiogram._x000D_
CBC, chemistry, UA, fecal, and abdominal ultrasound.</t>
  </si>
  <si>
    <t>Opposite lateral and ventrodorsal thoracic radiographs (3 images) dated December 7, 2023._x000D_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unremarkable in size and shape. The stomach is empty. Cranial peritoneal detail is normal._x000D_
No aggressive or clinically significant osseous pathology is identified.</t>
  </si>
  <si>
    <t>Normal thorax with no radiographic contraindications to anesthesia.</t>
  </si>
  <si>
    <t>Blood smear clinical pathology review, FeLV/FIV, and abdominal ultrasound for further staging and workup for the neutropenia. Internal medicine consultation could also be considered. In some cases bone marrow biopsy may be necessary.</t>
  </si>
  <si>
    <t>Opposite lateral and ventrodorsal thoracic and abdominal radiographs (6 images) dated December 7, 2023._x000D_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normal in size and shape. The spleen is prominent in size with the tail visible on the lateral views. Both kidneys are normal in size and shape. The urinary bladder is fairly distended with homogeneous fluid opacity. The stomach is empty/collapsed or contains a scant amount of fluid. The small intestine is uniform in diameter and is mildly distended with fluid and has broad ropelike turns in its course to give it a subjectively turgid appearance. The proximal colon contains unremarkable stool=ZZ90= the distal colon is empty/collapsed. The left colic lymph node is prominent in size and is visible dorsal to the descending colon at the level of L6 on the lateral views. No other regional lymphadenopathy is evident. Retroperitoneal and peritoneal detail are normal. No regional lymphadenopathy is evident._x000D_
No aggressive or clinically significant osseous pathology is identified.</t>
  </si>
  <si>
    <t>1. The appearance of the gastrointestinal tract is highly suggestive of gastroenteritis this study is negative for a gastrointestinal mechanical obstruction. Rule out dietary indiscretion or toxin vs. food allergy/intolerance vs. flareup of a chronic enteropathy (ex: IBD or GI LSA) vs. GI infectious vs. systemic/extra GI causes (liver or kidney injury/disease, pancreatitis, endocrine disorder, systemic infection, non-GI neoplasia)._x000D_
2. Mild left colic lymphadenopathy likely represents benign reactivity from regional gastrointestinal inflammation._x000D_
3. Splenomegaly. Rule out benign causes (sedation if applicable, extramedullary hematopoiesis, lymphoid hyperplasia) vs. infiltrative round cell neoplasia vs. infectious splenitis (FIP, Mycoplasma, histoplasmosis)._x000D_
4. Normal thorax.</t>
  </si>
  <si>
    <t>Supportive care with fluid rehydration, antiemetics, gastroprotectants/omeprazole, and bland diet.  General health profile (CBC, chemistry, T4, FeLV/FIV, UA, fecal) to screen for underlying causes. Abdominal ultrasound could also be considered for further workup.</t>
  </si>
  <si>
    <t>Opposite lateral and ventrodorsal whole body radiographs (3 images) dated December 7, 2023._x000D_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Both kidneys are normal in size and shape. The urinary bladder is small and fluid opaque. The stomach contains a small amount of gas. The small intestine is uniformly normal in diameter, has a normal course, and is mildly distended with fluid and gas=ZZ90= some of these segments have an irregular linear coalescing gas pattern. The colon is mostly gas-filled. Retroperitoneal and peritoneal detail are normal. The left colic lymph nodes are enlarged, measuring approximately 9 mm in short axis diameter and are visible dorsal to the descending colon at the level of L6. There is mild lumbosacral spondylosis deformans without disc space narrowing. No aggressive osseous lesions are identified.</t>
  </si>
  <si>
    <t>1. Non-obstructive gastroenteritis +/- colitis.  Rule out dietary indiscretion or toxin vs. food allergy/intolerance vs. flareup of a chronic enteropathy (ex: IBD or GI LSA) vs. GI infectious vs. systemic/extra GI causes (liver or kidney injury/disease, pancreatitis, endocrine disorder, systemic infection, non-GI neoplasia)._x000D_
2. Left colic lymphadenopathy. Rule out benign reactivity from gastrointestinal inflammation vs. less likely multicentric/metastatic neoplasia._x000D_
3. Normal thorax._x000D_
4. Lumbosacral spondylosis deformans.</t>
  </si>
  <si>
    <t>Supportive care with fluid rehydration, antiemetics, gastroprotectants/omeprazole, and bland diet.  General health profile (CBC, chemistry, T4, FeLV/FIV, UA, fecal) +/- fPLI to screen for underlying causes. Abdominal ultrasound could also be considered.</t>
  </si>
  <si>
    <t>Eleven survey radiographs of the thoracic and lumbar vertebral column, pelvis and pelvic limbs as well as thoracic limbs dated 7 December 2023 are available for review. There are no previous radiographs available for comparison. _x000D_
_x000D_
Vertebral column: The cervical vertebral column is not included. At the edge of the images, there is suspect narrowing of the dorsal aspect of the C6/C7 intervertebral disc space, however severe obliquity is present. The thoracic and lumbar vertebral column is normal._x000D_
_x000D_
Pelvis: In the single pelvic extended vd image, the vertebral body of S1 is lucent. The laterality is not marked in the image. The presumed right wing of the S1 vertebra is also lucent. There is suspicion of a marginal fracture of the caudal presumed right aspect of the vertebral body of L7. This is not visible in the lateral image. Both  coxofemoral joints are normal._x000D_
_x000D_
Pelvic limbs: Both stifle joints are normal. The patellar are in an anatomical position._x000D_
_x000D_
Thoracic limbs: Both shoulder joints are normal. Both elbow joints are normal (Limited evaluation, mediolateral images only).</t>
  </si>
  <si>
    <t>1. The apparent lucency of the S1 vertebral body could be artifactual due to superimposition of colonic gas. S1 vertebral body trauma, or osteomyelitis, or less likely bone neoplasia is considered less likely._x000D_
2. Potential intervertebral disc disease, or trauma/malformation in the caudal cervical vertebral column. This is also most likely positional artefact.</t>
  </si>
  <si>
    <t>A full neurologic evaluation is advised for accurate neurolocalisation. Well centred, collimated cervical orthogonal radiographs are advised. Repeat pelvic radiographs after evacuation of the colon is also advised. Depending on outcome, pelvic CT may be considered.</t>
  </si>
  <si>
    <t>Three view orthogonal radiographs (3 images) of the thorax and cranial abdomen dated December 6, 2023 are available for interpretation. No prior images are available for comparison._x000D_
_x000D_
The cat was sedated with 2 mg/kg (10 mg) alfaxolone and 0.2 mg/kg (1.0 mg) butorphanol for the left lateral and VD images. _x000D_
_x000D_
Thorax:_x000D_
Airway/pulmonary: The pulmonary vasculature to the caudal thorax is mildly distended but the vessel margins remain well visualized indicating there is no evidence of pulmonary edema. No pulmonary nodules are noted. _x000D_
_x000D_
Cardiovascular: The cardiac silhouette is enlarged with elongation to the left heart and rounding of the right heart on the lateral projections and elongation only of the left heart on the VD projections. The caudal pulmonary arteries are enlarged on the VD projection. The corresponding caudal pulmonary veins are not enlarged. The CVC is mildly distended. The aortic root is mildly enlarged on the VD projection._x000D_
 _x000D_
Mediastinum: Gas is present in the mid-thoracic esophagus. A soft tissue opacity consistent with a hiatal hernia is noted in the caudodorsal thorax on the lateral projections. This opacity is present left of midline on the VD projection in the region of the caudal thoracic esophagus. _x000D_
_x000D_
Pleural space: Normal_x000D_
_x000D_
Cranial abdomen: Cranial abdominal detail is normal. The liver is enlarged on the right side and small on the left side. _x000D_
_x000D_
Msk: An osteophyte is noted in one of the elbow joints.</t>
  </si>
  <si>
    <t>1) Left and right sided cardiomegaly with an aortic soft tissue bulge and caudal pulmonary artery enlargement. CVC distention and mild hepatomegaly. No pleural or abdominal fluid. Pulmonary hypertension could explain the right heart and CVC findings. The lack of pulmonary venous distention makes a current left to right shunt unlikely. A previous left to right PDA with current bidirectional flow or right to left flow could explain the radiographic findings. Other considerations are two separate cardiac abnormalities such as pulmonary and systemic hypertension.   _x000D_
2) Hiatal hernia. No evidence of aspiration pneumonia._x000D_
3) Asymmetric liver size. This can be incidental and secondary to a rightward shift of the liver.</t>
  </si>
  <si>
    <t>See same day cardiac ultrasound report._x000D_
_x000D_
Empirical therapy for hiatal hernia as clinically warranted. Question owners about signs of dysphagia or gastroesophageal reflux disease with treatment and/or surgical correction of the hiatal hernia as clinically warranted.</t>
  </si>
  <si>
    <t>ABDOMEN (three radiographs for review). No previous for comparison._x000D_
_x000D_
- Peritoneal serosal detail is normal._x000D_
- The stomach is markedly distended with gas, and contains a large conglomeration of gas stippled, heterogeneous soft-tissue opaque material._x000D_
- The small intestine is mildly, multifocally distended with gas and a few segments contain frothy appearing fluid._x000D_
- The cecum and colon are moderately distended with gas._x000D_
- There is bilateral coxofemoral osteoarthritis with left femoral head subluxation._x000D_
- The liver is moderately enlarged, with rounded margins._x000D_
- The spleen is mildly enlarged, with margins._x000D_
- There is a mild diffuse distention of the caudal esophagus with gas._x000D_
- There is a mild leftward mediastinal shift and an unstructured interstitial pattern in the left lung lobes._x000D_
- The remaining included intrathoracic and musculoskeletal structures are normal.</t>
  </si>
  <si>
    <t>1. The material in the stomach is nonspecific and may represent recent ingesta or foreign material. There does not appear to be in Milford pyloric outflow tract obstruction due to the presence of gas and soft-tissue material within the intestinal lumen._x000D_
_x000D_
2. Mild multifocal small intestinal undigested soft-tissue material with frothy containing fluid segments may be compatible with a diffuse nonspecific functional ileus, such as enteritis or less likely infiltrative bowel disease (e.g. IBD or lymphoma). There is no evidence of small intestinal plication or mechanical obstruction._x000D_
_x000D_
3. Aerophagia. Diffuse esophageal gas dilation can also be compatible with primary esophageal dysmotility (megaesophagus, which is considered possible due to the historical gagging, but rare in cats)_x000D_
_x000D_
4. Mild hepatomegaly. DDx metabolic (vacuolar) hepatopathy, less likely cholangiohepatitis, congestion or neoplasia. If there is a history of hepatic enzyme elevation, sonographic assessment of the liver +/- FNA may be considered._x000D_
_x000D_
5. Mild splenomegaly. DDx congestion from sedation, lymphoid hyperplasia, EMH, less likely neoplasia._x000D_
_x000D_
6. Mild left-sided pulmonary atelectasis.</t>
  </si>
  <si>
    <t>In this patient, consider recheck fasted radiographs and 12 to 24 hours to assess the material in the stomach and the appearance of the small intestinal tract. Alternatively, abdominal ultrasound may be a useful diagnostic examination. Empirical therapy for diffuse functional ileus in the interim may be reasonable.</t>
  </si>
  <si>
    <t>Three view orthogonal radiographs (3 images) of the thorax and cranial abdomen dated December 6, 2023 are available for interpretation. No prior images are available for comparison._x000D_
_x000D_
The cat was not sedated. Wet hair artifact is present over the thorax. _x000D_
_x000D_
Thorax:_x000D_
Airway/pulmonary: An ill defined round soft tissue opacity is noted overlying the right fourth intercostal space on the VD image. A second, well defined potential soft tissue nodular opacity overlies the 11th intercostal space and diaphragm on the left lateral projection. A mild, diffuse bronchointerstitial pattern is also present. _x000D_
_x000D_
Cardiovascular: The cardiac silhouette is mildly enlarged, particularly the right heart on the VD projection. The caudal pulmonary vasculature is distended on all projections however the peripheral pulmonary vasculature is poorly visualized suggestive of decreased peripheral lung perfusion. On the VD projection, a soft tissue bulge is noted in the region of both the cranial descending aorta and the main pulmonary artery. The bulges are in the region of the ductus arteriosus. _x000D_
_x000D_
Mediastinum: Normal_x000D_
_x000D_
Pleural space: Normal_x000D_
_x000D_
Cranial abdomen: Cranial abdominal detail is normal._x000D_
 _x000D_
Msk: There is C6-7 disc space narrowing with ventral spondylosis. T7-8 and T8-9 ventral spondylosis are also present.</t>
  </si>
  <si>
    <t>1) Cardiomegaly with vasculature changes consistent with a chronic PDA. Poor peripheral lung perfusion is suggestive of pulmonary hypertension and either a bidirectional or right to left PDA._x000D_
2) Nodular opacity overlying the right 4th intercostal space. The irregular margin to the nodule makes associated inflammation or hemorrhage more likely. DDX: neoplasia (primary pulmonary vs. metastatic) vs. pulmonary abscess. Potential 2nd pulmonary nodule in the caudodorsal thorax._x000D_
3) Caudal cervical IVDD.</t>
  </si>
  <si>
    <t>Options are for a thoracic CT in the near term to further assess the pulmonary nodules and/or recheck thoracic radiographs in 1-2 months to monitor for changes in nodule size. If increasing in size, consider abdominal ultrasound to evaluation for neoplasia. Also monitor for digit lesions as pulmonary carcinoma can metastasize to the digits._x000D_
_x000D_
See cardiac ultrasound report from 12/6/23.</t>
  </si>
  <si>
    <t>WHOLE-BODY, focus on SPINE (three radiographs for review). No previous for comparison._x000D_
_x000D_
- There is a mild soft tissue thickening and a few foci of gas within the soft tissues dorsal to the third and fourth lumbar vertebrae. The regional osseous structures (dorsal spinous processes) are normal with no evidence of osteolysis._x000D_
- There is narrowing of the T9  10 intervertebral disc space with mild sclerosis and spondylosis deformans._x000D_
- The patient has an asymmetric lumbosacral transitional vertebral segment, which results in the fusion of the left transverse process of L7 to the left iliac wing. Sacroiliac joints are normal._x000D_
- There is bilateral osteophyte formation and reduced femoral head coverage at the coxofemoral joints. _x000D_
- The spleen is mildly generally enlarged, with rounded margins._x000D_
- There is desiccated fecal material in the colon._x000D_
- The remaining intra-abdominal structures are unremarkable._x000D_
- The included thoracic structures are normal.</t>
  </si>
  <si>
    <t>1. Small soft-tissue swelling and gas in the dorsal paraspinal region at the level of L3-4. Consider soft-tissue edema/cellulitis +/- small abscess. Recent subcutaneous injection in this region may also confer a similar appearance. There is no evidence of vertebral osteolysis and/or canal invasion by this lesion._x000D_
_x000D_
2. Narrowing and sclerosis of the T9-10 intervertebral this space is likely incidental as disk extrusions in this region are fairly rare. Intervertebral disc disease at the site may still be considered._x000D_
_x000D_
3. Lumbosacral transitional vertebral segment._x000D_
_x000D_
4. Mild bilateral coxofemoral osteoarthrosis with femoral head subluxation secondary to feline hip dysplasia most likely._x000D_
_x000D_
5. Mild splenomegaly. DDx congestion from sedation, lymphoid hyperplasia, EMH, less likely neoplasia._x000D_
_x000D_
6. Constipation.</t>
  </si>
  <si>
    <t>Overall, no good radiographic cause for the reported ataxia and spinal pain is clearly identified. The swollen region (as was noted) in the dorsal mid lumbar area could be further assessed with palpation, sonography or fine needle aspiration but does not seem to be affecting the spinal canal. An unseen soft-tissue injury (such as a vascular event or neoplasia) may be considered as radiographic sensitivity may be limited for detecting intraspinal pathology is limited. Consider consultation with a veterinary neurologist +/- advanced imaging of the spine if further indicated.</t>
  </si>
  <si>
    <t>Butter Troung. Date of study: 12/6/23. Thoracic radiography (3 view, 3 images. All images are unlabeled). No prior radiographs are available for comparison. _x000D_
_x000D_
Airway/pulmonary findings: The trachea is normal in size and position. The tracheal bifurcation is normal. There is a mild diffuse bronchointerstitial pattern. No pulmonary masses or nodules are present._x000D_
_x000D_
Cardiovascular findings: The cardiac silhouette is normal in size.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Musculoskeletal: The included musculoskeletal structures are normal.</t>
  </si>
  <si>
    <t>1. Mild, diffuse bronchointerstitial pattern consistent with chronic lower airway disease, as in feline asthma. Much less likely infectious etiology (bacterial, parasitic).</t>
  </si>
  <si>
    <t>Recommend empirical therapy for feline asthma +/- other causes for lower airway disease (bacterial and parasitic) if supported by other clinical and laboratory findings. Consider recheck thoracic radiographs +/- respiratory sampling and culture if signs persist or progress despite medical therapy.</t>
  </si>
  <si>
    <t>Opposite lateral and ventrodorsal thoracic radiographs (3 images) dated December 6, 2023._x000D_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relatively normal in diameter, although there is a notable mild enlargement of the diameter at the level of the thoracic inlet on both lateral views. A small amount of gas is visible in the cranial and midthoracic esophagus, as well as just ventral to C5 on the right lateral view. No laryngeal or pharyngeal abnormalities are appreciated=ZZ90= both are gas-filled. The stomach is dilated with a large money gas as well as some mineral granular sediment that may represent pieces of bone. Cranial peritoneal detail is normal. No abnormalities are detected in the juvenile osseous structures.</t>
  </si>
  <si>
    <t>1. The cause for the respiratory clinical signs is not radiographically apparent. I would prioritize an upper airway issue considering the lack of findings and reported stertor (ex: URI, pharyngitis from gastric acid/vomiting, anaphylaxis)._x000D_
2. Gastric dilatation with gas and mild esophageal distention with gas likely represents aerophagia from respiratory distress.</t>
  </si>
  <si>
    <t>Sedated upper airway exam and respiratory disease PCR swab panel._x000D_
Antibiotic and anti-inflammatory steroidal injections=ZZ90= consider hospital monitoring with oxygen therapy as needed for the day.</t>
  </si>
  <si>
    <t>3 views of the thorax are provided for review. The cardiovascular structures are normal. There is a mild bronchial pattern in all lung lobes. The pleural and mediastinal structures are normal. Cranial abdominal detail is adequate.</t>
  </si>
  <si>
    <t>Mild bronchial pulmonary pattern. Consider asthma, heartworm, lungworm, bronchitis, atypical infection.</t>
  </si>
  <si>
    <t>A three view thoracoabdominal study is provided for interpretation._x000D_
_x000D_
The cardiovascular structures are within normal limits. Bronchial markings are slightly increased. No tracheal or esophageal abnormalities are identified._x000D_
_x000D_
There are multiple loops of small intestine that contain heterogenous soft tissue dense content. No foreign bodies are seen. There are a few short bowel segments that are slightly dilated, but no obstructive pattern or evidence of plication is identified. The stomach appears empty and contracted. The other abdominal organs are within normal limits. Serosal detail is normal.</t>
  </si>
  <si>
    <t>No anatomic abnormalities felt to be clinically significant are identified in the abdomen._x000D_
The bronchial pattern is mild but more prominent than expected given the relatively young age of the patient. This could still be normal for this patient. Further investigation may be warranted if relevant clinical signs of lower airway disease are present.</t>
  </si>
  <si>
    <t>Empiric medical management for possible gastritis is recommended._x000D_
Metabolic or systemic infectious disease should be ruled out with appropriate labwork._x000D_
Endoscopy should be considered if clinical signs persist.</t>
  </si>
  <si>
    <t>Study:_x000D_
Thoracic/abdominal radiography: four images dated December 5, 2023_x000D_
_x000D_
Findings:_x000D_
Pericardial fat accentuates the cardiac silhouette. The cardiac silhouette is reduced in size. The pulmonic vasculature is normal in size. The pulmonary parenchyma is unremarkable. The pleural space is normal. There is no intrathoracic lymphadenopathy. The trachea is normal in diameter. The abdominal serosal detail is normal. The stomach contains a small amount of unstructured heterogeneous soft tissue material presumed to be ingesta. The small intestines are normal in size, course and content. The colon contains formed fecal material with a normal diameter. The liver and spleen are normal in size and margin. The kidneys are normal in size and contour. The urinary bladder is normal in size and opacity. A small amount of smooth and continuous new bone formation is present at the cranial aspect of the patella and cranioproximal aspect of the tibial crest indicative of patellar enthesopathy. There are no other osseous abnormalities. There no fractures or luxations.</t>
  </si>
  <si>
    <t>1. Postprandial stomach=ZZ90= otherwise, unremarkable abdomen. Abdominal sonography can be considered for further evaluation of the reported hyporexia persists_x000D_
2. Small size of the cardiac silhouette is suggestive of dehydration/hypovolemia. The thorax is otherwise unremarkable._x000D_
3. There is no evidence of skeletal trauma.</t>
  </si>
  <si>
    <t>Study:_x000D_
Thoracic radiography: three images dated December 5, 2023_x000D_
_x000D_
Compared to prior study dated September 27, 2023_x000D_
_x000D_
Findings:_x000D_
The cardiac silhouette is normal in size/shape and is unchanged appearance from the prior exam. The pulmonary vasculature is normal in size. The pulmonary parenchyma is unremarkable. The pleural space is normal. There is no intrathoracic lymphadenopathy. The trachea is normal in diameter. The stomach contains heterogeneous soft tissue material presumed to be ingesta. There is multifocal thoracic intervertebral disc space narrowing and mild multifocal thoracolumbar spondylosis deformans.</t>
  </si>
  <si>
    <t>1. Unremarkable thorax. There is no radiographic evidence of heart disease. Consider echocardiography for further evaluation of the reported heart murmur._x000D_
2. A cause of coughing is not evident. Lack of a definitive bronchial pulmonary pattern does not exclude the possibility of allergic/inflammatory, infectious, irritant or parasitic bronchitis. Airway sampling plus/minus heartworm testing and Baermann fecal flotation can be considered to further evaluate for lower airway disease._x000D_
3. Test negative for pulmonary metastatic disease.</t>
  </si>
  <si>
    <t>Opposite lateral and ventrodorsal thoracic and abdominal radiographs (7 images) dated December 5, 2023._x000D_
_x000D_
The cardiac silhouette is mildly tall in height is otherwise normal in appearance. The pulmonary vasculature and great vessels are within normal limits. The pulmonary parenchyma has diffuse bronchial markings. No pulmonary nodules, alveolar infiltrates, or other pathology is detected. The trachea is normal in diameter and contains gas. No intrathoracic lymphadenopathy is evident. A scant amount of gas is noted in the midthoracic esophagus on the left lateral view only. The pleural space, mediastinum, and diaphragm are normal._x000D_
The liver and spleen are unremarkable in size and shape. The stomach is abnormally distended with a large amount of gas. The small intestine is also predominantly gas-filled, which is a typical for a cat. There is a moderate variation in small intestinal diameter, and the small bowel is abnormally spread out throughout the peritoneal space. The colon contains a small amount of normal appearing stool proximally but is diffusely gas-filled for the majority of the remaining colon. Both kidneys are normal in size and shape. The urinary bladder is mildly distended with homogeneous fluid opacity. Retroperitoneal and peritoneal detail are normal. No regional lymphadenopathy is evident._x000D_
No aggressive or clinically significant osseous pathology is identified.</t>
  </si>
  <si>
    <t>1. Mild cardiomegaly. Rule out a thyrotoxic or primary cardiomyopathy vs. left ventricular hypertrophy from systemic hypertension vs. incidental physiologic causes (anemia, sedation if applicable) vs. less likely other causes. There is no evidence of heart failure._x000D_
2. Mild bronchial markings could represent incidental age-associated changes or potentially mild bronchitis._x000D_
3. Abnormal gastric and intestinal distention with gas typically indicates gastroenteritis or aerophagia from inspiratory distress.</t>
  </si>
  <si>
    <t>CBC, chemistry, FeLV/FIV, UA, fecal, blood smear clinical path review, and abdominal ultrasound for further workup. Internal medicine consultation could also be considered._x000D_
The cardiac Pro BNP testing, T4, and systemic blood pressure evaluation=ZZ90= if any are abnormal, echocardiogram is indicated.</t>
  </si>
  <si>
    <t>Three radiographs of the thorax are provided.g the cardiac silhouette is mildly enlarged on all views. Pulmonary vessels and caudal vena cava are normal size. There is a mild bronchial pattern throughout the lungs. No pleural effusion. Cranial mediastinal width is normal. Normal tracheal diameter and position. Large volume soft tissue opaque ingested in the stomach.</t>
  </si>
  <si>
    <t>1. Prominent heart, concerning for cardiomyopathy. There is no evidence of heart failure._x000D_
2. Mild bronchial pattern suggestive of chronic airway inflammation such as asthma.</t>
  </si>
  <si>
    <t>If the patient has a murmur or arrhythmia, an echocardiogram would be recommended. Otherwise, cardiac proBNP evaluation could be considered to investigate for supportive evidence of underlying cardiac disease.</t>
  </si>
  <si>
    <t>Three radiographs of the thorax and three views of the abdomen are provided. The cardiac silhouette and pulmonary vessels are normal size and shape. Fat deposition encircles the heart on the VD view. There are faint bronchial markings in the lungs. No pleural effusion or soft tissue pulmonary nodules. Normal tracheal diameter. Normal cranial mediastinal width._x000D_
_x000D_
In the abdomen formed feces fills the colon. The stomach and small bowel are minimally filled. Normal-sized liver, kidneys, spleen. No radiopaque urolithiasis. Smoothly marginated ovoid 1.4 x 1.0 cm mineral density in the mid right abdomen is incidental Bates body. Mild degenerative change in the coxofemoral joints.</t>
  </si>
  <si>
    <t>1. Faint bronchial markings consistent with a history of asthma. Otherwise normal thorax._x000D_
2. Normal abdomen.</t>
  </si>
  <si>
    <t>A three view thoracoabdominal study is provided for interpretation._x000D_
_x000D_
The stomach is mildly distended with gas, and also contains a small quantity of fragmented and granular mineral dense foreign material. A very small quantity of granular mineral dense foreign material is also seen in the intestine. No foreign objects of significant size are identified. There are some gas filled small intestinal loops, but none appear pathologically distended suggestive of obstruction. Many of the intestinal loops have a thickened appearance, and some appear mildly hyperperistaltic. The liver is at the upper end of normal size range to slightly enlarged. The spleen is slightly prominent but felt to be within normal size range. The other organs are unremarkable. Serosal detail in the abdomen is normal._x000D_
_x000D_
There is a focal area of irregular interstitial pulmonary infiltrates in the mid dorsal lung field in both lateral views. Mild bronchial thickening is seen in the central lung regions. No thoracic lymphadenopathy or pleural effusion is identified. The cardiovascular structures are within normal limits._x000D_
_x000D_
Severe bridging spondylosis is identified involving the thoracolumbar region and lumbosacral region of the spine. There is mild to space narrowing at L2-L3 and L7-S1. No destructive bone lesions are seen.</t>
  </si>
  <si>
    <t>There is a small quantity of granular mineral dense foreign material in the stomach. This could potentially be considered evidence of dietary indiscretion, but is commonly incidental in patients that hunt or eat raw diet. No evidence of obstruction is identified._x000D_
The appearance of the intestinal tract is consistent with enteritis. Infiltrative intestinal disease including infectious causes of enteritis or reticuloendothelial neoplasia such as lymphoma should be ruled out._x000D_
_x000D_
There is a subtle but unusual area of irregular interstitial pulmonary infiltrates in the mid dorsal lung field. This is seen in both lateral views but not apparent in the VD view. Possible etiologies would include granuloma formation from a previous pulmonary insult or chronic lower airway disease as well as parasitic infection such as lungworms or heartworm disease. Relevance to the current clinical complaint is probably limited.</t>
  </si>
  <si>
    <t>Ultrasound of the abdomen is recommended to assess intestinal wall thickness and layering._x000D_
Supportive care and symptomatic therapy for gastroenteritis/pancreatitis is recommended._x000D_
CBC, heartworm testing, serum chemistry including pancreatitis specific lipase, and urinalysis is recommended.</t>
  </si>
  <si>
    <t>Five orthogonal survey radiographs of the thorax and abdomen dated 5 December 2023 are available for review. These are compared with previous radiographs dated 3 April and 3 January 2023._x000D_
_x000D_
Thorax: _x000D_
Airway findings: The trachea is in normal position, shape and size. The tracheal bifurcation is normal. The lung parenchyma has a mild persistent bronchial pattern. No nodules or masses are seen._x000D_
_x000D_
Cardiovascular findings: The cardiac silhouette is normal in shape, size and position. The pulmonary vasculature is normal. The mainstem vessels are normal._x000D_
_x000D_
Mediastinum and pleural space: No significant abnormalities are detected. _x000D_
_x000D_
Musculoskeletal findings:   No significant abnormalities are detected. _x000D_
_x000D_
Abdomen: The hepatic silhouette is normal in shape and size. The spleen has a normal position, outline and size. The kidneys are partially obscured by gastrointestinal contents, but the visible aspects are normal. The urinary bladder is normal in size and outline. The small intestines are distributed evenly and are within normal limits for shape, size and contents. The ascending, transverse and descending colon have a normal position and contain gradually more formed faeces. The serosal detail is mild increased due to increased intra-abdominal fat._x000D_
_x000D_
Musculoskeletal findings:   No significant abnormalities are detected.</t>
  </si>
  <si>
    <t>Mild persistent bronchial pattern, associated with mild environmental, allergic, or infectious inflammatory bronchitis._x000D_
There is no evidence for radiopaque or non-radiopaque gastrointestinal foreign material.</t>
  </si>
  <si>
    <t>Observational management is advised.</t>
  </si>
  <si>
    <t>Opposite lateral and ventrodorsal whole body radiographs (3 images) dated December 5, 2023._x000D_
_x000D_
_x000D_
The cardiac silhouette, pulmonary vasculature, and great vessels are within normal limits. The pulmonary parenchyma has a moderate diffuse bronchial pattern=ZZ90= no pulmonary nodules, masses, or alveolar infiltrates are detected. The pleural space and diaphragm are normal. No mediastinal abnormalities are appreciated. The trachea is normal in diameter and course with gas filling its lumen. No intrathoracic lymphadenopathy is evident._x000D_
The liver measures at the upper limits of normal size and is normal in shape. The spleen is unremarkable. Both kidneys are normal in size and shape. The urinary bladder is small and fluid opaque. The stomach is empty/collapsed and soft-tissue opaque. The small intestine has a mild and unremarkable variation in diameter with the more distended segments containing gas, and some segments also showing a normal =ZZ92=string of pearls=ZZ92= peristalsis pattern. The proximal colon contains normal ingesta, whereas the descending colon is empty/collapsed or contains a small amount of poorly formed homogeneous stools/diarrhea. Retroperitoneal and peritoneal detail are normal. No regional lymphadenopathy is evident._x000D_
The L7 vertebral body is a lumbar transitional vertebra with both transverse processes fused with the ilial wings.</t>
  </si>
  <si>
    <t>1. The cause of the seizure activity is not radiographically apparent._x000D_
2.Bronchitis. Rule out eosinophilic/feline asthma vs. infectious (bacterial or parasitic [including heartworm]) vs. chronic inhaled irritants._x000D_
3. Unremarkable abdomen._x000D_
4. L7 lumbar transitional vertebra (symmetrical type III). Rule out an incidental developmental anomaly vs. less likely cauda equina syndrome.</t>
  </si>
  <si>
    <t>CBC, chemistry, UA, T4, fecal, FeLV/FIV, toxic titers, systemic blood pressure evaluation, neurology consultation +/- advanced brain imaging and CSF tap to comprehensively workup the cause for the seizures._x000D_
_x000D_
_x000D_
If there are respiratory clinical signs:_x000D_
Airway sampling may be needed for definitive diagnosis (bronchoalveolar lavage or transtracheal wash).  Heartworm testing and fecal parasite screening (float and Baermann).  Empirical anti-inflammatory steroidal therapy +/- antibiotic therapy is reasonable to consider.  Internal medicine consultation if the patient remains clinical despite treatment and the cause remains unknown.</t>
  </si>
  <si>
    <t>Three radiographs of the thorax and three views of the abdomen are provided. Images dated 3/20/21 are available for comparison. Cardiovascular structures are normal size. There are no abnormalities in the pulmonary parenchyma. No pleural effusion or intrathoracic lymphadenomegaly._x000D_
_x000D_
In the abdomen the urinary bladder is minimally distended and soft tissue opaque. No abnormalities along the plane of the urethra. The kidneys, spleen, and liver are normal size and shape. Broad-based 2.6 x 0.9 cm fat opaque thickening ventral to the mid abdomen is likely incidental umbilical hernia versus lipoma. Large volume soft tissue opaque ingesta in the stomach. Intestines are minimally filled. No organomegaly. Osseous structures are unremarkable.</t>
  </si>
  <si>
    <t>Normal thorax and postprandial abdomen. There is no evidence of radiopaque urolithiasis. Cystitis remains possible.</t>
  </si>
  <si>
    <t>Urinalysis and urine culture should be considered.</t>
  </si>
  <si>
    <t>Three radiographs of the thorax and three views of the abdomen are provided. The cardiac silhouette and pulmonary vessels are normal size and shape. Fat deposition encircles the heart. There is no pleural effusion. There is a well-defined round 0.3 cm soft tissue density overlying the caudal heart on the right lateral view. A few punctate soft tissue densities are also noted in the cranial lungs on both lateral views. No enlarged intrathoracic lymph nodes. Tracheal diameter is adequate._x000D_
_x000D_
In the abdomen moderate volume of formed feces fills the colon. Small intestines are moderately fluid-filled. Small volume soft tissue density and gas in the stomach. A few punctate mineral densities in the colon are likely incidental. Normal-sized liver, kidneys, spleen. No radiopaque cystic calculi. Osseous structures are unremarkable.</t>
  </si>
  <si>
    <t>1. Soft tissue nodules in the lungs is significantly concerning for early pulmonary metastatic disease. These may be granulomas. No other intrathoracic abnormalities._x000D_
2. Small intestinal functional ileus, a nonspecific finding that may be due to metabolic abnormality, stress/discomfort, sedation, enteritis, primary gastrointestinal disorder. No other abdominal abnormalities.</t>
  </si>
  <si>
    <t>Abdominal ultrasound is recommended to evaluate the gastrointestinal tract and rule out intra-abdominal neoplasia.</t>
  </si>
  <si>
    <t>3 views of the entire body are provided for review.  The cardiac silhouette is mildly widened with rounding of the left ventricular border.  Alveolar opacity is present in the caudal subsegment of the left cranial lung lobe.  The mediastinal and pleural structures are normal.  Abdominal serosal detail is adequate in all quadrants.  The stomach contains a moderate amount of mixed mineral and soft tissue material.  The small intestines are normal in size.  Gas and feces are present in the colon.  The urinary bladder is distended.  The remaining abdominal organs are normal.</t>
  </si>
  <si>
    <t>Material within the stomach may represent residual ingesta or foreign material.  Consider repeat radiographs following strict fasting to determine if gastric contents persist.  Alveolar pulmonary pattern concerning for aspiration type pneumonia.  Hemorrhage or neoplasia cannot be excluded.  Airway sampling may be helpful in further evaluation.  Cardiomegaly without current evidence of cardiogenic pulmonary edema.  Echocardiography, proBNP, and thyroid testing may be helpful in further evaluation.</t>
  </si>
  <si>
    <t>WHOLE-BODY (two radiographs for review). Compared to 06/13/23._x000D_
_x000D_
- Thin body condition_x000D_
- Mild pulmonary hyperinflation._x000D_
- Progressive, severe, diffuse, complex/mixed pulmonary pattern present. The pattern is composed of a severe bronchial pattern, with peribronchial unstructured interstitial to alveolar opacities, and is most severe in the caudodorsal and peripheral regions of the lung._x000D_
- Progressive sternal lymphadenopathy, as evidenced by a rounded soft-tissue opacity dorsal to the third and fourth sternal segments._x000D_
- New increase in soft-tissue opacity in the perihilar region impressing upon the carina on the lateral projections._x000D_
- Cardiac silhouette and pulmonary vasculature within normal limits._x000D_
- Trachea normal._x000D_
- Stomach is nondistended and contains a small volume of gas._x000D_
- Small intestine is nondistended and contains mild gas and soft-tissue._x000D_
- The colon contains a large volume of gas and multiple desiccated fecal balls._x000D_
- The liver, spleen, kidneys are normal. Urinary bladder not seen.</t>
  </si>
  <si>
    <t>1. Progressive, severe, diffuse, mixed pulmonary pattern (bronchial and peripherally-distributed peribronchial unstructured interstitial) with progressive sternal lymphadenopathy, new suspected tracheobronchial lymphadenopathy and progressive weight-loss. A multicentric disease process is most likely. Considerations include infectious e.g. fungal etiologies such as histoplasmosis, coccidiomycosis, blastomycosis vs. neoplastic (metastatic carcinoma, primary bronchogenic carcinoma, pulmonary lymphoma)._x000D_
_x000D_
2. No obvious intra-abdominal mass._x000D_
_x000D_
3. Mild constipation.</t>
  </si>
  <si>
    <t>This is a very challenging and intriguing case. The presence of bronchocentric changes and pulmonary hyperinflation suggest there is a component of chronic lower airway disease, however sternal and tracheobronchial lymphadenopathy would not be expected for typical causes such as asthma or bronchitis (lungworm, bacterial). For this reason, infectious fungal or neoplastic etiologies are considered most likely. Fungal disease is prioritized over neoplasia as the patient is relatively young, and there is a lack of pleural effusion (which is typically seen with bronchogenic or metastatic neoplasia), however the ability of radiographs to discern these etiologies is limited._x000D_
_x000D_
The sternal lymph node is large enough to theoretically be aspirated via ultrasound guidance. In addition to the reported scheduled abdominal ultrasound, consider lower airway sampling in this patient and or thoracic or whole body CT. Fungal testing for etiologies endemic to the patient region may be considered._x000D_
_x000D_
I cannot appreciate an overt intra-abdominal mass however the patient is thin and assessment might be slightly limited._x000D_
_x000D_
I are very interested in this case and invested in the care of this patient. I would appreciate any follow-up regarding a diagnosis, if reached. Thank you very much!_x000D_
_x000D_
steven.robi.acvr=ZZ95=gmail.com</t>
  </si>
  <si>
    <t xml:space="preserve">
1.Uncommonly, this result detects pulmonary soft tissue or cavitary nodules._x000D_
2.This result detects equivocal/borderline to moderate cardiomegaly. _x000D_
3.Rarely, this result detects minimal to mild pulmonary vasculature enlargement._x000D_
4.Uncommonly, this result detects minmal to moderate pleural fissure lines/fluid.  _x000D_
5.This result detects a mild to moderate interstitial pulmonary pattern.  _x000D_
6.This result detects a minimal to mild bronchial pulmonary pattern._x000D_
7.Rarely, this result detects a minimal to mild alveolar pulmonary pattern.</t>
  </si>
  <si>
    <t>WHOLE-BODY (four radiographs for review). No previous for comparison._x000D_
_x000D_
- The patient has an excessive body habitus._x000D_
- Peritoneal serosal detail is normal._x000D_
- The stomach contains a mild volume of gas stippled soft-tissue opaque material._x000D_
- The small intestine contains multifocal undigested soft-tissue opaque material, a few mineral opaque foci. There is no evidence of plication or pathologic small intestinal dilation._x000D_
- The colon contains formed fecal material and gas._x000D_
- The liver, spleen, kidneys and urinary bladder are normal._x000D_
- The cardiac silhouette, pulmonary parenchyma and pleural space are normal._x000D_
- The included osseous structures are unremarkable.</t>
  </si>
  <si>
    <t>1. Moderate, multifocal, nonspecific undigested gastric and small intestinal material may be food, foreign material or a combination of both. Overall, no distinct radiographic cause for the reported vomiting is clearly identified. There is no evidence of mechanical obstruction. For further assessment, consider abdominal ultrasound if clinically indicated._x000D_
_x000D_
2. Normal thorax._x000D_
_x000D_
3. Normal musculoskeletal structures._x000D_
_x000D_
4. Excessive body habitus.</t>
  </si>
  <si>
    <t>As above_x000D_
_x000D_
Steven Robillard, DVM, DACVR_x000D_
info=ZZ95=vetology.net</t>
  </si>
  <si>
    <t>THORAX (three radiographs for review). Compared to 11/04/2023._x000D_
_x000D_
- There is a mild improvement in the previously described diffuse bronchial pattern. There remains a mild thickening of multiple lower airways._x000D_
- The patient has a prominent aortic root, which is persistent from the previous examination. Move_x000D_
- The cardiac silhouette is within normal for size._x000D_
- The remaining intrathoracic structures are unremarkable._x000D_
- The liver is moderately enlarged, with rounded margins._x000D_
- The stomach has a postprandial appearance._x000D_
- The included musculoskeletal structures are normal.</t>
  </si>
  <si>
    <t>1. Mildly improved (but persistent) mild diffuse bronchial pulmonary pattern. Again compatible with positive response to treatment for lower airway disease (bronchitis versus feline asthma)._x000D_
_x000D_
2. Prominent aortic root can be an incidental finding in older cats, however may be compatible with systemic hypertension. Consider blood pressure measurement if clinically indicated. If there is a heart murmur, despite lack of overt radiographic cardiomegaly an echocardiogram may be considered._x000D_
_x000D_
3. Mild hepatomegaly. DDx metabolic (vacuolar) hepatopathy, less likely cholangiohepatitis, congestion or neoplasia. If there is a history of hepatic enzyme elevation, sonographic assessment of the liver +/- FNA may be considered.</t>
  </si>
  <si>
    <t>This patient may have chronic underlying feline asthma and acquired a secondary bacterial bronchitis, or has persistent primary bacterial bronchitis resulting in the identified bronchial pattern. Regardless, there is a mild improvement from previous examination._x000D_
_x000D_
Steven Robillard, DVM, DACVR_x000D_
info=ZZ95=vetology.net</t>
  </si>
  <si>
    <t>ABDOMEN and THORAX (four radiographs for review). Multiple sets of previous radiographs are available for comparison._x000D_
_x000D_
- The patient has an excessive body habitus._x000D_
- Peritoneal serosal detail is within normal._x000D_
- The stomach contains a mild volume of gas and moderate gas stippled soft-tissue opaque material._x000D_
- The small intestine is mildly diffusely distended with gas. There is no evidence of plication or pathologic segmental dilation._x000D_
- The colon contains gas and a minimal formed fecal material._x000D_
- The liver, spleen and urinary bladder are normal._x000D_
- The kidneys bilaterally (right more severe than left) are irregularly marginated and have small mineral opacities superimposed over them. There is a questionable mineral opacity superimposed caudal to the kidneys in the retroperitoneal space in the plane of ureters (indeterminate laterality)._x000D_
- Multiple small sutures are in the ventral abdominal body wall._x000D_
- The cardiac silhouette, pulmonary parenchyma, pleural space and remaining intrathoracic structures are unremarkable._x000D_
- There is mild narrowing and a step defect at the lumbosacral junction.</t>
  </si>
  <si>
    <t>1. The appearance of the small intestinal tract and colon can be compatible with both aerophagia and a diffuse functional ileus as is expected in the reported history. Consider infiltrative bowel diseases as IBD or lymphoma, or enterocolitis. Abdominal ultrasound may be considered for further assessment. There is no evidence of mechanical obstruction._x000D_
_x000D_
2. Bilateral chronic degenerative renal disease with small nephroliths. Right more severe than left. A ureterolith of indeterminate laterality might be suspected, however if it is real, it is unlikely to be causing complete obstruction as there is no enlargement of the kidney. Consider ultrasound for further assessment this finding, especially if there is a history of azotemia._x000D_
_x000D_
3. Unremarkable thorax._x000D_
_x000D_
4. Consider degenerative lumbosacral stenosis._x000D_
_x000D_
5. Excessive body habitus.</t>
  </si>
  <si>
    <t>As above._x000D_
_x000D_
Steven Robillard, DVM, DACVR_x000D_
info=ZZ95=vetology.net</t>
  </si>
  <si>
    <t>WHOLE-BODY (10 radiographs for review). No previous for comparison._x000D_
_x000D_
- Excessive body habitus._x000D_
- Marked soft-tissue swelling surrounding the phalanges of the right second digit and extending into the interdigital region._x000D_
- Fragmented and luxated distal and middle phalanx with few small irregular mineral opacities surrounding the larger fragments._x000D_
- Intravenous catheter present in the right antebrachial soft-tissues._x000D_
- Experience and lytic lesion centered on the medullary cavity of the middle phalanx of the left first digit, with mostly intact cortical margins._x000D_
- Bilateral large osseous bodies adjacent the medial humeral condyles/epi-condyles_x000D_
- Cardiac silhouette, pulmonary parenchyma and pleural space are normal._x000D_
- Irregular soft-tissue opaque material and gas in the stomach._x000D_
- Small intestine mild generalized gas dilation._x000D_
- Colon contains desiccated fecal material._x000D_
- Liver is mildly enlarged, with rounded margins._x000D_
- Bilaterally, small mineral opacities in the stifle joints compatible with meniscal ossicles, which are incidental findings in cats.</t>
  </si>
  <si>
    <t>1. Monostotic bone lesion centered on the medullary cavity of the middle phalanx of the left first foredigit. An aggressive etiology is most likely given the lysis (DDx primary or metastatic osseous neoplasia), however the cortical margins of the bone remain most intact and the lesion could be benign (e.g. congenital bone cyst or intra-osseous aneurysm, but less likely). Feline lung digit syndrome is another consideration somewhat frequently seen in cats, in which aggressive digital lesion is metastatic secondary to a primary pulmonary carcinoma. However no evidence of pulmonary lesions identified in this examination._x000D_
_x000D_
2. Fragmentation, luxation and severe surrounding soft tissue swelling (e.g. hemorrhage, edema) of the distal and middle phalanges of the right second foredigit. Compatible with a history of trauma (crushing injury). Neoplasia cannot be excluded, but is less likely._x000D_
_x000D_
3. Bilateral elbow joint medial humeral epicondylitis._x000D_
_x000D_
4. Mild hepatomegaly. DDx metabolic (vacuolar) hepatopathy, less likely cholangiohepatitis, congestion or neoplasia. If there is a history of hepatic enzyme elevation, sonographic assessment of the liver +/- FNA may be considered._x000D_
_x000D_
5. Aerophagia and recent meal_x000D_
_x000D_
6. Constipation.</t>
  </si>
  <si>
    <t>Consider biopsy, amputation or sedated fine needle aspirate of the lesion in the left first digit. Medical management/treatment as clinically indicated for the injury described in the right thoracic manus._x000D_
_x000D_
Steven Robillard, DVM, DACVR_x000D_
info=ZZ95=vetology.net</t>
  </si>
  <si>
    <t xml:space="preserve">
1.Rarely, this result detects minimal pleural fissure lines/fluid._x000D_
2.This result detects no cardiomegaly to equivocal/borderline cardiomegaly. _x000D_
3.This result does not detect pulmonary vasculature enlargement._x000D_
4.This result detects a minimal, or rarely mild interstitial pulmonary pattern._x000D_
5.This result detects a minimal  mild, or rarely moderate bronchial pulmonary pattern._x000D_
6.Rarely, this result detects a minimal alveolar pulmonary pattern._x000D_
7.This result does not detect pulmonary soft tissue nodules.</t>
  </si>
  <si>
    <t>A three view thoracoabdominal study made under general anesthesia with an endotracheal tube in place is provided for interpretation._x000D_
_x000D_
There is a moderate diffuse bronchointerstitial pulmonary pattern. Interstitial infiltrates are more severe on the right side. There is a moderate alveolar pattern involving the right cranial lung lobe. There is mild diffuse gas dilation of the esophagus. The cardiovascular structures are within normal limits._x000D_
_x000D_
The kidneys are slight small. No urinary calculi are identified. The other abdominal organs are within normal size and shape limits. No abnormalities are identified involving the gastrointestinal tract.</t>
  </si>
  <si>
    <t>There is a moderate alveolar pattern involving the right cranial lung lobe and a moderate diffuse bronchointerstitial pattern. Interstitial infiltrates are more prominent in the right lung fields._x000D_
_x000D_
These changes are within the limits of what might be seen as artifact secondary to general anesthesia and recumbency._x000D_
The appearance would also be consistent with bronchopneumonia._x000D_
_x000D_
Anesthetic artifact is most likely._x000D_
_x000D_
No abdominal abnormalities are identified.</t>
  </si>
  <si>
    <t>Although the appearance of the lungs is consistent with bronchopneumonia. This appearance is still within the limits of what might commonly be seen secondary to anesthesia and recumbency artifact. Differentiation of true pulmonary disease would require radiography without anesthesia._x000D_
A follow-up three view study made with the latest sedation possible to complete the study without prolonged recumbency or significant hyperventilation is recommended if possible.</t>
  </si>
  <si>
    <t xml:space="preserve">
1.This result detects a minimal to mild interstitial pulmonary pattern.  _x000D_
2.This result detects a minimal to mild, or rarely moderate bronchial pulmonary pattern._x000D_
3.Rarely, this result detects a minimal alveolar pulmonary pattern._x000D_
4.This result does not detect pulmonary vasculature enlargement._x000D_
5.This result does not detect pleural fissure lines/fluid.  _x000D_
6.This result detects equivocal/borderline to mild cardiomegaly. </t>
  </si>
  <si>
    <t>Four radiographs of the thorax/abdomen are provided. The cardiac silhouette is mildly enlarged. The heart lies flat along the sternum, an incidental aged feline variant. There are no abnormalities in the pulmonary parenchyma or pleural space. The appearance of esophageal dilation on the last right lateral view is caused by superimposed skin folds. In the abdomen serosal detail is poor. The patient is thin. There is large volume gas distending the colon. There is formed feces in the proximal colon. Small intestines are moderate to severely dilated with gas. The stomach is minimally distended. Other abdominal organs are obscured. No radiopaque urolithiasis. Spondylosis deformans in the cranial lumbar spine, and degenerative change in the left coxofemoral joint is likely incidental today.</t>
  </si>
  <si>
    <t>1. Mild cardiomegaly consistent with cardiomyopathy. There is no evidence of heart failure. Otherwise normal thorax._x000D_
2. Gas-filled small and large bowel consistent with aerophagia. Poor abdominal detail likely due to lack of intra-abdominal fat. I cannot rule out the possibility of concurrent effusion. No other definitive abdominal abnormalities.</t>
  </si>
  <si>
    <t>An echocardiogram is recommended. If further evaluation of the abdomen is desired based on patient=ZZ91=s clinical signs and blood work results, abdominal ultrasound would also be recommended.</t>
  </si>
  <si>
    <t>Consider empirical treatment for allergic bronchitis with deworming evaluating response to treatment.</t>
  </si>
  <si>
    <t>THORAX (3 radiographs for review). No priors._x000D_
_x000D_
- Moderate-to-severe enlargement of the aortic root._x000D_
- Questionable generalized cardiomegaly._x000D_
- Pulmonary vasculature is normal._x000D_
- Pulmonary parenchyma is normal._x000D_
- Chronic, healed left seventh rib fracture with callus formation._x000D_
- Mild multifocal spondylosis deformans._x000D_
- Cranial abdomen is unremarkable.</t>
  </si>
  <si>
    <t>1. Marked enlargement of the aortic root and mild generalized cardiomegaly. Consider systemic hypertension and secondary left-sided cardiac remodelling. Primary cardiomyopathy (e.g. hypertrophic, restrictive, unclassified) also possible. An echocardiogram may be considered. No evidence of congestive heart failure._x000D_
_x000D_
2. Chronic healed left seventh rib fracture.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</si>
  <si>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contains a rounded mineral structure.  The remaining abdominal organs are normal.</t>
  </si>
  <si>
    <t>Cystic calculus.  Radiographically normal thorax for patient of this age.</t>
  </si>
  <si>
    <t xml:space="preserve">
1.This result detects equivocal/borderline to mild cardiomegaly. _x000D_
2.This result does not detect pulmonary vasculature enlargement._x000D_
3.This result does not detect pleural fissure lines/fluid.  _x000D_
4.This result detects a minimal, or rarely mild interstitial pulmonary pattern.  _x000D_
5.This result detects a minimal to mild, or rarely moderate bronchial pulmonary pattern._x000D_
6.This result does not detect an alveolar pulmonary pattern.</t>
  </si>
  <si>
    <t>A two view study of the thorax is provided for interpretation._x000D_
_x000D_
No pulmonary infiltrates or bronchial thickening are identified. The trachea has smooth walls and normal uniform diameter. The cardiovascular structures are within normal limits. No mass effect or pleural effusion is seen. The cranial abdomen is unremarkable.</t>
  </si>
  <si>
    <t>Unremarkable thorax._x000D_
_x000D_
No radiographic changes consistent with significant pulmonary disease are identified. Asthma or allergic lung disease could still be present without more prominent radiographic changes.</t>
  </si>
  <si>
    <t>6 radiographs of the thorax and abdomen are submitted for review._x000D_
In the thorax, the cardiac silhouette is normal in size and shape.  The pulmonary vasculature is within normal limits.  Mild bronchointerstitial markings are noted in the lung fields.  A mild focal alveolar pattern is noted in the region of the right middle lung lobe.  No pleural effusion is noted.  The trachea is normal in diameter._x000D_
In the abdomen, stomach contains a mild amount of gas with a mild amount of punctate heterogeneous mineral opacity debris.  The majority the small bowel appears normal and uniform in diameter without evidence of overt dilation or plication.  Formed stool is noted in the colon.  A somewhat tapering, linear accumulation of what appears to be punctate mineral opacities is noted in the cranial abdomen, cranial to the transverse colon.  2 additional irregularly shaped clusters of mineral opacity debris are also noted in the cranial abdomen.  It is undetermined if this is located within the GI tract or possibly within the pancreatic ducts.  The liver, spleen, unobscured margins of the renal silhouettes, and urinary bladder are within normal limits.  Serosal detail is normal.  Marked degenerative changes are noted in the stifles.  No aggressive bony changes are seen.</t>
  </si>
  <si>
    <t>The focal alveolar pattern in the right middle lung lobe could be associated with mild bronchopneumonia or possibly atelectasis associated with chronic pulmonary fibrosis or bronchial mucous plugging.  The generalized bronchial pattern could be consistent with chronic bronchitis or feline asthma._x000D_
The mineral opacity in the cranial abdomen, caudal to the stomach and cranial to the colon may represent calculi within the pancreatic ducts or possibly mineral opacity material within the GI tract.  The clinical significance is unknown.  I cannot rule out the possibility of diffuse infiltrative disease, possibly associated with chronic/partial obstruction of the small bowel.  However, clinical signs such as vomiting or weight loss would be expected.  The material in the stomach is nondescript and may be associated with normal food or dietary indiscretion.</t>
  </si>
  <si>
    <t>Correlation with a CBC and chemistry is recommended if not already performed.  Broad-spectrum antibiotic therapy for bronchopneumonia could be considered.  An abdominal ultrasound is also recommended for further evaluation.</t>
  </si>
  <si>
    <t>THORAX (3 projections for review). Compared to 11/17/23._x000D_
_x000D_
- Markedly improved diffuse, complex, mixed bronchial and peribronchial unstructured interstitial pattern. _x000D_
- Remaining ventrally-distributed unstructured interstitial to alveolar pattern in the right cranial and right middle lung lobes._x000D_
- There remains an impression of generalized cardiomegaly, as can be noted by a widening of the cardiac base on the VD projections. Vertebral heart scale is 7.7. No pulmonary vasculature congestion._x000D_
- Excessive body habitus.</t>
  </si>
  <si>
    <t>1. Markedly improved diffuse, severe, complex pulmonary pattern is supportive of positive response to therapy and likely indicates the majority of the previous changes were due to bronchopneumonia_x000D_
_x000D_
2. Persistent left cranial lung lobe ventrally distributed unstructured interstitial pattern. Chronic settled/sublobar pneumonia is most likely._x000D_
_x000D_
3. Persistent mild generalized cardiomegaly. Considering the reported history likely a normal patient variant or due to abundant pericardial/mediastinal fat._x000D_
_x000D_
4. Excessive body habitus.</t>
  </si>
  <si>
    <t>Thank you for providing follow-up images for this case! I am glad to see the patient has significantly improved. You may consider continuing antibiotic therapy until a documented radiographic resolution of all the pulmonary parenchymal changes are noted since there remains some sublobar consolidation in the right  cranial lung lobe._x000D_
_x000D_
The cardiac changes are interesting, as despite the heart being reported as normal echocardiographically, in my opinion and via vertebral heart scale (7.7) there is a real impression of at least mild enlargement on the VD and LLAT images. This would serve as an example of the difficulties associated with radiographic assessment of cardiac enlargement in cats._x000D_
_x000D_
Feel free to contact me if you=ZZ91=d like to discuss this interesting case any further_x000D_
steven.robi.acvr=ZZ95=gmail.com._x000D_
_x000D_
REFERENCES:_x000D_
_x000D_
Radiographic measurement of VHS in healthy stray cats_x000D_
Ghadiri  JFMS (2008)_x000D_
_x000D_
A valentine shaped heart in cats is mostly due to left atrial enlargement_x000D_
Oura, Robertson and Thrall  VRUS (2014)</t>
  </si>
  <si>
    <t>WHOLE-BODY (6 radiographs for review). No previous for comparison._x000D_
_x000D_
- The patient has an excessive body habitus._x000D_
- The pulmonary parenchyma and upper airways are within normal limits._x000D_
- There is moderate left-sided cardiomegaly present which is characterized by a rounding of the cardiac margins and a bulge along the left cranial contour of the cardiac silhouette._x000D_
- The remainder of the thorax is unremarkable._x000D_
- The stomach has a postprandial appearance._x000D_
- The small intestine is mildly distended with homogenous soft-tissue/fluid and mild gas._x000D_
- The colon contains formed fecal material._x000D_
- The liver, kidneys and urinary bladder are normal. Spleen is unremarkable._x000D_
- The included osseous structures are normal.</t>
  </si>
  <si>
    <t>1. Moderate left-sided cardiomegaly without pulmonary vasculature congestion or congestive heart failure. Consider primary cardiomyopathy (e.g. hypertrophic, restrictive, unclassified). An echocardiogram may be considered._x000D_
_x000D_
2. The appearance of the small intestine can be compatible with a diffuse functional release such as IBD or less likely lymphoma. If clinically indicated an abdominal ultrasound might be considered._x000D_
_x000D_
3. Mild constipation._x000D_
_x000D_
4. Excessive body habitus.</t>
  </si>
  <si>
    <t>Four radiographs of the thorax are provided. The cardiac silhouette is upper normal size. A small amount of fat deposition encircles the heart on the VD view. A mild bronchial pattern is present. No pleural effusion. Fat overlies the ventral heart on the lateral views. Normal tracheal diameter and visible abdomen.</t>
  </si>
  <si>
    <t>Mild bronchial pattern consistent with chronic airway inflammation such as asthma. Equivocal mild cardiomegaly, concerning for cardiomyopathy.</t>
  </si>
  <si>
    <t>Routine blood work, thyroid evaluation, and an echocardiogram are recommended.</t>
  </si>
  <si>
    <t>Study:_x000D_
Thoracic radiography: three images dated December 1, 2023_x000D_
_x000D_
Findings:_x000D_
The cardiac silhouette and pulmonary vasculature are normal in size. The pulmonary parenchyma is unremarkable. The pleural space is normal. There is no intrathoracic lymphadenopathy. The trachea is normal in diameter and course. The larynx and pharynx are normal. There is no esophageal dilation. The included abdomen is normal. No skeletal abnormalities are present. The patient is of obese body condition.</t>
  </si>
  <si>
    <t>Infectious respiratory disease PCR testing, computed tomography of the nasal passages plus/minus rhinoscopy can be considered for further evaluation if clinical signs persist or worsen.</t>
  </si>
  <si>
    <t xml:space="preserve">
1.Uncommonly, this result detects a minimal to mild bronchial pulmonary pattern._x000D_
2.Rarely, this result detects a minimal to mild interstitial pulmonary pattern._x000D_
3.Negative for pulmonary vasculature enlargement._x000D_
4.Cardiac silhouette: Normal in most cases; rarely, minimal to mild generalized cardiomegaly is present._x000D_
5.Rarely, this result detects a minimal alveolar pulmonary pattern._x000D_
6.Negative for pleural fissure lines/pleural fluid.</t>
  </si>
  <si>
    <t>2 views of the torso are submitted for review.  The cardiac silhouette is subjectively normal in size and shape.  The pulmonary vasculature is not enlarged.  Mild bronchial markings are noted in the lung fields.  No pleural effusion or intra-thoracic lymphadenopathy is noted._x000D_
In the abdomen, the stomach contains a moderate amount of food-like material.  The small bowel is within normal limits.  Gas and formed stool is noted in the colon.  The liver, spleen, renal silhouettes, and urinary bladder are within normal limits.  Serosal detail is adequate.  No definitive osseous abnormalities are noted.</t>
  </si>
  <si>
    <t>The appearance of the lung fields is very nonspecific and may be associated with chronic bronchitis or incidental age-related change._x000D_
Radiographically normal postprandial abdomen.</t>
  </si>
  <si>
    <t>Three radiographs of the thorax are provided. The abdomen is included on the lateral views. The cardiac silhouette and pulmonary vessels are normal size. The lungs are clear. There is no pleural effusion or esophageal dilation. Normal tracheal diameter._x000D_
_x000D_
In the abdomen there is moderate volume gas throughout the stomach and intestines. Several punctate mineral densities in the proximal colon, incidental. Serosal detail is adequate. Normal-sized liver and kidneys. The spleen is obscured. No osseous abnormalities.</t>
  </si>
  <si>
    <t>Gas-filled gastrointestinal tract most consistent with aerophagia. Ileus secondary to metabolic abnormality, stress/discomfort, underlying primary gastrointestinal disorder is given a lesser consideration due to lack of intraluminal fluid. No other abdominal abnormalities. The thorax is normal. A reason for vomiting and nasal discharge is not identified. If the nasal discharge is acute, is likely due to recent vomiting. If more chronic discharge, primary nasal abnormality (rhinitis, neoplasia) moves to the top of the differential list.</t>
  </si>
  <si>
    <t>A CBC and blood chemistry profile are recommended. Abdominal ultrasound should be considered. If nasal discharge is relatively chronic, additional nasal imaging with computed tomography would be advised.</t>
  </si>
  <si>
    <t>Right lateral and ventrodorsal whole body radiographs and a ventrodorsal thoracic radiographs (3 images) dated November 30, 2023._x000D_
_x000D_
The liver is enlarged. The spleen is unremarkable in size and shape. Both kidneys are irregular in shape, and one (suspect right) is small in size. The urinary bladder is moderately distended with homogeneous fluid opacity. The stomach is abnormally dilated with gas and also contains a small amount of soft-tissue/fluid content. The small intestine has a mild and unremarkable variation in diameter and is more spread out throughout the peritoneal space than is typical for a cat. The colon contains unremarkable appearing stool mixed with gas and has a normal course. Retroperitoneal and peritoneal detail are normal. No regional lymphadenopathy is evident._x000D_
The cardiac silhouette is mildly tall in height on the lateral view with relative dorsal displacement of the trachea=ZZ90= otherwise the silhouette is normal in size and shape. The aortic arch is prominent in size. The pulmonary vasculature and caudal vena cava are normal. The lungs have a mild-moderate diffuse bronchial pattern. No pulmonary nodules or masses are identified. No intrathoracic lymphadenopathy is evident. Aside from a slight dorsal deviation the trachea, it is unremarkable in diameter and course with gas filling its lumen. The pleural space, mediastinum, and diaphragm are normal.</t>
  </si>
  <si>
    <t>1. Irregularly-shaped kidneys, one of which is small in size. This consistent with chronic renal disease. Correlation with renal blood work and urinalysis is needed to determine significance._x000D_
2. Gastric distention with an atypical volume of gas and the spread out distribution of the small bowel is consistent with gastroenteritis.  Rule out flareup of a chronic enteropathy (ex: IBD or GI LSA) vs. systemic/extra GI causes (ex: renal or hepatic injury/disease, pancreatitis, endocrine disorder, systemic infection, non-GI neoplasia) vs. GI infectious vs. dietary indiscretion or toxin vs. food allergy/intolerance._x000D_
3. Mildly tall cardiac silhouette can indicate a primary or thyrotoxic cardiomyopathy vs. left ventricular hypertrophy secondary to systemic hypertension. There is no evidence of heart._x000D_
4. Prominent aortic arch can be an incidental change sometimes seen in older cats, although it can also represent systemic hypertension._x000D_
5. Mild bronchitis. Rule out eosinophilic/feline asthma vs. infectious (bacterial or parasitic [including heartworm]) vs. chronic inhaled irritants.</t>
  </si>
  <si>
    <t>Supportive care with fluid rehydration, antiemetics, gastroprotectants/omeprazole, and bland diet.  General health profile (CBC, chemistry, UA, fecal, T4, FeLV/FIV, systemic blood pressure evaluation, cardiac proBNP testing) to screen for underlying causes and further assess the cardiac and aortic changes._x000D_
Abdominal ultrasound could also be considered to further evaluate the gastrointestinal tract and urogenital tract.</t>
  </si>
  <si>
    <t>Study:_x000D_
Thoracic/abdominal radiography: five images dated November 30, 2023_x000D_
_x000D_
Findings:_x000D_
The cardiac silhouette and pulmonary vasculature are normal in size. There is a mild increase in the conspicuity the walls of the small caliber bronchi in the caudodorsal lung fields. The pleural space is normal. There is no intrathoracic lymphadenopathy. The trachea is normal in diameter and course. The larynx is normal. There is no esophageal dilation. The abdominal serosal detail is normal. The stomach contains minimal gas. The small intestines are normal in size, course and content. The colon contains formed fecal material. The liver and spleen are normal in size and margin. The kidneys are normal in size and contour. The pancreas is incidentally visualized between the spleen/left kidney on the VD view and is normal in thickness. The urinary bladder is normal in size and opacity. No skeletal abnormalities are present.</t>
  </si>
  <si>
    <t>1. The generalized bronchial pulmonary pattern may indicate allergic/inflammatory bronchitis (asthma). Infectious, parasitic and irritant bronchitis are also possible. Airway sampling, heartworm testing and Baermann fecal flotation can be considered for further evaluation._x000D_
2. There is no radiographic evidence of heart disease. Consider echocardiography for further evaluation of the reported heart murmur._x000D_
3. Unremarkable abdomen.</t>
  </si>
  <si>
    <t>ABDOMEN and THORAX (3 projections for review). No priors._x000D_
_x000D_
- Large, left-lateralizing mass in the cranial abdomen most likely originates from the greater curvature of the stomach (less likely left pancreatic limb, lymph node), displacing the gastric contents (mild gas/soft-tissue and mineral-opaque material)._x000D_
- Decreased peritoneal serosal detail._x000D_
- Small intestine is non-distended and homogeneously soft-tissue opaque._x000D_
- Colon contains mild, formed fecal material._x000D_
- Liver, spleen, kidneys, urinary bladder normal._x000D_
- Thorax: questionable sternal lymphadenopathy.</t>
  </si>
  <si>
    <t>1. Suspected left-sided gastric mass. DDx neoplasia (e.g. lymphoma, carcinoma), less likely severe infiltrative gastritis. Abdominal ultrasound is recommended._x000D_
_x000D_
2. Decreased peritoneal detail. DDx peritoneal metastasis (e.g. lymphomatosis, carcinomatosis, less likely septic peritonitis from mass ulceration or rupture)._x000D_
_x000D_
3. Possible sternal lymphadenopathy. DDx metastatic or less likely reactive._x000D_
_x000D_
4. No discrete evidence of pulmonary metastatic neoplasia._x000D_
_x000D_
5. Mild constipation.</t>
  </si>
  <si>
    <t>Abdominal ultrasound +/- FNA of the mass with abdominocentesis is recommended for further evaluation.</t>
  </si>
  <si>
    <t>ABDOMEN (3 radiographs for review). No priors_x000D_
_x000D_
- Stomach is moderately dilated with gas and contains mild heterogeneous soft-tissue and fluid. The gastric rugal folds are prominent._x000D_
- The small intestine is diffusely, mildly to moderately distended with gas and soft-tissue/fluid. There is no distinct plication or pathologic segmental dilation. One segment ventral to the descending colon on the LLAT projection seems to have a thickened wall._x000D_
- The colon is markedly distended with gas and contains some formed fecal material._x000D_
- The spleen is mildly to moderately enlarged._x000D_
- The liver, kidneys and urinary bladder are normal._x000D_
- The caudal vena cava is thin and the cardiac silhouette is mildly small.</t>
  </si>
  <si>
    <t>1. The appearance of the stomach, small intestine and colon likely reflects a diffuse functional ileus (e.g. gastroenteritis being most likely given the history, less likely IBD or lymphoma). No discrete mechanical obstruction, plication or overt GI foreign material is observed however cannot be excluded. Abdominal ultrasound should be considered for further assessment, if clinically indicated. _x000D_
_x000D_
2. Mild splenomegaly. Congestion from sedation, lymphoid hyperplasia, EMH or splenitis. Neoplasia (e.g. lymphoma, mast cell tumor) less likely._x000D_
_x000D_
3. Thin caudal vena cava and hypovolemia are compatible with hypovolemia/dehydration.</t>
  </si>
  <si>
    <t>Thorax: There is a severe diffuse bronchial interstitial/peribronchial pattern.  There is mild bilateral pleural effusion.  Lymphadenopathy is not identified.  The cardiac silhouette and pulmonary vasculature are unremarkable._x000D_
_x000D_
Abdomen: There is diffuse hepatomegaly with somewhat undulating rounded margins.  There is mild diffuse splenomegaly.  Both kidneys appear small and have nephroliths.  On the lateral view there is an ill-defined granular mineral opacity located immediately caudal to the caudal ventral aspects of the liver.  This most likely is located within a segment of jejunum or possible stomach.  There is suboptimal serosal detail.</t>
  </si>
  <si>
    <t>Primary differential considerations for the pulmonary pathology include severe chronic lower airway inflammatory process (asthma), infectious process, or possible neoplasia (lymphoma)._x000D_
_x000D_
Peritoneal effusion._x000D_
_x000D_
Diffuse hepatomegaly.  Differential considerations are numerous however may include a hepatopathy, hepatitis, or possible neoplasia._x000D_
_x000D_
Mild diffuse splenomegaly.  Differential consideration include variation of normal, reactive process, extramedullary hematopoiesis, infectious process, or neoplasia._x000D_
_x000D_
Suboptimal serosal detail which may be secondary to low amounts of intra-abdominal fat however mild peritoneal effusion cannot be ruled out._x000D_
_x000D_
Bilaterally small kidneys most likely degenerative._x000D_
_x000D_
Bilateral nephroliths._x000D_
_x000D_
The granular mineral opacity most likely is located within the gastric lumen or segment of jejunum.  An obstructive process is not suspected.</t>
  </si>
  <si>
    <t>THORAX and ABDOMEN (2 radiographs for review). No priors._x000D_
_x000D_
- Cardiac silhouette, pulmonary parenchyma and pleural space normal._x000D_
- Moderate intrathoracic esophageal gas._x000D_
- Stomach is markedly distended with gas._x000D_
- Small intestine contains mild to moderate diffuse gas._x000D_
- Colon is distended with gas and contains a small volume of formed fecal material._x000D_
- Liver, spleen, kidneys normal._x000D_
- Urinary bladder not included in collimation._x000D_
- Excessive body habitus._x000D_
- Included MSK structures within normal.</t>
  </si>
  <si>
    <t>1. A discrete cause for the reported coughing and decreased appetite is not identified. No radiographic evidence of lower airway disease such as bronchitis or asthma is appreciated, however radiographic sensitivity can be limited for detection. _x000D_
_x000D_
2. Marked aerophagia. A component of diffuse functional ileus is also considered</t>
  </si>
  <si>
    <t>Given the reported history, consider treating for upper respiratory infection. A low grade lower airway disease cannot be ruled out but no distinct evidence of airway disease or pneumonia is seen here. If indicated, abdominal ultrasound for assessment of the GI tract.</t>
  </si>
  <si>
    <t>Study:_x000D_
Thoracic radiography: three images dated November 29, 2023_x000D_
_x000D_
Findings:_x000D_
The cardiac silhouette and pulmonary vasculature are normal in size. There is a mild generalized bronchial pulmonary pattern.. The pleural space is normal. There is no intrathoracic lymphadenopathy. The trachea is normal in diameter and course. The stomach contains unstructured heterogeneous soft tissue material presumed to be ingesta. The L1 vertebra is transitional with a hypoplastic rib on the right.</t>
  </si>
  <si>
    <t>The generalized bronchial pulmonary pattern may indicate allergic/inflammatory bronchitis (asthma). Infectious, parasitic and irritant bronchitis are also possible. Airway sampling, heartworm testing and Baermann fecal flotation can be considered for further evaluation pending response to corticosteroid therapy.</t>
  </si>
  <si>
    <t>Seven radiographs of the thorax and abdomen are provided. The cardiac silhouette is normal size and shape. The lungs are clear. There is no pleural effusion. Small volume fat deposition ventral to the heart on the lateral views._x000D_
_x000D_
In the abdomen the urinary bladder is moderately distended and soft tissue opaque. No radiopaque cystic calculi. Round 1.8 cm soft tissue density ventral to L6. The kidneys, spleen, and liver are normal size and shape. The stomach and small bowel are mildly filled. Formed feces fills the colon. The fecal column is upper normal size. Immediately cranial to the pelvic canal, the colon appears widened and soft tissue opaque. No definitive narrowed thoracolumbar intervertebral disc spaces. The coxofemoral joints are congruent. Pelvic limb musculature is mildly reduced on the right. Patellar location is normal. Suspect fluid in the cranial aspect of both stifle joints. Full evaluation of the stifle joints is limited by superimposed extra-abdominal fat.</t>
  </si>
  <si>
    <t>1. The appearance of the distal descending colon may represent focal, mild diarrhea. A colonic mural lesion is not ruled out. Mild medial iliac lymphadenopathy, likely reactive._x000D_
2. Suspect bilateral stifle effusion suggestive of cranial cruciate ligament tear/rupture. This may be responsible for discomfort but does not explain the ataxia. A non-mineralized intervertebral disc lesion remains possible. _x000D_
3. Normal thorax. There is no evidence of cardiovascular disease on this study. A small valvular regurgitant jet can result in a relatively loud murmur.</t>
  </si>
  <si>
    <t>Abdominal ultrasound is recommended. Cardiac proBNP evaluation could be considered to rule out evidence of underlying cardiac disease.</t>
  </si>
  <si>
    <t>3 views of the thorax are provided for review. There is a moderate bronchial pattern in all lung lobes.  Focal alveolar opacity is present in the right middle lung lobe in the caudal subsegment of the left cranial lung lobe.  The cardiovascular structures are normal.  The mediastinal and pleural structures are normal.  Cranial abdominal detail is adequate.</t>
  </si>
  <si>
    <t>Moderate bronchial pulmonary pattern.  Considerations include asthma, heartworm, lungworm, atypical infection, bronchitis.  Multifocal alveolar pulmonary pattern concerning for concurrent pneumonia.  Hemorrhage or neoplasia cannot be excluded.</t>
  </si>
  <si>
    <t>Opposite lateral and ventrodorsal thoracic radiographs (3 images) dated November 29, 2023._x000D_
_x000D_
The cardiac silhouette, pulmonary vasculature, and great vessels are within normal limits. The pulmonary parenchyma has a diffuse bronchial pattern that is excessive with mild wall thickening. No pulmonary nodules, masses, or alveolar infiltrates identified. No intrathoracic lymphadenopathy is present. The trachea is normal in diameter and course with gas filling its lumen. The mediastinum, pleural space, and diaphragm are normal. The pharynx and larynx are included on the right lateral view, in which no abnormalities are appreciated._x000D_
The included cranial abdomen and osseous structures are unremarkable.</t>
  </si>
  <si>
    <t>Airway sampling is likely needed for definitive diagnosis (bronchoalveolar lavage or transtracheal wash).  Empirical anti-inflammatory steroidal therapy +/- antibiotic therapy is reasonable to consider.  Internal medicine consultation if the patient remains clinical despite treatment.</t>
  </si>
  <si>
    <t>THORAX (3 radiographs for review). No previous for comparison._x000D_
_x000D_
- Cardiac silhouette mildly to moderately generally enlarged, with rounded margins._x000D_
- Pulmonary vasculature is diffusely, mildly to moderately distended._x000D_
- Pulmonary parenchyma is normal._x000D_
- Mild pulmonary hyperinflation._x000D_
- Remainder of the thorax, cranial abdominal structures normal.</t>
  </si>
  <si>
    <t>1. Mild-to-moderate generalized cardiomegaly with mild pulmonary vasculature distention, without congestive heart failure. Given the patient young age (1y), a congenital cardiac defect such as atrial or ventricular septal defect may be considered. Juvenile cardiomyopathy (hypertrophic, restrictive) is also possible. An echocardiogram is recommended for further assessment.</t>
  </si>
  <si>
    <t>Study:_x000D_
Thoracic radiography: four images dated November 28, 2023_x000D_
_x000D_
Findings:_x000D_
The cardiac silhouette and pulmonary vasculature are normal in size. There is a mild to moderate generalized bronchial pulmonary pattern. The pleural space is normal. There is no intrathoracic lymphadenopathy. The trachea is normal in diameter and course. The stomach contains unstructured heterogeneous soft tissue material presumed to be ingesta. The osseous structures are unremarkable. The patient is of overweight body condition.</t>
  </si>
  <si>
    <t>The generalized bronchial pulmonary pattern may indicate allergic/inflammatory bronchitis (asthma). Infectious, parasitic and irritant bronchitis are also possible. Airway sampling, heartworm testing and Baermann fecal flotation can be considered for further evaluation. Alternatively, an empiric treatment trial for asthma can be considered.</t>
  </si>
  <si>
    <t xml:space="preserve">
1.Rarely, this result detects a minimal alveolar pulmonary pattern._x000D_
2.This result detects minimal to mild, mixed interstitial and bronchial pulmonary patterns._x000D_
3.This result detects mild to moderate cardiomegaly._x000D_
4.This result does NOT detect pleural fissure lines.  </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</si>
  <si>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kidneys are slightly below normal limits for size.  The diverticular mineralization.  The remaining abdominal organs are normal.</t>
  </si>
  <si>
    <t>Mild chronic renal changes.  Radiographically normal thorax for patient of this age.</t>
  </si>
  <si>
    <t xml:space="preserve">
1.This result does NOT detect pulmonary soft tissue nodules.  _x000D_
2.This result detects equivocal/borderline to moderate cardiomegaly._x000D_
3.Rarely, this result detects minimal pleural fissure lines/fluid._x000D_
4.This result detects a minimal to mild interstitial pulmonary pattern._x000D_
5.This result detects a minimal to mild bronchial pulmonary pattern._x000D_
6.This result does NOT detect an alveolar pulmonary pattern.</t>
  </si>
  <si>
    <t>A three view thoracoabdominal study is provided for interpretation._x000D_
_x000D_
No tracheal or laryngeal abnormalities are identified. There is a mild diffuse bronchointerstitial pulmonary pattern. The cardiovascular structures are within normal limits. No pleural effusion is seen. The abdominal organs are within normal size and shape limits. The liver is at the upper end of normal range. The GI tract is unremarkable. Serosal detail is normal._x000D_
There is mild to moderate chronic endplate remodeling involving T7-T8. No destructive bone lesions are seen.</t>
  </si>
  <si>
    <t>There is a mild diffuse bronchointerstitial pattern. This is most likely representative of chronic allergic lung disease or asthma. Parasitic infection such as lungworms or heartworm disease should still be ruled out._x000D_
Infectious bronchitis is also less likely but cannot be excluded.</t>
  </si>
  <si>
    <t>CBC, heartworm testing, and Baermann fecal exam for lungworms is recommended._x000D_
_x000D_
Sampling from the lower airways via BAL/TTW or bronchoscopy should be considered for definitive diagnosis.</t>
  </si>
  <si>
    <t xml:space="preserve">
1.This result does NOT detect an alveolar pulmonary pattern._x000D_
2.This result does NOT detect pulmonary soft tissue nodules.  _x000D_
3.Rarely, this result detects minimal pleural fissure lines/fluid._x000D_
4.This result detects equivocal/borderline to moderate cardiomegaly._x000D_
5.This result detects a minimal to mild interstitial pulmonary pattern._x000D_
6.This result detects a minimal to mild bronchial pulmonary pattern.</t>
  </si>
  <si>
    <t>Three radiographs of the thorax/abdomen are provided. The cardiac silhouette is normal size and shape. There is a small area of soft tissue opacity in the cranioventral lungs on both lateral views. Small volume increased opacity in the cranioventral mediastinum/pleural space as well. No widening of the cranial mediastinum on the VD view. There is undulating, moderate to severe narrowed caudal cervical trachea on both of the lateral views. No esophageal dilation. In the abdomen the gastrointestinal tract is moderately filled. Serosal detail is adequate. Punctate metal density in a loop of bowel is of doubtful significance. Normal-sized liver, kidneys, spleen.</t>
  </si>
  <si>
    <t>1. Cranioventral severe interstitial to alveolar pattern most consistent with aspiration pneumonia. Suspect scant pleural effusion versus mild sternal lymphadenopathy which is likely reactive._x000D_
2. Moderate to severe narrowed caudal cervical trachea may be due to recent coughing and tracheitis. Intramural tracheal hemorrhage (related to coughing) or stenosis is not ruled out._x000D_
3. Normal postprandial abdomen.</t>
  </si>
  <si>
    <t>Antibiotics are recommended for pneumonia, with follow-up radiographs (same three views) upon completion to monitor for resolution of pneumonia and reevaluate the trachea. If persistent tracheal narrowing, additional imaging with tracheoscopy should be considered.</t>
  </si>
  <si>
    <t>A three view thoracoabdominal study is provided for interpretation._x000D_
_x000D_
There is a mild increase in interstitial opacity and bronchial markings. No alveolar infiltrates or pleural effusion are seen. No tracheal or esophageal abnormalities are identified. The cardiovascular structures are within normal limits._x000D_
Serosal detail in the abdomen is suboptimal, but not definitive for ascites. The appearance is within the limits of what might be seen secondary to the relatively thin body condition young age of the patient. No mass effect or organomegaly is seen in the abdomen. There is a small quantity of amorphous mineral density in the stomach. No dilation of the stomach or intestine is identified._x000D_
There is subcutaneous gas dorsal to the thorax presumed to be secondary to recent injection or fluid administration.</t>
  </si>
  <si>
    <t>The radiographic changes are minimal. The mild increase in interstitial opacity and bronchial markings is a subtle change that could be due to hypoinflation artifact but could also be associated with low-grade bronchitis considering nasal discharge is present._x000D_
_x000D_
The small quantity of mineral density in the stomach is likely incidental. No other abdominal abnormalities are identified.</t>
  </si>
  <si>
    <t>Primary rule outs include gastroenteritis, systemic infectious disease, and metabolic disease._x000D_
Supportive care and symptomatic therapy is recommended._x000D_
CBC, serum chemistry, and urinalysis is recommended.</t>
  </si>
  <si>
    <t xml:space="preserve">
1.This result detects a minimal to mild, or rarely moderate interstitial pulmonary pattern.  _x000D_
2.This result detects a minimal to moderate bronchial pulmonary pattern._x000D_
3.Uncommonly, this result detects a minimal to moderate alveolar pulmonary pattern._x000D_
4.This result does not detect pulmonary soft tissue nodules._x000D_
5.This result does not detect pulmonary vasculature enlargement._x000D_
6.This result does not detect pleural fissure lines/fluid.  _x000D_
7.This result detects equivocal/borderline to mild, or rarely moderate cardiomegaly. </t>
  </si>
  <si>
    <t>A three view study of the thorax, a left lateral thoracoabdominal view, and three views of the right front limb are provided for interpretation._x000D_
_x000D_
There is a moderate to severe diffuse bronchial pulmonary pattern. Interstitial lung opacity is mildly increased, most prominent in the caudal dorsal lung. No tracheal abnormalities are identified. The cardiovascular structures are within normal limits._x000D_
There is increased gas within the intestinal tract, with moderate gas dilation of multiple small bowel loops in the mid abdomen. No foreign bodies are identified in the GI tract. The other organs are within normal limits. Serosal detail is normal._x000D_
_x000D_
No abnormalities are identified involving the shoulder joint. There is a tiny osseous body at the cranial aspect of the elbow. No periarticular remodeling changes or joint effusion are seen. The carpus and foot are unremarkable.</t>
  </si>
  <si>
    <t>There is a small osseous body at the cranial aspect of the elbow. This is usually a benign variant an incidental finding, although a corner fracture from the head of the radius cannot be entirely excluded. There is no swelling that would be supportive of traumatic injury in this area. No other orthopedic abnormalities are identified involving the right forelimb._x000D_
_x000D_
There is a moderate to severe bronchial pattern with a mild increase in interstitial opacity. The appearance is consistent with chronic lower airway disease such as asthma or allergic bronchitis. Infectious bronchitis or parasitic infection such as lungworms or heartworm disease cannot be excluded.</t>
  </si>
  <si>
    <t>Symptomatic therapy for probable asthma is recommended._x000D_
Lungworms or other infectious disease should still be ruled out CBC, heartworm testing, and Baermann fecal exam._x000D_
Sampling from the lower airways via BAL/TTW or bronchoscopy would also be helpful for definitive diagnosis of the pulmonary changes._x000D_
_x000D_
The small osseous body associated with the elbow suspected to be a benign variant. No anatomic abnormalities that would convincingly explain the lameness are identified. For the investigation with CT of the elbow could be considered if lameness is localized to the elbow joint._x000D_
_x000D_
The gassy appearance of the intestine is probably the result of aerophagia. Clinical monitoring for signs of small intestinal obstruction over the next 24 hours is still recommended.</t>
  </si>
  <si>
    <t>Harry Winston Kemble. Date of study: 11/28/23. Thoracic radiography (2 view, 3 images. 1 VD, 2 Lateral). No prior radiographs are available for comparison. _x000D_
_x000D_
Airway/pulmonary findings: The trachea is normal in size and position. The tracheal bifurcation is normal. A caudally distributed bronchial pattern and pulmonary hyperinflation are present. On the right lateral projection, a thin walled bulla (2.2 cm x 1.6 cm) is dorsal to the carina. On both lateral projections, a focal pulmonary interstitial to alveolar infiltrate is present in the accessory lung lobe and between the heart and liver. No pulmonary nodules are present._x000D_
_x000D_
Cardiovascular findings: The cardiac silhouette is minimally to mildly enlarged and the pulmonary vasculature is mildly distended. The pulmonary vessels remain well visualized in the lung periphery. CVC size is normal. _x000D_
_x000D_
Mediastinum: No intrathoracic lymphadenomegaly is noted. Gas is present in the thoracic esophagus. _x000D_
_x000D_
Pleural space: A thin pleural fissure line is present overlying the caudal aspect of the heart._x000D_
_x000D_
Cranial abdomen: The stomach is moderately distended with gas, fluid and mineral dense material. The shape of the stomach is concerning for a functional or chronic mechanical ileus with a gravel sign._x000D_
_x000D_
Musculoskeletal: The included musculoskeletal structures are normal.</t>
  </si>
  <si>
    <t>1. Caudally distributed bronchial pattern and diffuse pulmonary hyperinflation. Focal accessory lung lobe infiltrate. Upper airway obstruction due to sinonasal disease causing the hyperinflation and recurrent microaspiration causing the airway changes +/- focal aspiration pneumonia due to recurrent microaspiration vs. regions of atelectasis due to bronchial plugs. The focal pulmonary infiltrate secondary to low grade, emerging or resolving cardiogenic pulmonary edema is considered less likely.  _x000D_
2. Mild cardiomegaly and pulmonary venous distention. _x000D_
3. Appearance to the stomach is concerning for a functional or chronic mechanical ileus given the gravel sign. A thromboembolic event or poor perfusion to the GI tract, secondary to cardiac disease, could be the cause for the gastric appearance.</t>
  </si>
  <si>
    <t>Continue antibiotics. Inhaled bronchodilator therapy. Cardiac ultrasound after starting bronchodilator inhaled therapy. Full bloodwork and urinalysis recommended to evaluate organ function. Recheck thoracic radiographs after initiating therapy to reassess the accessory lung lobe infiltrate. Additional diagnostics and treatment for the upper airway disease as this is likely causing a partial upper airway obstruction. _x000D_
_x000D_
Abdominal radiographs and further evaluation of the GI tract for motility if the flaccid appearance to the stomach persists. _x000D_
_x000D_
Airway sampling such as a endotracheal lavage vs. BAL if a component of left heart failure has been ruled out and upper airway disease is not the suspected cause for the pulmonary hyperinflation.</t>
  </si>
  <si>
    <t>Opposite lateral and ventrodorsal whole body radiographs (3 images) dated November 28, 2023._x000D_
_x000D_
The cardiac silhouette is moderately enlarged with dorsal deviation the trachea and widening on the VD view. The visible pulmonary vasculature are prominent in size. The great vessels are within normal limits. The lungs have a severe patchy and diffuse bronchial and unstructured interstitial pattern with clusters of small ovoid areas of pulmonary consolidation. Focal broncholithiasis is appreciated just caudal to the cardiac silhouette. No discrete pulmonary nodules or masses are identified. No intrathoracic lymphadenopathy is evident. There are multiple right-sided rib fractures affecting ribs 6 through 12 with relatively sharp edges the lack evidence of chronicity or attempted healing. The pleural space and diaphragm are normal._x000D_
The liver is enlarged. Peritoneal detail is significantly reduced due to the thin body condition of the patient and overall cachexia. The stomach contains some granular soft-tissue ingesta. The small intestine and colon are predominantly gas-filled. The kidneys and urinary bladder are not clearly visible. The spleen is also not visible. There is epaxial muscle wasting._x000D_
There is caudal lumbar spondylosis deformans and multiple free osseous bodies within the left stifle joint. No aggressive osseous lesions are identified.</t>
  </si>
  <si>
    <t>1. Severe chronic lower airway disease/bronchitis +/- interstitial disease (such as fibrosis). Infiltrative round cell neoplasia is less likely._x000D_
2. Multiple right-sided rib fractures that appear acute or subacute in nature rather than chronic. I suspect this is secondary to chronic pulmonary disease, and less likely from body wall trauma. _x000D_
3. Cardiomegaly is consistent with a cardiomyopathy. There is no convincing evidence of heart failure at this time._x000D_
4. Cachexia._x000D_
5. Hepatomegaly. Rule out a benign metabolic/vacuolar hepatopathy vs. hepatitis/cholangiohepatitis vs. infiltrative round cell neoplasia._x000D_
6. Left stifle osteoarthritis.</t>
  </si>
  <si>
    <t>Thoracic CT and lower airway sampling (bronchoalveolar lavage or transtracheal wash) for definitive diagnosis. Empirical treatment with fluticasone inhaler and bronchodilators could be considered=ZZ90= systemic steroid therapy is contraindicated in cardiac patients._x000D_
Heartworm testing and fecal parasite screening (PCR and Baermann)._x000D_
CBC, chemistry, UA, T4, and systemic blood pressure evaluation._x000D_
Abdominal ultrasound to further assess the cause for the hepatomegaly and potential causes for the cachexia.</t>
  </si>
  <si>
    <t>Five radiographs of the thorax and abdomen are provided. The cardiac silhouette and pulmonary vessels are normal size. There are no abnormalities in the pulmonary parenchyma or pleural space. Broad-based 2.2 x 0.6 cm soft tissue thickening in the caudoventral right extrathoracic tissues consistent with the reported mammary lesion._x000D_
_x000D_
In the abdomen serosal detail is adequate. The left kidney is smoothly marginated and severely enlarged, occupying the majority of the left abdomen. The enlarged left kidney causes ventral displacement of the colon. The right kidney is also enlarged, with blunted caudal margin. There are multiple small nephroliths bilaterally. A few punctate mineral densities overlying urinary bladder on the lateral projection, as well as superimposed small bowel. The gastrointestinal tract is moderately filled.</t>
  </si>
  <si>
    <t>1. Bilateral renomegaly, worse on the left. Perinephric pseudocyst may be responsible for left renal appearance. Neoplasia is also possible. Hydronephrosis secondary to chronic ureteral obstruction is given lesser consideration in the absence of associated clinical signs. While polycystic kidney disease may be present, is not felt to be the cause for the severe, smoothly marginated renal enlargement._x000D_
2. Punctate mineral densities overlying urinary bladder are likely intestinal debris, however a portion of these could also represent cystic calculi._x000D_
3. No intrathoracic abnormalities.</t>
  </si>
  <si>
    <t>THORAX and ABDOMEN (4 radiographs for review). A prior is available from 06/23/23._x000D_
_x000D_
THORAX:_x000D_
- Progressive, severe, diffuse reticular pulmonary pattern._x000D_
- Peribronchial unstructured interstitial pattern and ventral patchy alveolar opacities_x000D_
- Impression of right-sided cardiomegaly._x000D_
_x000D_
ABDOMEN:_x000D_
- Medium-sized mineralized bodies in the retroperitoneal space superimposed over the ovarian stumps (stump suture granuloma) or the ureters (ureteroliths). The kidneys appear within normal for size, shape and margins._x000D_
- Similar mineralized body dorsal to the urinary bladder in the position of the uterine stump._x000D_
- Questionable hepatomegaly._x000D_
_x000D_
OTHER:_x000D_
- L7-S1 disc space narrowing with endplate subluxation.</t>
  </si>
  <si>
    <t>1. Severe diffuse pulmonary changes likely reflect chronic, progressive lower airway/airspace disease. Considering the reticular appearance, a pulmonary interstitial fibrosis +/- concurrent chronic bronchitis or asthma are most likely. A secondary, settled bronchopneumonia is possible given the patchy opacities in the ventral portion of the lungs._x000D_
_x000D_
2. Possible right-sided cardiomegaly, which would be due to cardiac remodelling from chronic pulmonary hypertension causes by the lung disease. _x000D_
_x000D_
3. Mild hepatomegaly. DDx vacuolar (metabolic), less likely hepatitis or neoplasia._x000D_
_x000D_
4.Ovarian and uterine stump mineralized granulomas. _x000D_
_x000D_
5. Lumbosacral stenosis with subluxation.</t>
  </si>
  <si>
    <t>The pulmonary changes are likely to be progressive and can be characterized further with thoracic CT +/- BAL if indicated. Empirical treatment for lower airway disease +/- underlying lower airway disease may provide benefit._x000D_
_x000D_
Given the history of thickened small intestine and the mild hepatomegaly an abdominal ultrasound could be considered.</t>
  </si>
  <si>
    <t xml:space="preserve">
1.This result commonly detects minimal to moderate, or rarely severe pleural fissure lines/fluid._x000D_
2.This result detects equivocal/borderline cardiomegaly most commonly.  Rarely, this result detects mild or moderate cardiomegaly._x000D_
3.This result does not detect pulmonary vasculature enlargement._x000D_
4.This result detects a minimalto moderate interstitial pulmonary pattern.  _x000D_
5.This result detects a moderate to severe, or less commonly mild  bronchial pulmonary pattern._x000D_
6.Uncommonly, this result detects a minimal to severe alveolar pulmonary pattern._x000D_
7.This result commonly detects pulmonary soft tissue nodules.</t>
  </si>
  <si>
    <t>Opposite lateral and ventrodorsal whole body radiographs and lateral radiographs of the thoracic limbs (5 images) dated November 27, 2023._x000D_
_x000D_
Severe soft tissue swelling is affecting the left brachium and shoulder region=ZZ90= no osseous involvement is associated with this soft-tissue swelling. Wispy soft-tissue striations mixed with fat opacity is noted along the caudal and ventral aspect of the left brachial mass, suggestive of edema/fat stranding. The right thoracic limb is unremarkable._x000D_
The cardiac silhouette, pulmonary vasculature, and great vessels are within normal limits. There is a trying to shaped alveolar pattern in the region of the right middle lung lobe on the VD projection that does not persist on the left lateral view, suggestive of transient atelectasis. The remainder of the pulmonary parenchyma is unremarkable with no nodules, infiltrates, or other pathology detected. No intrathoracic lymphadenopathy is present. The trachea is normal in diameter and course with gas filling its lumen. The mediastinum, pleural space, and diaphragm are normal._x000D_
The liver and spleen are unremarkable in size and shape. Both kidneys are normal in size and shape. The urinary bladder is small and fluid opaque. The stomach contains a moderate amount of heterogeneous soft-tissue content as well as an atypical volume of gas. The small intestine is unremarkable in diameter but contains an atypical amount of gas and has broad ropelike turns in its course to give it a subjectively turgid appearance. The colon contains gas and unremarkable appearing stool. Retroperitoneal and peritoneal detail are normal. No regional lymphadenopathy is evident._x000D_
No aggressive or clinically significant osseous pathology is identified.</t>
  </si>
  <si>
    <t>1. Large soft-tissue opaque mass with fat stranding associated with the left brachium. The provided history is most compatible with an abscess. No osseous involvement is appreciated._x000D_
2. The appearance of the gastrointestinal tract is most consistent with gastroenteritis._x000D_
3. Unremarkable thorax.</t>
  </si>
  <si>
    <t>Abscess lancing, culture, debridement, drain, and E-collar with antibiotic therapy._x000D_
Fluids, antiemetics, omeprazole, and bland diet._x000D_
CBC, chemistry, UA, T4, fecal.</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</si>
  <si>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are WNL. Solitary cystic calculus seen in the urinary bladder.</t>
  </si>
  <si>
    <t>1) Unremarkable thorax without signs of pulmonary metastases nor signs of thoracic lymphadenopathy._x000D_
2) Solitary cystic calculus seen in the urinary bladder.</t>
  </si>
  <si>
    <t>Consider abdominal US to further evaluate the urinary tract with renal function test, urinalysis and urine culture prior to surgery.</t>
  </si>
  <si>
    <t>A three view study of the thorax is provided for interpretation._x000D_
_x000D_
The cardiovascular structures are within normal limits. There is a mild increase in unstructured interstitial lung opacity. No pulmonary nodules are identified. One very thin pleural fissure line is faintly visible superimposed over the apex of the heart in the right lateral view. No other changes suggestive of pleural effusion are seen. The cranial abdominal organs are within normal limits. No destructive or productive bone lesions are identified.</t>
  </si>
  <si>
    <t>The mild increase in unstructured interstitial lung opacity is equivocal. Possible etiologies would include age related change and hypoinflation artifact vs. active pulmonary inflammation such as viral or allergic pneumonitis. Correlation with relevant clinical signs is recommended. No findings concerning for neoplasia are identified.</t>
  </si>
  <si>
    <t>No findings that would be considered a contraindication to removal of the reported mammary mass are identified.</t>
  </si>
  <si>
    <t>A three view thoracoabdominal study is provided for interpretation._x000D_
_x000D_
There is a moderate bronchial pulmonary pattern. The cardiovascular structures are within normal limits. No tracheal or esophageal abnormalities are identified._x000D_
There is a small quantity of normal appearing amorphous soft tissue dense ingesta in the stomach. No foreign bodies are identified in the GI tract. There are a few loops of small intestine that appear slightly fluid and gas dilated. No obstructive pattern is seen. Serosal detail is normal. There is a round mineral opacity superimposed over the bladder in both lateral views in the range of approximately 6 mm that is suspected to represent a cystic calculus. Superimposition artifact from a mineralized granuloma near the bladder cannot be excluded as a cause of this finding. The other abdominal organs are within normal limits.</t>
  </si>
  <si>
    <t>No foreign bodies or obstructive pattern are identified. Gastroenteritis or pancreatitis should be ruled out primarily._x000D_
_x000D_
A cystic calculus is suspected. Artifactual causes of the shadow superimposed over the bladder cannot be excluded._x000D_
_x000D_
There is a bronchial pulmonary pattern compatible with lower airway disease. Primary rule outs would include asthma or chronic allergic lung disease vs. active infection such as bronchitis or parasitic infection.</t>
  </si>
  <si>
    <t>CBC and serum chemistry is recommended to rule out metabolic or systemic infectious disease. Urinalysis is also recommended due to the suspicion of a cystic calculus._x000D_
_x000D_
Symptomatic therapy and supportive care for gastroenteritis/pancreatitis is recommended.</t>
  </si>
  <si>
    <t xml:space="preserve">
1.This result detects a minimal to mild, or rarely moderate bronchial pulmonary pattern._x000D_
2.Rarely, this result detects a minimal alveolar pulmonary pattern._x000D_
3.This result does not detect pulmonary soft tissue nodules._x000D_
4.Rarely, this result detects minimal pleural fissure lines/fluid._x000D_
5.This result detects no cardiomegaly to equivocal/borderline cardiomegaly. _x000D_
6.This result does not detect pulmonary vasculature enlargement._x000D_
7.This result detects a minimal, or rarely mild interstitial pulmonary pattern.</t>
  </si>
  <si>
    <t>3 views of the entire body are provided for review.  The cardiac silhouette is widened with rounding of the left ventricular border.  No pulmonary infiltrates are seen.  The pulmonary vasculature is normal in size.  The mediastinal and pleural structures are normal.  Abdominal serosal detail is adequate in all quadrants.  The stomach contains a moderate amount of ingesta.  The small intestines are normal in size.  Gas and feces are present in the colon.  The urinary bladder is small.  The kidneys are small with irregular margins.  The remaining abdominal organs are normal.</t>
  </si>
  <si>
    <t xml:space="preserve">
1.This result detects most commonly detects moderate cardiomegaly, and less commonly detects mild or severe cardiomegaly._x000D_
2.Uncommonly, this result detects minimal to mild pulmonary vasculature enlargement._x000D_
3.This result detects minimal or rarely mild pleural fissure lines/fluid.  _x000D_
4.This result detects a mild to mild, or rarely moderate interstitial pulmonary pattern.  _x000D_
5.This result detects a minimal to mild, or rarely moderate bronchial pulmonary pattern._x000D_
6.Rarely, this result detect a minimal to mild alveolar pulmonary pattern.</t>
  </si>
  <si>
    <t>Five radiographs of the thorax and two views of the head are provided. The cardiac silhouette is upper normal size to mildly enlarged, with questionable rounding of the left ventricle on the right lateral view. No pulmonary vascular abnormalities. Soft tissue bulge along the cranial left aspect of the heart on the VD projection is normal aortic arch. No abnormalities in the pulmonary parenchyma. There is no pleural effusion. The trachea is normal diameter. The head views include an oblique right lateral view and closed mouth dorsoventral projection. On the DV view, there is increased opacity overlying the left nasal sinus. No nasal septal deviation. Increased opacity overlying the frontal sinus on the lateral view likely due to superimposed normal anatomy. Tympanic bullae are normally thin-walled and air-filled.</t>
  </si>
  <si>
    <t>1. Increased opacity in the left nasal sinus is concerning for either neoplasia or rhinitis. Artifact caused by superimposed anatomy is given secondary consideration in light of the history and unilateral nasal discharge._x000D_
2. Equivocal mild cardiomegaly, consider cardiomyopathy, sedation (if used), or artifact due to adjacent fat deposition. In the absence of a murmur or arrhythmia, significance is uncertain.</t>
  </si>
  <si>
    <t>Additional imaging of the head with computed tomography should be considered. Nasal biopsy may be necessary. If the patient has a murmur or arrhythmia, an echocardiogram would be recommended. Otherwise, cardiac proBNP evaluation may be beneficial to rule out underlying cardiac disease.</t>
  </si>
  <si>
    <t xml:space="preserve">
1.This result detects a minimal to mild or rarely moderate bronchial pulmonary pattern._x000D_
2.This result detects mild to moderate, or rarely severe cardiomegaly._x000D_
3.Rarely, this result detects minimal pleural fissure lines._x000D_
4.This result detects a minimal to mild or rarely moderate interstitial pulmonary pattern._x000D_
5.Rarely, this result detects a minimal to mild alveolar pulmonary pattern.</t>
  </si>
  <si>
    <t>Four radiographs of the thorax/abdomen are provided. The cardiac silhouette is upper normal size to mildly enlarged. Pulmonary vessels and caudal vena cava are normal size. There are no abnormalities in the pulmonary parenchyma. No pleural effusion. Small volume fluid in the caudal esophagus is transient and incidental. Normal tracheal diameter. In the abdomen there is no effusion or organomegaly. Formed feces fills the colon. Small volume soft tissue opaque ingesta in the stomach. Small bowel are minimally filled. Punctate mineral density dorsomedial to the left kidney, and punctate nephrolith on the right. No radiopaque cystic calculi. Narrowed T12-13, T13-L1, L1-2 intervertebral disc spaces, of doubtful significance today.</t>
  </si>
  <si>
    <t>1. Equivocal mild cardiomegaly, concerning for cardiomyopathy. This is the only abnormality identified that could explain the clinical signs. Otherwise normal thorax._x000D_
2. Mineral density medial to the left kidney may represent incidental Bates body or adrenal mineralization. This is further cranial than expected for a ureterolith therefore is given lesser consideration. No other abdominal abnormalities.</t>
  </si>
  <si>
    <t>A ventral dorsal radiograph of the thorax, two lateral views of the thorax/abdomen, and three views of the head are provided. There are also five images of the thorax/abdomen dated 7/28/22 that are provided for comparison. In the thorax, the cardiac silhouette is normal size. Pulmonary vessels are normal size. There is a moderate bronchial pattern throughout the lungs. Several peripheral rhonchi are mildly dilated and have peribronchial cuffing. No pleural effusion. Normal tracheal diameter. No esophageal dilation._x000D_
_x000D_
Head radiographs include two oblique lateral views and a closed mouth dorsoventral view. Caudal nasal sinuses are symmetric with respect to opacity. There is no nasal septal deviation or evidence of lysis. Rostral nasal sinuses are obscured by superimposed mandible. No soft tissue swelling. Tympanic bullae are normally thin-walled and air-filled._x000D_
_x000D_
In the abdomen the stomach contains a large amount of gas, fluid, and mineral opaque debris that is likely incidental litter ingestion. Previously, a smoothly marginated disc-like 2.1 cm metal object was present within the stomach, retrieved and not present on the postoperative images. There was small volume fluid in the caudal thoracic esophagus on the postoperative images, representing incidental regurgitation.. This is not present today. Small bowel are mildly filled. Formed feces fills the colon. No radiopaque cystic calculi. Normal-sized liver, kidneys, spleen.</t>
  </si>
  <si>
    <t>1. Moderate bronchial pattern with peribronchial cuffing consistent with chronic airway disease such as asthma. This was not present on the previous study. With the blood work changes, parasitism such as lung worms is also possible. Atypical metastatic disease is felt to be least likely._x000D_
2. A reason for sneezing is not identified. Inhaled irritant/allergens or inflammatory rhinitis should be considered. Fungal rhinitis or neoplasia are given lesser consideration._x000D_
3. The abdomen is normal today.</t>
  </si>
  <si>
    <t>In light of the lung changes, a fecal examination and empiric anthelmintic such as fenbendazole should be considered. Advanced nasal imaging with computed tomography may be necessary.</t>
  </si>
  <si>
    <t xml:space="preserve">
1.Rarely, this result detects a mild alveolar pulmonary pattern._x000D_
2.This result does not detect pulmonary soft tissue nodules._x000D_
3.This result does not detect pulmonary vasculature enlargement._x000D_
4.Rarely, this result detects minimal pleural fissure lines/fluid.  _x000D_
5.This result detects none, or equivocal/borderline to mild cardiomegaly. _x000D_
6.This result detects none, or a minimal to rarely mild interstitial pulmonary pattern.  _x000D_
7.This result detects a minimal to mild, or rarely moderate bronchial pulmonary pattern.</t>
  </si>
  <si>
    <t>THORAX (3 total radiographs for review). No previous for comparison._x000D_
_x000D_
- Mild diffuse bronchial pattern._x000D_
- Cardiac silhouette, pulmonary vasculature and pleural space normal. _x000D_
- The stomach has a post-prandial appearance._x000D_
- The cranial abdominal is otherwise unremarkable._x000D_
- The included musculoskeletal structures are normal.</t>
  </si>
  <si>
    <t>1. Negative examination for metastatic neoplasia. No radiographic contraindication to general anesthesia._x000D_
_x000D_
2. Mild diffuse bronchial pattern. DDx chronic lower airway disease (asthma, bronchitis)</t>
  </si>
  <si>
    <t>Consider complete imaging such as abdominal US +/- CT for further global assessment of the patient.</t>
  </si>
  <si>
    <t>3 views of the thorax are presented for review.  The cardiovascular structures are normal.  Fat is present within the pericardium.  There is a diffuse interstitial pulmonary pattern that is considered appropriate for the age of the patient.  No pulmonary nodules or enlarged intrathoracic lymph nodes are seen.  The pleural and mediastinal structures are normal.  Cranial abdominal detail is adequate.</t>
  </si>
  <si>
    <t>THORAX (3 total radiographs for review). No previous for comparison. _x000D_
_x000D_
- Diffuse, mild bronchial pattern._x000D_
- Cardiac silhouette, pulmonary parenchyma and pleural space normal. _x000D_
- Stomach appears post-prandial and contains mild gas._x000D_
- Included MSK structures are normal.</t>
  </si>
  <si>
    <t>1. Diffuse, mild bronchial pattern. DDx feline asthma or less likely bronchitis of irritant, infectious or allergic etiology._x000D_
_x000D_
2. Recent meal.</t>
  </si>
  <si>
    <t>Consider empirical treatment for feline lower airway disease +/- fecal testing or deworming.</t>
  </si>
  <si>
    <t>THORAX and ABDOMEN (2 radiographs for review). No priors._x000D_
_x000D_
- The cardiac silhouette, pulmonary parenchyma, and pleural space are normal._x000D_
- The trachea is normal._x000D_
- The stomach has a post-prandial appearance. _x000D_
- The small intestine is diffusely, mildly distended with gas and frothy-appearing fluid._x000D_
- The colon contains formed fecal material and gas._x000D_
- The liver is mildly enlarged, with rounded margins._x000D_
- There is severe bilateral coxofemoral osteoarthritis with femoral head subluxation (limited assessment)._x000D_
- Hypogastric lymph nodes are enlarged.</t>
  </si>
  <si>
    <t>1. Unremarkable thorax, without a cause for the reported clinical signs._x000D_
_x000D_
2. The appearance of the small intestine and colon can be compatible with a functional ileus (e.g. enterocolitis, IBD, lymphoma)._x000D_
_x000D_
3. Hypogastric (inguinal) lymphadenopathy. Reactive or infiltrative (e.g. lymphoma)_x000D_
_x000D_
4. Severe bilateral coxofemoral osteoarthrosis with subluxation likely secondary to feline hip dysplasia.</t>
  </si>
  <si>
    <t>While the thorax is unremarkable, there are abdominal changes that may benefit diagnostically from an abdominal ultrasound. Fine needle aspirate of the superficial inguinal lymph nodes could be considered.</t>
  </si>
  <si>
    <t>THORAX and ABDOMEN (7 total radiographs for review). No priors._x000D_
_x000D_
THORAX:_x000D_
- Cardiac silhouette, pulmonary parenchyma, pleural space normal._x000D_
_x000D_
ABDOMEN:_x000D_
- Best appreciated on the VD projection, in the right caudal abdomen there is at least one loop of small intestine that has a plicated/undulant appearance that is stippled by irregular, crescent-shaped gas opacities. The same appearance can be corroborated on the lateral projections. A nearby segment of intestine is mildly dilated with heterogeneous soft-tissue opaque material and gas._x000D_
_x000D_
MUSCULOSKELETAL:_x000D_
- No abnormalities detected.</t>
  </si>
  <si>
    <t>1. There is probable small intestinal foreign material, and I have strong concern for small intestinal plication in the right caudal abdomen, secondary to linear foreign body obstruction. There is no visible distinct pyloric anchorage, but it may still be extending from the stomach, or may be anchored within the small intestine (given the presence of heterogeneous material in an adjacent segment) or potentially even under the tongue. Abdominal ultrasound or exploratory laparotomy are recommended._x000D_
_x000D_
2. The thorax is unremarkable, with no evidence of aspiration pneumonia or lower airway disease.</t>
  </si>
  <si>
    <t>ABDOMEN and THORAX (4 total radiographs for review). No priors._x000D_
_x000D_
- The patient has a thin body condition._x000D_
- The stomach is moderately distended with gas._x000D_
- The small intestine is diffusely moderately distended with gas._x000D_
- There is formed soft-tissue material in the cranial abdomen in the region of the ascending colon or ilium._x000D_
- The colon is markedly distended with gas. The transverse colon is displaced cranially and dorsally, cranial to the splenic head, displacing the stomach to the left. _x000D_
- The included thoracic structures are normal. Mild pulmonary hyperinflation._x000D_
- Moderate multifocal spondylosis deformans._x000D_
- Mild bilateral coxofemoral osteoarthrosis.</t>
  </si>
  <si>
    <t>1. Marked diffuse gastric, small intestinal and colonic gas dilation is non-specific and could represent aerophagia or diffuse functional ileus (e.g. enteritis, IBD, lymphoma). The appearance of the colon is atypical, as the transverse colon does not typically occupy the left cranial abdomen cranial to the spleen and displace the stomach as seen here. It may be fortuitous=ZZ90= however, an atypical colonic displacement or entrapment is possible. The material in the cranial abdomen is most likely early fecal material in the ascending colon however a distal small intestinal foreign body is also possible._x000D_
_x000D_
2. No distinct radiographic cause for reported upper respiratory signs._x000D_
_x000D_
3. Thin body condition._x000D_
_x000D_
4. Mild bilateral coxal osteoarthrosis.</t>
  </si>
  <si>
    <t>In this patient, abdominal ultrasound may be considered to evaluate the small intestine and colon. Abdominal CT may also have utility for improved global assessment of spatial relationships of intestinal viscera relative to each other (e.g. the colon to the stomach or the spleen)</t>
  </si>
  <si>
    <t>THORAX (3 total radiographs for review). No priors._x000D_
_x000D_
- Moderate to marked diffuse bronchial pattern, with pulmonary hyperinflation._x000D_
- Right-sided mediastinal shift, unstructured interstitial to alveolar pattern in right middle and right cranial lung lobes._x000D_
- Cardiac silhouette, pulmonary vasculature normal._x000D_
- Post-prandial appearance of the stomach, plus aerophagia._x000D_
- Questionable generalized osteopenia.</t>
  </si>
  <si>
    <t>1. Moderate-to-marked diffuse bronchial pattern with pulmonary hyperinflation is compatible with chronic lower airway disease and air trapping. DDx asthma vs. chronic bronchitis (infectious, allergic, irritant etiologies). _x000D_
_x000D_
2. Aerophagia._x000D_
_x000D_
3. Questionable diffuse osteopenia may be due to radiographic technique or true pathology (e.g. congenital vs. acquired secondary to hyperparathyroidism, hyperthyroidism, acromegaly, Cushing=ZZ91=s disease).</t>
  </si>
  <si>
    <t>Consider empirical therapy for lower airway disease as clinically indicated. Fecal examination +/- deworming may be considered. Lower airway sampling (e.g. BAL) if patient does not improve or worsens in the face of medical management.</t>
  </si>
  <si>
    <t>THORAX and ABDOMEN (7 total radiographs). No priors._x000D_
_x000D_
THORAX:_x000D_
- Mild pulmonary hyperinflation._x000D_
- Prominent aortic root._x000D_
- Cardiac silhouette, pulmonary parenchyma, pleural space normal._x000D_
_x000D_
ABDOMEN:_x000D_
- Stomach contains moderate gas-stippled material, resembling ingesta._x000D_
- Small intestine mildly multifocally distended with soft-tissue opaque material and fluid/gas._x000D_
- Colon mildly distended with gas._x000D_
- Liver, spleen, kidneys, urinary bladder normal._x000D_
_x000D_
MSK:_x000D_
- Spondylosis deformans in the thoracolumbar region.</t>
  </si>
  <si>
    <t>1. Mild pulmonary hyperinflation, likely incidental. Air-trapping from chronic lower airway disease (e.g. asthma) is also possible._x000D_
_x000D_
2. Prominent aortic root can be an incidental finding in older cats. May also be related to systemic hypertension._x000D_
_x000D_
3. The appearance of the small intestine may be compatible with a small intestinal functional ileus (e.g. enteritis, IBD or lymphoma).</t>
  </si>
  <si>
    <t>Abdominal ultrasound may be considered useful to assess the small intestine and remainder of the abdomen, if clinically indicated.</t>
  </si>
  <si>
    <t>Cheddar Steere. Date of study: 11/21/23. Thoracic radiography (2 view, 2 images. 1 VD, 1 Lateral). No prior radiographs are available for comparison. The images are obliqued which hinders evaluation. _x000D_
_x000D_
Airway/pulmonary findings: The trachea is normal in size and position. The tracheal bifurcation is normal. There is a mild diffuse bronchial pattern. No pulmonary masses or nodules are present._x000D_
_x000D_
Cardiovascular findings: The cardiac silhouette is normal in size.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Musculoskeletal: The included musculoskeletal structures are normal.</t>
  </si>
  <si>
    <t>1. Mild diffuse bronchial pattern. Ddx: feline asthma most likely vs bronchial disease (allergic vs infectious vs inflammatory) vs less likely lungworm or heartworm.</t>
  </si>
  <si>
    <t>Empirical therapy for lower airway disease. Fecal testing +/- deworming may be clinically useful. If poorly responsive or worsening, lower airway sampling (e.g. BAL) may be considered.</t>
  </si>
  <si>
    <t>ABDOMEN and THORAX (3 total radiographs for review). No previous._x000D_
_x000D_
- Stomach mildly distended with gas and heterogeneous soft-tissue opaque material._x000D_
- Small intestine is diffusely, mildly to moderately distended with homogeneous soft-tissue and gas and multiple segments contain stippled soft-tissue opaque material. A few small mineral foci are noted in multiple loops._x000D_
- The colon contains mildly desiccated fecal material._x000D_
- Small sutures in the regions of the ovarian pedicles, uterine stump._x000D_
- MSK structures are normal._x000D_
- Thoracic structures are normal._x000D_
- Excessive body habitus.</t>
  </si>
  <si>
    <t>1. The appearance of the small intestine is compatible with a diffuse, functional ileus. In the context of the reported history this could indicate infiltrative bowel disease (e.g. IBD, lymphoma) or alternatively primary or secondary enteritis. An abdominal ultrasound examination may be considered for further assessment of this finding.</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</si>
  <si>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and small bowel are generally mildly gas-filled.  No overtly dilated loops of small bowel are seen.  The colon also contains a moderate amount of gas and a mild amount of formed stool.  The left kidney is subjectively normal in size and shape.  The right kidney is not clearly visualized.  The urinary bladder is moderately distended.  Serosal detail is adequate._x000D_
Marked degenerative changes noted at the lumbosacral junction.  No aggressive bony changes are seen.</t>
  </si>
  <si>
    <t>The appearance of the GI tract is nonspecific and could be consistent with mild functional ileus associated with gastroenteritis or possibly diffuse infiltrative disease including lymphoma.  The significance is unknown._x000D_
Radiographically normal thorax.</t>
  </si>
  <si>
    <t>Depending on the degree of clinical concern, an abdominal ultrasound could be considered for further evaluation.  Otherwise, radiographs or a CT scan of the skull could be considered for further evaluation of the sneezing.</t>
  </si>
  <si>
    <t>A three view study of the thorax including the neck is provided for interpretation._x000D_
_x000D_
There is severe narrowing of the pharynx in both lateral views. The appearance is consistent with the history of a pharyngeal mass and swelling. No laryngeal or tracheal abnormalities are identified. There is a mild increase in unstructured interstitial opacity and bronchial markings in the lungs. No alveolar infiltrates are seen. The cardiovascular structures are within normal limits.</t>
  </si>
  <si>
    <t>There is severe pharyngeal narrowing consistent with swelling of the dorsal pharyngeal wall, and there is ill defined opacity in the area that would be compatible with a potential pharyngeal mass._x000D_
_x000D_
The pulmonary changes are mild. Possible etiologies would include prominent age related change, bronchitis, chronic lower airway disease such as asthma or allergic lung disease, or less likely parasitic infection or lymphoreticular neoplasia.</t>
  </si>
  <si>
    <t>Endoscopic exam of the pharynx or cross sectional imaging such as MRI could be considered for more definitive anatomic evaluation of the upper airway pathology._x000D_
Clinical relevance of the pulmonary changes is unknown. The overall increase in pulmonary density is mild and would be compatible with benign variation or age related changes as well as mild but significant pathologic disease._x000D_
Recheck thoracic radiographs are recommended in one to two weeks.</t>
  </si>
  <si>
    <t>Six orthogonal survey radiographs of the thorax and abdomen dated 21 November 2023 are available for review. There are no previous radiographs available for comparison. These images are submitted for assessment of the thorax._x000D_
_x000D_
Thorax: _x000D_
Airway findings:  The thoracic volume is increased. The diaphragm is upright. The cervical and thoracic trachea have a normal size, outline and position. The carina, tracheal bifurcation and mainstem bronchi are normal. There is a diffuse severe bronchial pattern. There is collapse of the right middle lung lobe. No nodules or masses are seen. _x000D_
_x000D_
Cardiovascular findings: The cardiac silhouette is partially border effaced. The cardiac silhouette is normal in shape, size and margination. The cranial and caudal pulmonary vasculature is normal. The caudal vena cava is normal. The aorta and mainstem pulmonary artery have a normal outline in the vd/dv l image. _x000D_
_x000D_
Mediastinum and pleural space: No significant abnormalities are detected. _x000D_
_x000D_
Abdomen: There is mild hepatomegaly with rounded borders._x000D_
_x000D_
Musculoskeletal findings:   No significant abnormalities are detected.</t>
  </si>
  <si>
    <t>1.Diffuse moderate-severe bronchial pattern: Consideration should be given to allergic bronchitis (feline asthma), chronic bacterial /viral bronchitis +/- parasitic bronchitis. Less likely are hyperardenocorticism, neoplasia (such a lymphoma) or idiopathic pulmonary fibrosis.   The collapse of the right middle lung lobe is likely due to mucous plugging.</t>
  </si>
  <si>
    <t>Respiratory workup including CBC, serum chemistry, urinalysis, Baermann faecal testing, 4DX, +/- respiratory panel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t>
  </si>
  <si>
    <t>Study:_x000D_
Thoracic and abdominal radiography: six images dated November 21, 2023_x000D_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The small intestines are normal in size, course and content. The colon contains gas with a normal diameter. The liver and spleen are normal in size and margin. The kidneys are normal in size and contour. The urinary bladder is normal in size and opacity. The T 13 vertebra is transitional with bilateral hypoplastic ribs.</t>
  </si>
  <si>
    <t>1. Unremarkable abdomen. A cause of the clinical signs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 There is no radiographic evidence of cardiopulmonary disease.</t>
  </si>
  <si>
    <t>Study:_x000D_
Thoracic and abdominal radiography: seven images dated November 21, 2023_x000D_
_x000D_
Findings:_x000D_
There is incidental cranioventral rotation of the cardiac silhouette and redundancy of the aorta. The cardiac silhouette is normal in size and shape. The pulmonary vasculature is normal in size. The pulmonary parenchyma is unremarkable. The pleural space is normal. There is no intrathoracic lymphadenopathy. The larynx is unremarkable. The trachea is normal in diameter and course. There is gas dilation of the esophagus. The stomach and small intestines are gas distended. The colon contains gas and formed fecal material. The liver and spleen are normal in size and margin. There is incidental visualization of the gallbladder, extending ventral to the liver margin. The renal silhouettes are normal in size and contour. The urinary bladder is normal in size and opacity. There is severe bilateral elbow periarticular new bone formation. There is severe lumbosacral spondylosis deformans._x000D_
_x000D_
Human digits are present in the primary beam on the right lateral view timestamped 11:37 AM.</t>
  </si>
  <si>
    <t>1. Gas dilation of the esophagus is likely secondary to aerophagia. Similarly, the diffuse gastrointestinal dilation is likely secondary to aerophagia. Nonspecific functional ileus cannot be excluded but is less likely in the absence of any gastrointestinal signs. Dysautonomia is a less likely differential for both the gastrointestinal and esophageal dilation._x000D_
2. The thorax is otherwise unremarkable. There is no radiographic evidence of cardiopulmonary disease._x000D_
3. Severe bilateral elbow osteoarthrosis.</t>
  </si>
  <si>
    <t>Consider infectious respiratory disease PCR testing, computed tomography the head and rhinoscopy for further evaluation of the reported upper respiratory signs.</t>
  </si>
  <si>
    <t xml:space="preserve">
1.This result detects a minimal to mild, or rarely moderate interstitial pulmonary pattern.  _x000D_
2.This result detects a minimal to mild, or rarely moderate bronchial pulmonary pattern._x000D_
3.Rarely, this result detects a minimal to mild alveolar pulmonary pattern._x000D_
4.This result does not detect pleural fissure lines/fluid.  _x000D_
5.This result detects equivocal/borderline to mild cardiomegaly. _x000D_
6.This result does not detect pulmonary vasculature enlargement.</t>
  </si>
  <si>
    <t>Abdomen: The study represents an upper GI study.  Positive contrast (barium) progresses from the stomach through the colon without evidence of obstruction or a foreign body.  There is a lateral and ventral dorsal view (last orthogonal views of study) there is a focal segment of small intestine that is barium filled and comes to an abrupt termination with mild pointed appearance.  On the first set of radiographs there is a filling defect within the mid esophagus dorsal to the cardiac silhouette.  This filling defect is not identified on the subsequent radiographs and most likely represents outlining of gas within the esophagus.</t>
  </si>
  <si>
    <t>The appearance of the focal segment of small intestine with abrupt termination in slightly pointed appearance may represent normal peristalsis however a circumferential small intestinal wall mass should be considered.</t>
  </si>
  <si>
    <t>THORAX and ABDOMEN (3 total radiographs for review). No priors for comparison._x000D_
_x000D_
THORAX:_x000D_
- Mild diffuse bronchial pattern._x000D_
- Cardiac silhouette, pulmonary parenchyma, pleural space normal._x000D_
- Trachea and remainder of the thorax normal._x000D_
_x000D_
ABDOMEN:_x000D_
- Mild multifocal gas throughout the stomach, small intestine and colon._x000D_
- Liver, spleen, kidneys and urinary bladder normal._x000D_
_x000D_
MUSCULOSKELETAL:_x000D_
- Small remnant ribs, poorly-ossified, originating from L1._x000D_
- Excessive body habitus.</t>
  </si>
  <si>
    <t>1. Mild diffuse bronchial pattern. Chronic lower airway disease (e.g. asthma, bronchitis of allergic, irritant or infectious such as lungworm etiologies) most likely._x000D_
_x000D_
2. Aerophagia._x000D_
_x000D_
3. Excessive body habitus.</t>
  </si>
  <si>
    <t>Consider empirical treatment for lower airway disease +/- sampling if the patient worsens or does not clinically improve as expected.</t>
  </si>
  <si>
    <t>Mild cardiomegaly without current evidence of cardiogenic pulmonary edema.  Changes are consistent with previously diagnosed hypertrophic cardiomyopathy.</t>
  </si>
  <si>
    <t>Echocardiography, proBNP, and thyroid testing may be helpful in further staging if clinically indicated.</t>
  </si>
  <si>
    <t>Three orthogonal thoracic radiographs dated 25 November 2023 are available for review. There are no previous radiographs available for comparison. _x000D_
_x000D_
Airway findings: The cervical and thoracic trachea have a normal size, outline and position. The carina, tracheal bifurcation and mainstem bronchi are normal. Predominantly within the caudodorsal lung region there is a mild bronchointerstitial opacification._x000D_
_x000D_
Cardiovascular findings: The cardiac silhouette has a valentine shape in the ventrodorsal image. The base of the pulmonary artery is prominent. The cardiac silhouette is prominent, but not globoid in the lateral images. The pulmonary vasculature is normal._x000D_
_x000D_
Mediastinum and pleural space: No significant abnormalities are detected. _x000D_
_x000D_
Musculoskeletal findings:   No significant abnormalities are detected. _x000D_
_x000D_
Included abdomen:  No significant abnormalities are detected.</t>
  </si>
  <si>
    <t>1. Caudodorsal mild bronchointerstitial pattern: Consideration should be given to normal ageing, allergic bronchitis (feline asthma), chronic bacterial /viral bronchitis +/- parasitic bronchitis. Less likely are hyperardenocorticism, neoplasia (such a lymphoma) or idiopathic pulmonary fibrosis.  Heart worm is considered unlikely. Early cardiogenic pulmonary oedema cannot be completely excluded in light of 2. _x000D_
2. The cardiac silhouette is suspicious of hypertrophic cardiomyopathy. Right heart enlargement due to pulmonary fibrosis and increased pulmonary pressures is considered less likely.</t>
  </si>
  <si>
    <t>Radiography is insensitive for early right heart enlargement, therefore ECG, blood pressure measurements, and echocardiography may be considered for further evaluation, or baseline measurements as well as T4 testing. Exclude cardiac disease prior to the use of corticosteroids for treatment of feline asthma._x000D_
_x000D_
Respiratory workup including CBC, serum chemistry, urinalysis, Baermann faecal testing, 4DX, +/- respiratory panel as indicated is advised.  Alternatively, empirical therapy for lower airway disease, empirical deworming, and removal of allergens and environmental irritants (i.e. smoke, dust, perfumes, etc.) can be considered.</t>
  </si>
  <si>
    <t xml:space="preserve">
1.This result detects equivocal/borderline to mild, or rarely moderate cardiomegaly. _x000D_
2.This result detects a minimal to mild interstitial pulmonary pattern.  _x000D_
3.This result detects a minimal to mild, or rarely moderate bronchial pulmonary pattern._x000D_
4.Rarely, this result detects a minimal to mild alveolar pulmonary pattern._x000D_
5.This result does not detect pulmonary vasculature enlargement._x000D_
6.This result does not detect pleural fissure lines/fluid.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</si>
</sst>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876"/>
  <sheetViews>
    <sheetView tabSelected="1" workbookViewId="0">
      <selection activeCell="R2" sqref="R2"/>
    </sheetView>
  </sheetViews>
  <sheetFormatPr defaultRowHeight="15"/>
  <cols>
    <col min="8" max="10" width="39.42578125" customWidth="1"/>
  </cols>
  <sheetData>
    <row r="1" spans="1:31" ht="1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409.5">
      <c r="A2" s="2">
        <v>2771494</v>
      </c>
      <c r="B2" s="2">
        <f>HYPERLINK("https://platform.v2.vetology.net/cases/2771494/screening-report/18?type=pdf&amp;v=v6&amp;scorecard=1&amp;secret_key=BX%25IJ%24%2F65ieZ%29f6", 2771494)</f>
        <v>2771494</v>
      </c>
      <c r="C2" s="2">
        <f>HYPERLINK("https://platform.v2.vetology.net/report/v/final/"&amp;2771494, 2771494)</f>
        <v>2771494</v>
      </c>
      <c r="D2" s="2" t="s">
        <v>31</v>
      </c>
      <c r="E2" s="2" t="s">
        <v>32</v>
      </c>
      <c r="F2" s="2" t="s">
        <v>33</v>
      </c>
      <c r="G2" s="2" t="s">
        <v>34</v>
      </c>
      <c r="H2" s="2" t="s">
        <v>35</v>
      </c>
      <c r="I2" s="2" t="s">
        <v>36</v>
      </c>
      <c r="J2" s="2" t="s">
        <v>37</v>
      </c>
      <c r="K2" s="2" t="s">
        <v>38</v>
      </c>
      <c r="L2" s="2" t="s">
        <v>39</v>
      </c>
      <c r="M2" s="2" t="s">
        <v>39</v>
      </c>
      <c r="N2" s="2" t="s">
        <v>38</v>
      </c>
      <c r="O2" s="2" t="s">
        <v>38</v>
      </c>
      <c r="P2" s="2" t="s">
        <v>38</v>
      </c>
      <c r="Q2" s="2" t="s">
        <v>38</v>
      </c>
      <c r="R2" s="2" t="s">
        <v>38</v>
      </c>
      <c r="S2" s="2" t="s">
        <v>38</v>
      </c>
      <c r="T2" s="2" t="s">
        <v>38</v>
      </c>
      <c r="U2" s="2" t="s">
        <v>38</v>
      </c>
      <c r="V2" s="2" t="s">
        <v>38</v>
      </c>
      <c r="W2" s="2" t="s">
        <v>38</v>
      </c>
      <c r="X2" s="2" t="s">
        <v>38</v>
      </c>
      <c r="Y2" s="2" t="s">
        <v>38</v>
      </c>
      <c r="Z2" s="2" t="s">
        <v>38</v>
      </c>
      <c r="AA2" s="2" t="s">
        <v>38</v>
      </c>
      <c r="AB2" s="2" t="s">
        <v>38</v>
      </c>
      <c r="AC2" s="2" t="s">
        <v>38</v>
      </c>
      <c r="AD2" s="2" t="s">
        <v>38</v>
      </c>
      <c r="AE2" s="2" t="s">
        <v>38</v>
      </c>
    </row>
    <row r="3" spans="1:31" ht="409.5">
      <c r="A3" s="2">
        <v>2771394</v>
      </c>
      <c r="B3" s="2">
        <f>HYPERLINK("https://platform.v2.vetology.net/cases/2771394/screening-report/18?type=pdf&amp;v=v6&amp;scorecard=1&amp;secret_key=BX%25IJ%24%2F65ieZ%29f6", 2771394)</f>
        <v>2771394</v>
      </c>
      <c r="C3" s="2">
        <f>HYPERLINK("https://platform.v2.vetology.net/report/v/final/"&amp;2771394, 2771394)</f>
        <v>2771394</v>
      </c>
      <c r="D3" s="2" t="s">
        <v>40</v>
      </c>
      <c r="E3" s="2" t="s">
        <v>41</v>
      </c>
      <c r="F3" s="2" t="s">
        <v>42</v>
      </c>
      <c r="G3" s="2" t="s">
        <v>34</v>
      </c>
      <c r="H3" s="2" t="s">
        <v>43</v>
      </c>
      <c r="I3" s="2" t="s">
        <v>44</v>
      </c>
      <c r="J3" s="2"/>
      <c r="K3" s="2" t="s">
        <v>38</v>
      </c>
      <c r="L3" s="2" t="s">
        <v>38</v>
      </c>
      <c r="M3" s="2" t="s">
        <v>38</v>
      </c>
      <c r="N3" s="2" t="s">
        <v>38</v>
      </c>
      <c r="O3" s="2" t="s">
        <v>38</v>
      </c>
      <c r="P3" s="2" t="s">
        <v>38</v>
      </c>
      <c r="Q3" s="2" t="s">
        <v>38</v>
      </c>
      <c r="R3" s="2" t="s">
        <v>38</v>
      </c>
      <c r="S3" s="2" t="s">
        <v>38</v>
      </c>
      <c r="T3" s="2" t="s">
        <v>38</v>
      </c>
      <c r="U3" s="2" t="s">
        <v>38</v>
      </c>
      <c r="V3" s="2" t="s">
        <v>38</v>
      </c>
      <c r="W3" s="2" t="s">
        <v>38</v>
      </c>
      <c r="X3" s="2" t="s">
        <v>38</v>
      </c>
      <c r="Y3" s="2" t="s">
        <v>38</v>
      </c>
      <c r="Z3" s="2" t="s">
        <v>38</v>
      </c>
      <c r="AA3" s="2" t="s">
        <v>38</v>
      </c>
      <c r="AB3" s="2" t="s">
        <v>38</v>
      </c>
      <c r="AC3" s="2" t="s">
        <v>38</v>
      </c>
      <c r="AD3" s="2" t="s">
        <v>38</v>
      </c>
      <c r="AE3" s="2" t="s">
        <v>38</v>
      </c>
    </row>
    <row r="4" spans="1:31" ht="409.5">
      <c r="A4" s="2">
        <v>2771387</v>
      </c>
      <c r="B4" s="2">
        <f>HYPERLINK("https://platform.v2.vetology.net/cases/2771387/screening-report/18?type=pdf&amp;v=v6&amp;scorecard=1&amp;secret_key=BX%25IJ%24%2F65ieZ%29f6", 2771387)</f>
        <v>2771387</v>
      </c>
      <c r="C4" s="2">
        <f>HYPERLINK("https://platform.v2.vetology.net/report/v/final/"&amp;2771387, 2771387)</f>
        <v>2771387</v>
      </c>
      <c r="D4" s="2" t="s">
        <v>45</v>
      </c>
      <c r="E4" s="2" t="s">
        <v>46</v>
      </c>
      <c r="F4" s="2" t="s">
        <v>47</v>
      </c>
      <c r="G4" s="2" t="s">
        <v>34</v>
      </c>
      <c r="H4" s="2" t="s">
        <v>48</v>
      </c>
      <c r="I4" s="2" t="s">
        <v>49</v>
      </c>
      <c r="J4" s="2" t="s">
        <v>50</v>
      </c>
      <c r="K4" s="2" t="s">
        <v>38</v>
      </c>
      <c r="L4" s="2" t="s">
        <v>39</v>
      </c>
      <c r="M4" s="2" t="s">
        <v>38</v>
      </c>
      <c r="N4" s="2" t="s">
        <v>38</v>
      </c>
      <c r="O4" s="2" t="s">
        <v>38</v>
      </c>
      <c r="P4" s="2" t="s">
        <v>38</v>
      </c>
      <c r="Q4" s="2" t="s">
        <v>38</v>
      </c>
      <c r="R4" s="2" t="s">
        <v>38</v>
      </c>
      <c r="S4" s="2" t="s">
        <v>39</v>
      </c>
      <c r="T4" s="2" t="s">
        <v>39</v>
      </c>
      <c r="U4" s="2" t="s">
        <v>38</v>
      </c>
      <c r="V4" s="2" t="s">
        <v>39</v>
      </c>
      <c r="W4" s="2" t="s">
        <v>38</v>
      </c>
      <c r="X4" s="2" t="s">
        <v>39</v>
      </c>
      <c r="Y4" s="2" t="s">
        <v>38</v>
      </c>
      <c r="Z4" s="2" t="s">
        <v>38</v>
      </c>
      <c r="AA4" s="2" t="s">
        <v>38</v>
      </c>
      <c r="AB4" s="2" t="s">
        <v>38</v>
      </c>
      <c r="AC4" s="2" t="s">
        <v>38</v>
      </c>
      <c r="AD4" s="2" t="s">
        <v>38</v>
      </c>
      <c r="AE4" s="2" t="s">
        <v>38</v>
      </c>
    </row>
    <row r="5" spans="1:31" ht="409.5">
      <c r="A5" s="2">
        <v>2771368</v>
      </c>
      <c r="B5" s="2">
        <f>HYPERLINK("https://platform.v2.vetology.net/cases/2771368/screening-report/18?type=pdf&amp;v=v6&amp;scorecard=1&amp;secret_key=BX%25IJ%24%2F65ieZ%29f6", 2771368)</f>
        <v>2771368</v>
      </c>
      <c r="C5" s="2">
        <f>HYPERLINK("https://platform.v2.vetology.net/report/v/final/"&amp;2771368, 2771368)</f>
        <v>2771368</v>
      </c>
      <c r="D5" s="2" t="s">
        <v>51</v>
      </c>
      <c r="E5" s="2" t="s">
        <v>52</v>
      </c>
      <c r="F5" s="2" t="s">
        <v>53</v>
      </c>
      <c r="G5" s="2" t="s">
        <v>34</v>
      </c>
      <c r="H5" s="2" t="s">
        <v>54</v>
      </c>
      <c r="I5" s="2" t="s">
        <v>44</v>
      </c>
      <c r="J5" s="2"/>
      <c r="K5" s="2" t="s">
        <v>38</v>
      </c>
      <c r="L5" s="2" t="s">
        <v>38</v>
      </c>
      <c r="M5" s="2" t="s">
        <v>38</v>
      </c>
      <c r="N5" s="2" t="s">
        <v>38</v>
      </c>
      <c r="O5" s="2" t="s">
        <v>38</v>
      </c>
      <c r="P5" s="2" t="s">
        <v>38</v>
      </c>
      <c r="Q5" s="2" t="s">
        <v>38</v>
      </c>
      <c r="R5" s="2" t="s">
        <v>38</v>
      </c>
      <c r="S5" s="2" t="s">
        <v>38</v>
      </c>
      <c r="T5" s="2" t="s">
        <v>38</v>
      </c>
      <c r="U5" s="2" t="s">
        <v>38</v>
      </c>
      <c r="V5" s="2" t="s">
        <v>38</v>
      </c>
      <c r="W5" s="2" t="s">
        <v>38</v>
      </c>
      <c r="X5" s="2" t="s">
        <v>38</v>
      </c>
      <c r="Y5" s="2" t="s">
        <v>38</v>
      </c>
      <c r="Z5" s="2" t="s">
        <v>38</v>
      </c>
      <c r="AA5" s="2" t="s">
        <v>38</v>
      </c>
      <c r="AB5" s="2" t="s">
        <v>38</v>
      </c>
      <c r="AC5" s="2" t="s">
        <v>39</v>
      </c>
      <c r="AD5" s="2" t="s">
        <v>38</v>
      </c>
      <c r="AE5" s="2" t="s">
        <v>38</v>
      </c>
    </row>
    <row r="6" spans="1:31" ht="409.5">
      <c r="A6" s="2">
        <v>2771042</v>
      </c>
      <c r="B6" s="2">
        <f>HYPERLINK("https://platform.v2.vetology.net/cases/2771042/screening-report/18?type=pdf&amp;v=v6&amp;scorecard=1&amp;secret_key=BX%25IJ%24%2F65ieZ%29f6", 2771042)</f>
        <v>2771042</v>
      </c>
      <c r="C6" s="2">
        <f>HYPERLINK("https://platform.v2.vetology.net/report/v/final/"&amp;2771042, 2771042)</f>
        <v>2771042</v>
      </c>
      <c r="D6" s="2" t="s">
        <v>55</v>
      </c>
      <c r="E6" s="2" t="s">
        <v>56</v>
      </c>
      <c r="F6" s="2" t="s">
        <v>57</v>
      </c>
      <c r="G6" s="2" t="s">
        <v>58</v>
      </c>
      <c r="H6" s="2" t="s">
        <v>59</v>
      </c>
      <c r="I6" s="2" t="s">
        <v>49</v>
      </c>
      <c r="J6" s="2" t="s">
        <v>50</v>
      </c>
      <c r="K6" s="2" t="s">
        <v>38</v>
      </c>
      <c r="L6" s="2" t="s">
        <v>39</v>
      </c>
      <c r="M6" s="2" t="s">
        <v>38</v>
      </c>
      <c r="N6" s="2" t="s">
        <v>38</v>
      </c>
      <c r="O6" s="2" t="s">
        <v>39</v>
      </c>
      <c r="P6" s="2" t="s">
        <v>38</v>
      </c>
      <c r="Q6" s="2" t="s">
        <v>38</v>
      </c>
      <c r="R6" s="2" t="s">
        <v>38</v>
      </c>
      <c r="S6" s="2" t="s">
        <v>38</v>
      </c>
      <c r="T6" s="2" t="s">
        <v>39</v>
      </c>
      <c r="U6" s="2" t="s">
        <v>38</v>
      </c>
      <c r="V6" s="2" t="s">
        <v>39</v>
      </c>
      <c r="W6" s="2" t="s">
        <v>38</v>
      </c>
      <c r="X6" s="2" t="s">
        <v>39</v>
      </c>
      <c r="Y6" s="2" t="s">
        <v>38</v>
      </c>
      <c r="Z6" s="2" t="s">
        <v>38</v>
      </c>
      <c r="AA6" s="2" t="s">
        <v>38</v>
      </c>
      <c r="AB6" s="2" t="s">
        <v>39</v>
      </c>
      <c r="AC6" s="2" t="s">
        <v>38</v>
      </c>
      <c r="AD6" s="2" t="s">
        <v>38</v>
      </c>
      <c r="AE6" s="2" t="s">
        <v>38</v>
      </c>
    </row>
    <row r="7" spans="1:31" ht="409.5">
      <c r="A7" s="2">
        <v>2770350</v>
      </c>
      <c r="B7" s="2">
        <f>HYPERLINK("https://platform.v2.vetology.net/cases/2770350/screening-report/18?type=pdf&amp;v=v6&amp;scorecard=1&amp;secret_key=BX%25IJ%24%2F65ieZ%29f6", 2770350)</f>
        <v>2770350</v>
      </c>
      <c r="C7" s="2">
        <f>HYPERLINK("https://platform.v2.vetology.net/report/v/final/"&amp;2770350, 2770350)</f>
        <v>2770350</v>
      </c>
      <c r="D7" s="2" t="s">
        <v>60</v>
      </c>
      <c r="E7" s="2" t="s">
        <v>61</v>
      </c>
      <c r="F7" s="2" t="s">
        <v>62</v>
      </c>
      <c r="G7" s="2" t="s">
        <v>63</v>
      </c>
      <c r="H7" s="2" t="s">
        <v>64</v>
      </c>
      <c r="I7" s="2" t="s">
        <v>65</v>
      </c>
      <c r="J7" s="2" t="s">
        <v>66</v>
      </c>
      <c r="K7" s="2" t="s">
        <v>38</v>
      </c>
      <c r="L7" s="2" t="s">
        <v>39</v>
      </c>
      <c r="M7" s="2" t="s">
        <v>38</v>
      </c>
      <c r="N7" s="2" t="s">
        <v>38</v>
      </c>
      <c r="O7" s="2" t="s">
        <v>38</v>
      </c>
      <c r="P7" s="2" t="s">
        <v>38</v>
      </c>
      <c r="Q7" s="2" t="s">
        <v>38</v>
      </c>
      <c r="R7" s="2" t="s">
        <v>38</v>
      </c>
      <c r="S7" s="2" t="s">
        <v>38</v>
      </c>
      <c r="T7" s="2" t="s">
        <v>39</v>
      </c>
      <c r="U7" s="2" t="s">
        <v>39</v>
      </c>
      <c r="V7" s="2" t="s">
        <v>39</v>
      </c>
      <c r="W7" s="2" t="s">
        <v>38</v>
      </c>
      <c r="X7" s="2" t="s">
        <v>39</v>
      </c>
      <c r="Y7" s="2" t="s">
        <v>38</v>
      </c>
      <c r="Z7" s="2" t="s">
        <v>39</v>
      </c>
      <c r="AA7" s="2" t="s">
        <v>38</v>
      </c>
      <c r="AB7" s="2" t="s">
        <v>38</v>
      </c>
      <c r="AC7" s="2" t="s">
        <v>39</v>
      </c>
      <c r="AD7" s="2" t="s">
        <v>38</v>
      </c>
      <c r="AE7" s="2" t="s">
        <v>38</v>
      </c>
    </row>
    <row r="8" spans="1:31" ht="409.5">
      <c r="A8" s="2">
        <v>2770344</v>
      </c>
      <c r="B8" s="2">
        <f>HYPERLINK("https://platform.v2.vetology.net/cases/2770344/screening-report/18?type=pdf&amp;v=v6&amp;scorecard=1&amp;secret_key=BX%25IJ%24%2F65ieZ%29f6", 2770344)</f>
        <v>2770344</v>
      </c>
      <c r="C8" s="2">
        <f>HYPERLINK("https://platform.v2.vetology.net/report/v/final/"&amp;2770344, 2770344)</f>
        <v>2770344</v>
      </c>
      <c r="D8" s="2" t="s">
        <v>67</v>
      </c>
      <c r="E8" s="2" t="s">
        <v>68</v>
      </c>
      <c r="F8" s="2" t="s">
        <v>69</v>
      </c>
      <c r="G8" s="2" t="s">
        <v>70</v>
      </c>
      <c r="H8" s="2" t="s">
        <v>71</v>
      </c>
      <c r="I8" s="2" t="s">
        <v>44</v>
      </c>
      <c r="J8" s="2"/>
      <c r="K8" s="2" t="s">
        <v>38</v>
      </c>
      <c r="L8" s="2" t="s">
        <v>38</v>
      </c>
      <c r="M8" s="2" t="s">
        <v>38</v>
      </c>
      <c r="N8" s="2" t="s">
        <v>38</v>
      </c>
      <c r="O8" s="2" t="s">
        <v>38</v>
      </c>
      <c r="P8" s="2" t="s">
        <v>38</v>
      </c>
      <c r="Q8" s="2" t="s">
        <v>38</v>
      </c>
      <c r="R8" s="2" t="s">
        <v>38</v>
      </c>
      <c r="S8" s="2" t="s">
        <v>39</v>
      </c>
      <c r="T8" s="2" t="s">
        <v>39</v>
      </c>
      <c r="U8" s="2" t="s">
        <v>38</v>
      </c>
      <c r="V8" s="2" t="s">
        <v>39</v>
      </c>
      <c r="W8" s="2" t="s">
        <v>38</v>
      </c>
      <c r="X8" s="2" t="s">
        <v>39</v>
      </c>
      <c r="Y8" s="2" t="s">
        <v>38</v>
      </c>
      <c r="Z8" s="2" t="s">
        <v>38</v>
      </c>
      <c r="AA8" s="2" t="s">
        <v>38</v>
      </c>
      <c r="AB8" s="2" t="s">
        <v>38</v>
      </c>
      <c r="AC8" s="2" t="s">
        <v>38</v>
      </c>
      <c r="AD8" s="2" t="s">
        <v>38</v>
      </c>
      <c r="AE8" s="2" t="s">
        <v>38</v>
      </c>
    </row>
    <row r="9" spans="1:31" ht="409.5">
      <c r="A9" s="2">
        <v>2770326</v>
      </c>
      <c r="B9" s="2">
        <f>HYPERLINK("https://platform.v2.vetology.net/cases/2770326/screening-report/18?type=pdf&amp;v=v6&amp;scorecard=1&amp;secret_key=BX%25IJ%24%2F65ieZ%29f6", 2770326)</f>
        <v>2770326</v>
      </c>
      <c r="C9" s="2">
        <f>HYPERLINK("https://platform.v2.vetology.net/report/v/final/"&amp;2770326, 2770326)</f>
        <v>2770326</v>
      </c>
      <c r="D9" s="2" t="s">
        <v>72</v>
      </c>
      <c r="E9" s="2" t="s">
        <v>73</v>
      </c>
      <c r="F9" s="2" t="s">
        <v>74</v>
      </c>
      <c r="G9" s="2" t="s">
        <v>63</v>
      </c>
      <c r="H9" s="2" t="s">
        <v>71</v>
      </c>
      <c r="I9" s="2" t="s">
        <v>44</v>
      </c>
      <c r="J9" s="2"/>
      <c r="K9" s="2" t="s">
        <v>38</v>
      </c>
      <c r="L9" s="2" t="s">
        <v>39</v>
      </c>
      <c r="M9" s="2" t="s">
        <v>38</v>
      </c>
      <c r="N9" s="2" t="s">
        <v>38</v>
      </c>
      <c r="O9" s="2" t="s">
        <v>38</v>
      </c>
      <c r="P9" s="2" t="s">
        <v>38</v>
      </c>
      <c r="Q9" s="2" t="s">
        <v>38</v>
      </c>
      <c r="R9" s="2" t="s">
        <v>38</v>
      </c>
      <c r="S9" s="2" t="s">
        <v>39</v>
      </c>
      <c r="T9" s="2" t="s">
        <v>39</v>
      </c>
      <c r="U9" s="2" t="s">
        <v>38</v>
      </c>
      <c r="V9" s="2" t="s">
        <v>39</v>
      </c>
      <c r="W9" s="2" t="s">
        <v>38</v>
      </c>
      <c r="X9" s="2" t="s">
        <v>39</v>
      </c>
      <c r="Y9" s="2" t="s">
        <v>38</v>
      </c>
      <c r="Z9" s="2" t="s">
        <v>38</v>
      </c>
      <c r="AA9" s="2" t="s">
        <v>38</v>
      </c>
      <c r="AB9" s="2" t="s">
        <v>39</v>
      </c>
      <c r="AC9" s="2" t="s">
        <v>38</v>
      </c>
      <c r="AD9" s="2" t="s">
        <v>38</v>
      </c>
      <c r="AE9" s="2" t="s">
        <v>38</v>
      </c>
    </row>
    <row r="10" spans="1:31" ht="409.5">
      <c r="A10" s="2">
        <v>2770055</v>
      </c>
      <c r="B10" s="2">
        <f>HYPERLINK("https://platform.v2.vetology.net/cases/2770055/screening-report/18?type=pdf&amp;v=v6&amp;scorecard=1&amp;secret_key=BX%25IJ%24%2F65ieZ%29f6", 2770055)</f>
        <v>2770055</v>
      </c>
      <c r="C10" s="2">
        <f>HYPERLINK("https://platform.v2.vetology.net/report/v/final/"&amp;2770055, 2770055)</f>
        <v>2770055</v>
      </c>
      <c r="D10" s="2" t="s">
        <v>75</v>
      </c>
      <c r="E10" s="2" t="s">
        <v>76</v>
      </c>
      <c r="F10" s="2" t="s">
        <v>77</v>
      </c>
      <c r="G10" s="2" t="s">
        <v>34</v>
      </c>
      <c r="H10" s="2" t="s">
        <v>78</v>
      </c>
      <c r="I10" s="2" t="s">
        <v>44</v>
      </c>
      <c r="J10" s="2"/>
      <c r="K10" s="2" t="s">
        <v>38</v>
      </c>
      <c r="L10" s="2" t="s">
        <v>38</v>
      </c>
      <c r="M10" s="2" t="s">
        <v>39</v>
      </c>
      <c r="N10" s="2" t="s">
        <v>38</v>
      </c>
      <c r="O10" s="2" t="s">
        <v>39</v>
      </c>
      <c r="P10" s="2" t="s">
        <v>39</v>
      </c>
      <c r="Q10" s="2" t="s">
        <v>38</v>
      </c>
      <c r="R10" s="2" t="s">
        <v>38</v>
      </c>
      <c r="S10" s="2" t="s">
        <v>38</v>
      </c>
      <c r="T10" s="2" t="s">
        <v>39</v>
      </c>
      <c r="U10" s="2" t="s">
        <v>38</v>
      </c>
      <c r="V10" s="2" t="s">
        <v>39</v>
      </c>
      <c r="W10" s="2" t="s">
        <v>38</v>
      </c>
      <c r="X10" s="2" t="s">
        <v>39</v>
      </c>
      <c r="Y10" s="2" t="s">
        <v>38</v>
      </c>
      <c r="Z10" s="2" t="s">
        <v>38</v>
      </c>
      <c r="AA10" s="2" t="s">
        <v>38</v>
      </c>
      <c r="AB10" s="2" t="s">
        <v>38</v>
      </c>
      <c r="AC10" s="2" t="s">
        <v>38</v>
      </c>
      <c r="AD10" s="2" t="s">
        <v>38</v>
      </c>
      <c r="AE10" s="2" t="s">
        <v>38</v>
      </c>
    </row>
    <row r="11" spans="1:31" ht="409.5">
      <c r="A11" s="2">
        <v>2769917</v>
      </c>
      <c r="B11" s="2">
        <f>HYPERLINK("https://platform.v2.vetology.net/cases/2769917/screening-report/18?type=pdf&amp;v=v6&amp;scorecard=1&amp;secret_key=BX%25IJ%24%2F65ieZ%29f6", 2769917)</f>
        <v>2769917</v>
      </c>
      <c r="C11" s="2">
        <f>HYPERLINK("https://platform.v2.vetology.net/report/v/final/"&amp;2769917, 2769917)</f>
        <v>2769917</v>
      </c>
      <c r="D11" s="2" t="s">
        <v>79</v>
      </c>
      <c r="E11" s="2" t="s">
        <v>80</v>
      </c>
      <c r="F11" s="2" t="s">
        <v>81</v>
      </c>
      <c r="G11" s="2" t="s">
        <v>82</v>
      </c>
      <c r="H11" s="2" t="s">
        <v>83</v>
      </c>
      <c r="I11" s="2" t="s">
        <v>84</v>
      </c>
      <c r="J11" s="2" t="s">
        <v>85</v>
      </c>
      <c r="K11" s="2" t="s">
        <v>38</v>
      </c>
      <c r="L11" s="2" t="s">
        <v>38</v>
      </c>
      <c r="M11" s="2" t="s">
        <v>39</v>
      </c>
      <c r="N11" s="2" t="s">
        <v>38</v>
      </c>
      <c r="O11" s="2" t="s">
        <v>39</v>
      </c>
      <c r="P11" s="2" t="s">
        <v>39</v>
      </c>
      <c r="Q11" s="2" t="s">
        <v>38</v>
      </c>
      <c r="R11" s="2" t="s">
        <v>38</v>
      </c>
      <c r="S11" s="2" t="s">
        <v>38</v>
      </c>
      <c r="T11" s="2" t="s">
        <v>38</v>
      </c>
      <c r="U11" s="2" t="s">
        <v>38</v>
      </c>
      <c r="V11" s="2" t="s">
        <v>38</v>
      </c>
      <c r="W11" s="2" t="s">
        <v>38</v>
      </c>
      <c r="X11" s="2" t="s">
        <v>38</v>
      </c>
      <c r="Y11" s="2" t="s">
        <v>38</v>
      </c>
      <c r="Z11" s="2" t="s">
        <v>39</v>
      </c>
      <c r="AA11" s="2" t="s">
        <v>38</v>
      </c>
      <c r="AB11" s="2" t="s">
        <v>38</v>
      </c>
      <c r="AC11" s="2" t="s">
        <v>39</v>
      </c>
      <c r="AD11" s="2" t="s">
        <v>38</v>
      </c>
      <c r="AE11" s="2" t="s">
        <v>38</v>
      </c>
    </row>
    <row r="12" spans="1:31" ht="409.5">
      <c r="A12" s="2">
        <v>2769897</v>
      </c>
      <c r="B12" s="2">
        <f>HYPERLINK("https://platform.v2.vetology.net/cases/2769897/screening-report/18?type=pdf&amp;v=v6&amp;scorecard=1&amp;secret_key=BX%25IJ%24%2F65ieZ%29f6", 2769897)</f>
        <v>2769897</v>
      </c>
      <c r="C12" s="2">
        <f>HYPERLINK("https://platform.v2.vetology.net/report/v/final/"&amp;2769897, 2769897)</f>
        <v>2769897</v>
      </c>
      <c r="D12" s="2" t="s">
        <v>86</v>
      </c>
      <c r="E12" s="2" t="s">
        <v>87</v>
      </c>
      <c r="F12" s="2" t="s">
        <v>81</v>
      </c>
      <c r="G12" s="2" t="s">
        <v>82</v>
      </c>
      <c r="H12" s="2" t="s">
        <v>88</v>
      </c>
      <c r="I12" s="2" t="s">
        <v>89</v>
      </c>
      <c r="J12" s="2" t="s">
        <v>66</v>
      </c>
      <c r="K12" s="2" t="s">
        <v>38</v>
      </c>
      <c r="L12" s="2" t="s">
        <v>39</v>
      </c>
      <c r="M12" s="2" t="s">
        <v>38</v>
      </c>
      <c r="N12" s="2" t="s">
        <v>38</v>
      </c>
      <c r="O12" s="2" t="s">
        <v>38</v>
      </c>
      <c r="P12" s="2" t="s">
        <v>39</v>
      </c>
      <c r="Q12" s="2" t="s">
        <v>38</v>
      </c>
      <c r="R12" s="2" t="s">
        <v>38</v>
      </c>
      <c r="S12" s="2" t="s">
        <v>38</v>
      </c>
      <c r="T12" s="2" t="s">
        <v>39</v>
      </c>
      <c r="U12" s="2" t="s">
        <v>39</v>
      </c>
      <c r="V12" s="2" t="s">
        <v>39</v>
      </c>
      <c r="W12" s="2" t="s">
        <v>38</v>
      </c>
      <c r="X12" s="2" t="s">
        <v>39</v>
      </c>
      <c r="Y12" s="2" t="s">
        <v>38</v>
      </c>
      <c r="Z12" s="2" t="s">
        <v>39</v>
      </c>
      <c r="AA12" s="2" t="s">
        <v>38</v>
      </c>
      <c r="AB12" s="2" t="s">
        <v>38</v>
      </c>
      <c r="AC12" s="2" t="s">
        <v>38</v>
      </c>
      <c r="AD12" s="2" t="s">
        <v>38</v>
      </c>
      <c r="AE12" s="2" t="s">
        <v>39</v>
      </c>
    </row>
    <row r="13" spans="1:31" ht="409.5">
      <c r="A13" s="2">
        <v>2769410</v>
      </c>
      <c r="B13" s="2">
        <f>HYPERLINK("https://platform.v2.vetology.net/cases/2769410/screening-report/18?type=pdf&amp;v=v6&amp;scorecard=1&amp;secret_key=BX%25IJ%24%2F65ieZ%29f6", 2769410)</f>
        <v>2769410</v>
      </c>
      <c r="C13" s="2">
        <f>HYPERLINK("https://platform.v2.vetology.net/report/v/final/"&amp;2769410, 2769410)</f>
        <v>2769410</v>
      </c>
      <c r="D13" s="2" t="s">
        <v>90</v>
      </c>
      <c r="E13" s="2" t="s">
        <v>91</v>
      </c>
      <c r="F13" s="2" t="s">
        <v>92</v>
      </c>
      <c r="G13" s="2" t="s">
        <v>93</v>
      </c>
      <c r="H13" s="2" t="s">
        <v>94</v>
      </c>
      <c r="I13" s="2" t="s">
        <v>89</v>
      </c>
      <c r="J13" s="2" t="s">
        <v>66</v>
      </c>
      <c r="K13" s="2" t="s">
        <v>38</v>
      </c>
      <c r="L13" s="2" t="s">
        <v>39</v>
      </c>
      <c r="M13" s="2" t="s">
        <v>38</v>
      </c>
      <c r="N13" s="2" t="s">
        <v>38</v>
      </c>
      <c r="O13" s="2" t="s">
        <v>38</v>
      </c>
      <c r="P13" s="2" t="s">
        <v>38</v>
      </c>
      <c r="Q13" s="2" t="s">
        <v>38</v>
      </c>
      <c r="R13" s="2" t="s">
        <v>38</v>
      </c>
      <c r="S13" s="2" t="s">
        <v>38</v>
      </c>
      <c r="T13" s="2" t="s">
        <v>39</v>
      </c>
      <c r="U13" s="2" t="s">
        <v>38</v>
      </c>
      <c r="V13" s="2" t="s">
        <v>39</v>
      </c>
      <c r="W13" s="2" t="s">
        <v>38</v>
      </c>
      <c r="X13" s="2" t="s">
        <v>38</v>
      </c>
      <c r="Y13" s="2" t="s">
        <v>38</v>
      </c>
      <c r="Z13" s="2" t="s">
        <v>38</v>
      </c>
      <c r="AA13" s="2" t="s">
        <v>38</v>
      </c>
      <c r="AB13" s="2" t="s">
        <v>38</v>
      </c>
      <c r="AC13" s="2" t="s">
        <v>39</v>
      </c>
      <c r="AD13" s="2" t="s">
        <v>38</v>
      </c>
      <c r="AE13" s="2" t="s">
        <v>39</v>
      </c>
    </row>
    <row r="14" spans="1:31" ht="409.5">
      <c r="A14" s="2">
        <v>2769325</v>
      </c>
      <c r="B14" s="2">
        <f>HYPERLINK("https://platform.v2.vetology.net/cases/2769325/screening-report/18?type=pdf&amp;v=v6&amp;scorecard=1&amp;secret_key=BX%25IJ%24%2F65ieZ%29f6", 2769325)</f>
        <v>2769325</v>
      </c>
      <c r="C14" s="2">
        <f>HYPERLINK("https://platform.v2.vetology.net/report/v/final/"&amp;2769325, 2769325)</f>
        <v>2769325</v>
      </c>
      <c r="D14" s="2" t="s">
        <v>95</v>
      </c>
      <c r="E14" s="2" t="s">
        <v>96</v>
      </c>
      <c r="F14" s="2" t="s">
        <v>97</v>
      </c>
      <c r="G14" s="2" t="s">
        <v>34</v>
      </c>
      <c r="H14" s="2" t="s">
        <v>54</v>
      </c>
      <c r="I14" s="2" t="s">
        <v>44</v>
      </c>
      <c r="J14" s="2"/>
      <c r="K14" s="2" t="s">
        <v>38</v>
      </c>
      <c r="L14" s="2" t="s">
        <v>38</v>
      </c>
      <c r="M14" s="2" t="s">
        <v>38</v>
      </c>
      <c r="N14" s="2" t="s">
        <v>38</v>
      </c>
      <c r="O14" s="2" t="s">
        <v>38</v>
      </c>
      <c r="P14" s="2" t="s">
        <v>38</v>
      </c>
      <c r="Q14" s="2" t="s">
        <v>38</v>
      </c>
      <c r="R14" s="2" t="s">
        <v>38</v>
      </c>
      <c r="S14" s="2" t="s">
        <v>38</v>
      </c>
      <c r="T14" s="2" t="s">
        <v>38</v>
      </c>
      <c r="U14" s="2" t="s">
        <v>38</v>
      </c>
      <c r="V14" s="2" t="s">
        <v>38</v>
      </c>
      <c r="W14" s="2" t="s">
        <v>38</v>
      </c>
      <c r="X14" s="2" t="s">
        <v>38</v>
      </c>
      <c r="Y14" s="2" t="s">
        <v>38</v>
      </c>
      <c r="Z14" s="2" t="s">
        <v>38</v>
      </c>
      <c r="AA14" s="2" t="s">
        <v>38</v>
      </c>
      <c r="AB14" s="2" t="s">
        <v>39</v>
      </c>
      <c r="AC14" s="2" t="s">
        <v>38</v>
      </c>
      <c r="AD14" s="2" t="s">
        <v>38</v>
      </c>
      <c r="AE14" s="2" t="s">
        <v>38</v>
      </c>
    </row>
    <row r="15" spans="1:31" ht="409.5">
      <c r="A15" s="2">
        <v>2769235</v>
      </c>
      <c r="B15" s="2">
        <f>HYPERLINK("https://platform.v2.vetology.net/cases/2769235/screening-report/18?type=pdf&amp;v=v6&amp;scorecard=1&amp;secret_key=BX%25IJ%24%2F65ieZ%29f6", 2769235)</f>
        <v>2769235</v>
      </c>
      <c r="C15" s="2">
        <f>HYPERLINK("https://platform.v2.vetology.net/report/v/final/"&amp;2769235, 2769235)</f>
        <v>2769235</v>
      </c>
      <c r="D15" s="2" t="s">
        <v>98</v>
      </c>
      <c r="E15" s="2" t="s">
        <v>99</v>
      </c>
      <c r="F15" s="2" t="s">
        <v>100</v>
      </c>
      <c r="G15" s="2" t="s">
        <v>63</v>
      </c>
      <c r="H15" s="2" t="s">
        <v>101</v>
      </c>
      <c r="I15" s="2" t="s">
        <v>44</v>
      </c>
      <c r="J15" s="2"/>
      <c r="K15" s="2" t="s">
        <v>38</v>
      </c>
      <c r="L15" s="2" t="s">
        <v>39</v>
      </c>
      <c r="M15" s="2" t="s">
        <v>39</v>
      </c>
      <c r="N15" s="2" t="s">
        <v>38</v>
      </c>
      <c r="O15" s="2" t="s">
        <v>38</v>
      </c>
      <c r="P15" s="2" t="s">
        <v>38</v>
      </c>
      <c r="Q15" s="2" t="s">
        <v>38</v>
      </c>
      <c r="R15" s="2" t="s">
        <v>38</v>
      </c>
      <c r="S15" s="2" t="s">
        <v>38</v>
      </c>
      <c r="T15" s="2" t="s">
        <v>39</v>
      </c>
      <c r="U15" s="2" t="s">
        <v>38</v>
      </c>
      <c r="V15" s="2" t="s">
        <v>39</v>
      </c>
      <c r="W15" s="2" t="s">
        <v>38</v>
      </c>
      <c r="X15" s="2" t="s">
        <v>39</v>
      </c>
      <c r="Y15" s="2" t="s">
        <v>38</v>
      </c>
      <c r="Z15" s="2" t="s">
        <v>38</v>
      </c>
      <c r="AA15" s="2" t="s">
        <v>38</v>
      </c>
      <c r="AB15" s="2" t="s">
        <v>39</v>
      </c>
      <c r="AC15" s="2" t="s">
        <v>38</v>
      </c>
      <c r="AD15" s="2" t="s">
        <v>38</v>
      </c>
      <c r="AE15" s="2" t="s">
        <v>38</v>
      </c>
    </row>
    <row r="16" spans="1:31" ht="409.5">
      <c r="A16" s="2">
        <v>2769216</v>
      </c>
      <c r="B16" s="2">
        <f>HYPERLINK("https://platform.v2.vetology.net/cases/2769216/screening-report/18?type=pdf&amp;v=v6&amp;scorecard=1&amp;secret_key=BX%25IJ%24%2F65ieZ%29f6", 2769216)</f>
        <v>2769216</v>
      </c>
      <c r="C16" s="2">
        <f>HYPERLINK("https://platform.v2.vetology.net/report/v/final/"&amp;2769216, 2769216)</f>
        <v>2769216</v>
      </c>
      <c r="D16" s="2" t="s">
        <v>102</v>
      </c>
      <c r="E16" s="2" t="s">
        <v>103</v>
      </c>
      <c r="F16" s="2" t="s">
        <v>104</v>
      </c>
      <c r="G16" s="2" t="s">
        <v>58</v>
      </c>
      <c r="H16" s="2" t="s">
        <v>105</v>
      </c>
      <c r="I16" s="2" t="s">
        <v>44</v>
      </c>
      <c r="J16" s="2" t="s">
        <v>106</v>
      </c>
      <c r="K16" s="2" t="s">
        <v>38</v>
      </c>
      <c r="L16" s="2" t="s">
        <v>39</v>
      </c>
      <c r="M16" s="2" t="s">
        <v>38</v>
      </c>
      <c r="N16" s="2" t="s">
        <v>38</v>
      </c>
      <c r="O16" s="2" t="s">
        <v>38</v>
      </c>
      <c r="P16" s="2" t="s">
        <v>39</v>
      </c>
      <c r="Q16" s="2" t="s">
        <v>38</v>
      </c>
      <c r="R16" s="2" t="s">
        <v>38</v>
      </c>
      <c r="S16" s="2" t="s">
        <v>38</v>
      </c>
      <c r="T16" s="2" t="s">
        <v>38</v>
      </c>
      <c r="U16" s="2" t="s">
        <v>38</v>
      </c>
      <c r="V16" s="2" t="s">
        <v>38</v>
      </c>
      <c r="W16" s="2" t="s">
        <v>38</v>
      </c>
      <c r="X16" s="2" t="s">
        <v>38</v>
      </c>
      <c r="Y16" s="2" t="s">
        <v>38</v>
      </c>
      <c r="Z16" s="2" t="s">
        <v>38</v>
      </c>
      <c r="AA16" s="2" t="s">
        <v>38</v>
      </c>
      <c r="AB16" s="2" t="s">
        <v>38</v>
      </c>
      <c r="AC16" s="2" t="s">
        <v>38</v>
      </c>
      <c r="AD16" s="2" t="s">
        <v>38</v>
      </c>
      <c r="AE16" s="2" t="s">
        <v>38</v>
      </c>
    </row>
    <row r="17" spans="1:31" ht="409.5">
      <c r="A17" s="2">
        <v>2769215</v>
      </c>
      <c r="B17" s="2">
        <f>HYPERLINK("https://platform.v2.vetology.net/cases/2769215/screening-report/18?type=pdf&amp;v=v6&amp;scorecard=1&amp;secret_key=BX%25IJ%24%2F65ieZ%29f6", 2769215)</f>
        <v>2769215</v>
      </c>
      <c r="C17" s="2">
        <f>HYPERLINK("https://platform.v2.vetology.net/report/v/final/"&amp;2769215, 2769215)</f>
        <v>2769215</v>
      </c>
      <c r="D17" s="2" t="s">
        <v>107</v>
      </c>
      <c r="E17" s="2" t="s">
        <v>108</v>
      </c>
      <c r="F17" s="2" t="s">
        <v>109</v>
      </c>
      <c r="G17" s="2" t="s">
        <v>93</v>
      </c>
      <c r="H17" s="2" t="s">
        <v>110</v>
      </c>
      <c r="I17" s="2" t="s">
        <v>111</v>
      </c>
      <c r="J17" s="2" t="s">
        <v>112</v>
      </c>
      <c r="K17" s="2" t="s">
        <v>39</v>
      </c>
      <c r="L17" s="2" t="s">
        <v>39</v>
      </c>
      <c r="M17" s="2" t="s">
        <v>39</v>
      </c>
      <c r="N17" s="2" t="s">
        <v>39</v>
      </c>
      <c r="O17" s="2" t="s">
        <v>39</v>
      </c>
      <c r="P17" s="2" t="s">
        <v>39</v>
      </c>
      <c r="Q17" s="2" t="s">
        <v>39</v>
      </c>
      <c r="R17" s="2" t="s">
        <v>39</v>
      </c>
      <c r="S17" s="2" t="s">
        <v>39</v>
      </c>
      <c r="T17" s="2" t="s">
        <v>39</v>
      </c>
      <c r="U17" s="2" t="s">
        <v>39</v>
      </c>
      <c r="V17" s="2" t="s">
        <v>39</v>
      </c>
      <c r="W17" s="2" t="s">
        <v>39</v>
      </c>
      <c r="X17" s="2" t="s">
        <v>39</v>
      </c>
      <c r="Y17" s="2" t="s">
        <v>39</v>
      </c>
      <c r="Z17" s="2" t="s">
        <v>39</v>
      </c>
      <c r="AA17" s="2" t="s">
        <v>39</v>
      </c>
      <c r="AB17" s="2" t="s">
        <v>39</v>
      </c>
      <c r="AC17" s="2" t="s">
        <v>39</v>
      </c>
      <c r="AD17" s="2" t="s">
        <v>39</v>
      </c>
      <c r="AE17" s="2" t="s">
        <v>39</v>
      </c>
    </row>
    <row r="18" spans="1:31" ht="409.5">
      <c r="A18" s="2">
        <v>2769206</v>
      </c>
      <c r="B18" s="2">
        <f>HYPERLINK("https://platform.v2.vetology.net/cases/2769206/screening-report/18?type=pdf&amp;v=v6&amp;scorecard=1&amp;secret_key=BX%25IJ%24%2F65ieZ%29f6", 2769206)</f>
        <v>2769206</v>
      </c>
      <c r="C18" s="2">
        <f>HYPERLINK("https://platform.v2.vetology.net/report/v/final/"&amp;2769206, 2769206)</f>
        <v>2769206</v>
      </c>
      <c r="D18" s="2" t="s">
        <v>113</v>
      </c>
      <c r="E18" s="2" t="s">
        <v>114</v>
      </c>
      <c r="F18" s="2" t="s">
        <v>115</v>
      </c>
      <c r="G18" s="2" t="s">
        <v>93</v>
      </c>
      <c r="H18" s="2" t="s">
        <v>54</v>
      </c>
      <c r="I18" s="2" t="s">
        <v>44</v>
      </c>
      <c r="J18" s="2" t="s">
        <v>106</v>
      </c>
      <c r="K18" s="2" t="s">
        <v>38</v>
      </c>
      <c r="L18" s="2" t="s">
        <v>39</v>
      </c>
      <c r="M18" s="2" t="s">
        <v>38</v>
      </c>
      <c r="N18" s="2" t="s">
        <v>38</v>
      </c>
      <c r="O18" s="2" t="s">
        <v>38</v>
      </c>
      <c r="P18" s="2" t="s">
        <v>38</v>
      </c>
      <c r="Q18" s="2" t="s">
        <v>38</v>
      </c>
      <c r="R18" s="2" t="s">
        <v>38</v>
      </c>
      <c r="S18" s="2" t="s">
        <v>38</v>
      </c>
      <c r="T18" s="2" t="s">
        <v>38</v>
      </c>
      <c r="U18" s="2" t="s">
        <v>38</v>
      </c>
      <c r="V18" s="2" t="s">
        <v>38</v>
      </c>
      <c r="W18" s="2" t="s">
        <v>38</v>
      </c>
      <c r="X18" s="2" t="s">
        <v>38</v>
      </c>
      <c r="Y18" s="2" t="s">
        <v>38</v>
      </c>
      <c r="Z18" s="2" t="s">
        <v>38</v>
      </c>
      <c r="AA18" s="2" t="s">
        <v>38</v>
      </c>
      <c r="AB18" s="2" t="s">
        <v>39</v>
      </c>
      <c r="AC18" s="2" t="s">
        <v>39</v>
      </c>
      <c r="AD18" s="2" t="s">
        <v>38</v>
      </c>
      <c r="AE18" s="2" t="s">
        <v>38</v>
      </c>
    </row>
    <row r="19" spans="1:31" ht="409.5">
      <c r="A19" s="2">
        <v>2769022</v>
      </c>
      <c r="B19" s="2">
        <f>HYPERLINK("https://platform.v2.vetology.net/cases/2769022/screening-report/18?type=pdf&amp;v=v6&amp;scorecard=1&amp;secret_key=BX%25IJ%24%2F65ieZ%29f6", 2769022)</f>
        <v>2769022</v>
      </c>
      <c r="C19" s="2">
        <f>HYPERLINK("https://platform.v2.vetology.net/report/v/final/"&amp;2769022, 2769022)</f>
        <v>2769022</v>
      </c>
      <c r="D19" s="2" t="s">
        <v>116</v>
      </c>
      <c r="E19" s="2" t="s">
        <v>117</v>
      </c>
      <c r="F19" s="2" t="s">
        <v>81</v>
      </c>
      <c r="G19" s="2" t="s">
        <v>82</v>
      </c>
      <c r="H19" s="2" t="s">
        <v>118</v>
      </c>
      <c r="I19" s="2" t="s">
        <v>119</v>
      </c>
      <c r="J19" s="2" t="s">
        <v>112</v>
      </c>
      <c r="K19" s="2" t="s">
        <v>39</v>
      </c>
      <c r="L19" s="2" t="s">
        <v>38</v>
      </c>
      <c r="M19" s="2" t="s">
        <v>39</v>
      </c>
      <c r="N19" s="2" t="s">
        <v>39</v>
      </c>
      <c r="O19" s="2" t="s">
        <v>39</v>
      </c>
      <c r="P19" s="2" t="s">
        <v>39</v>
      </c>
      <c r="Q19" s="2" t="s">
        <v>39</v>
      </c>
      <c r="R19" s="2" t="s">
        <v>39</v>
      </c>
      <c r="S19" s="2" t="s">
        <v>39</v>
      </c>
      <c r="T19" s="2" t="s">
        <v>39</v>
      </c>
      <c r="U19" s="2" t="s">
        <v>38</v>
      </c>
      <c r="V19" s="2" t="s">
        <v>39</v>
      </c>
      <c r="W19" s="2" t="s">
        <v>39</v>
      </c>
      <c r="X19" s="2" t="s">
        <v>39</v>
      </c>
      <c r="Y19" s="2" t="s">
        <v>39</v>
      </c>
      <c r="Z19" s="2" t="s">
        <v>39</v>
      </c>
      <c r="AA19" s="2" t="s">
        <v>39</v>
      </c>
      <c r="AB19" s="2" t="s">
        <v>39</v>
      </c>
      <c r="AC19" s="2" t="s">
        <v>39</v>
      </c>
      <c r="AD19" s="2" t="s">
        <v>38</v>
      </c>
      <c r="AE19" s="2" t="s">
        <v>39</v>
      </c>
    </row>
    <row r="20" spans="1:31" ht="409.5">
      <c r="A20" s="2">
        <v>2768608</v>
      </c>
      <c r="B20" s="2">
        <f>HYPERLINK("https://platform.v2.vetology.net/cases/2768608/screening-report/18?type=pdf&amp;v=v6&amp;scorecard=1&amp;secret_key=BX%25IJ%24%2F65ieZ%29f6", 2768608)</f>
        <v>2768608</v>
      </c>
      <c r="C20" s="2">
        <f>HYPERLINK("https://platform.v2.vetology.net/report/v/final/"&amp;2768608, 2768608)</f>
        <v>2768608</v>
      </c>
      <c r="D20" s="2" t="s">
        <v>120</v>
      </c>
      <c r="E20" s="2" t="s">
        <v>121</v>
      </c>
      <c r="F20" s="2" t="s">
        <v>122</v>
      </c>
      <c r="G20" s="2" t="s">
        <v>34</v>
      </c>
      <c r="H20" s="2" t="s">
        <v>123</v>
      </c>
      <c r="I20" s="2" t="s">
        <v>124</v>
      </c>
      <c r="J20" s="2" t="s">
        <v>125</v>
      </c>
      <c r="K20" s="2" t="s">
        <v>38</v>
      </c>
      <c r="L20" s="2" t="s">
        <v>39</v>
      </c>
      <c r="M20" s="2" t="s">
        <v>39</v>
      </c>
      <c r="N20" s="2" t="s">
        <v>38</v>
      </c>
      <c r="O20" s="2" t="s">
        <v>38</v>
      </c>
      <c r="P20" s="2" t="s">
        <v>38</v>
      </c>
      <c r="Q20" s="2" t="s">
        <v>38</v>
      </c>
      <c r="R20" s="2" t="s">
        <v>38</v>
      </c>
      <c r="S20" s="2" t="s">
        <v>39</v>
      </c>
      <c r="T20" s="2" t="s">
        <v>39</v>
      </c>
      <c r="U20" s="2" t="s">
        <v>39</v>
      </c>
      <c r="V20" s="2" t="s">
        <v>39</v>
      </c>
      <c r="W20" s="2" t="s">
        <v>38</v>
      </c>
      <c r="X20" s="2" t="s">
        <v>39</v>
      </c>
      <c r="Y20" s="2" t="s">
        <v>38</v>
      </c>
      <c r="Z20" s="2" t="s">
        <v>38</v>
      </c>
      <c r="AA20" s="2" t="s">
        <v>38</v>
      </c>
      <c r="AB20" s="2" t="s">
        <v>39</v>
      </c>
      <c r="AC20" s="2" t="s">
        <v>38</v>
      </c>
      <c r="AD20" s="2" t="s">
        <v>38</v>
      </c>
      <c r="AE20" s="2" t="s">
        <v>38</v>
      </c>
    </row>
    <row r="21" spans="1:31" ht="409.5">
      <c r="A21" s="2">
        <v>2768583</v>
      </c>
      <c r="B21" s="2">
        <f>HYPERLINK("https://platform.v2.vetology.net/cases/2768583/screening-report/18?type=pdf&amp;v=v6&amp;scorecard=1&amp;secret_key=BX%25IJ%24%2F65ieZ%29f6", 2768583)</f>
        <v>2768583</v>
      </c>
      <c r="C21" s="2">
        <f>HYPERLINK("https://platform.v2.vetology.net/report/v/final/"&amp;2768583, 2768583)</f>
        <v>2768583</v>
      </c>
      <c r="D21" s="2" t="s">
        <v>126</v>
      </c>
      <c r="E21" s="2" t="s">
        <v>127</v>
      </c>
      <c r="F21" s="2" t="s">
        <v>128</v>
      </c>
      <c r="G21" s="2" t="s">
        <v>34</v>
      </c>
      <c r="H21" s="2" t="s">
        <v>129</v>
      </c>
      <c r="I21" s="2" t="s">
        <v>44</v>
      </c>
      <c r="J21" s="2"/>
      <c r="K21" s="2" t="s">
        <v>38</v>
      </c>
      <c r="L21" s="2" t="s">
        <v>39</v>
      </c>
      <c r="M21" s="2" t="s">
        <v>38</v>
      </c>
      <c r="N21" s="2" t="s">
        <v>38</v>
      </c>
      <c r="O21" s="2" t="s">
        <v>38</v>
      </c>
      <c r="P21" s="2" t="s">
        <v>39</v>
      </c>
      <c r="Q21" s="2" t="s">
        <v>38</v>
      </c>
      <c r="R21" s="2" t="s">
        <v>38</v>
      </c>
      <c r="S21" s="2" t="s">
        <v>38</v>
      </c>
      <c r="T21" s="2" t="s">
        <v>39</v>
      </c>
      <c r="U21" s="2" t="s">
        <v>38</v>
      </c>
      <c r="V21" s="2" t="s">
        <v>38</v>
      </c>
      <c r="W21" s="2" t="s">
        <v>38</v>
      </c>
      <c r="X21" s="2" t="s">
        <v>39</v>
      </c>
      <c r="Y21" s="2" t="s">
        <v>38</v>
      </c>
      <c r="Z21" s="2" t="s">
        <v>38</v>
      </c>
      <c r="AA21" s="2" t="s">
        <v>38</v>
      </c>
      <c r="AB21" s="2" t="s">
        <v>38</v>
      </c>
      <c r="AC21" s="2" t="s">
        <v>38</v>
      </c>
      <c r="AD21" s="2" t="s">
        <v>38</v>
      </c>
      <c r="AE21" s="2" t="s">
        <v>38</v>
      </c>
    </row>
    <row r="22" spans="1:31" ht="409.5">
      <c r="A22" s="2">
        <v>2768572</v>
      </c>
      <c r="B22" s="2">
        <f>HYPERLINK("https://platform.v2.vetology.net/cases/2768572/screening-report/18?type=pdf&amp;v=v6&amp;scorecard=1&amp;secret_key=BX%25IJ%24%2F65ieZ%29f6", 2768572)</f>
        <v>2768572</v>
      </c>
      <c r="C22" s="2">
        <f>HYPERLINK("https://platform.v2.vetology.net/report/v/final/"&amp;2768572, 2768572)</f>
        <v>2768572</v>
      </c>
      <c r="D22" s="2" t="s">
        <v>130</v>
      </c>
      <c r="E22" s="2" t="s">
        <v>131</v>
      </c>
      <c r="F22" s="2" t="s">
        <v>81</v>
      </c>
      <c r="G22" s="2" t="s">
        <v>82</v>
      </c>
      <c r="H22" s="2" t="s">
        <v>48</v>
      </c>
      <c r="I22" s="2" t="s">
        <v>49</v>
      </c>
      <c r="J22" s="2" t="s">
        <v>50</v>
      </c>
      <c r="K22" s="2" t="s">
        <v>38</v>
      </c>
      <c r="L22" s="2" t="s">
        <v>38</v>
      </c>
      <c r="M22" s="2" t="s">
        <v>38</v>
      </c>
      <c r="N22" s="2" t="s">
        <v>38</v>
      </c>
      <c r="O22" s="2" t="s">
        <v>39</v>
      </c>
      <c r="P22" s="2" t="s">
        <v>38</v>
      </c>
      <c r="Q22" s="2" t="s">
        <v>38</v>
      </c>
      <c r="R22" s="2" t="s">
        <v>38</v>
      </c>
      <c r="S22" s="2" t="s">
        <v>38</v>
      </c>
      <c r="T22" s="2" t="s">
        <v>39</v>
      </c>
      <c r="U22" s="2" t="s">
        <v>38</v>
      </c>
      <c r="V22" s="2" t="s">
        <v>39</v>
      </c>
      <c r="W22" s="2" t="s">
        <v>38</v>
      </c>
      <c r="X22" s="2" t="s">
        <v>39</v>
      </c>
      <c r="Y22" s="2" t="s">
        <v>38</v>
      </c>
      <c r="Z22" s="2" t="s">
        <v>38</v>
      </c>
      <c r="AA22" s="2" t="s">
        <v>38</v>
      </c>
      <c r="AB22" s="2" t="s">
        <v>38</v>
      </c>
      <c r="AC22" s="2" t="s">
        <v>38</v>
      </c>
      <c r="AD22" s="2" t="s">
        <v>38</v>
      </c>
      <c r="AE22" s="2" t="s">
        <v>38</v>
      </c>
    </row>
    <row r="23" spans="1:31" ht="409.5">
      <c r="A23" s="2">
        <v>2768426</v>
      </c>
      <c r="B23" s="2">
        <f>HYPERLINK("https://platform.v2.vetology.net/cases/2768426/screening-report/18?type=pdf&amp;v=v6&amp;scorecard=1&amp;secret_key=BX%25IJ%24%2F65ieZ%29f6", 2768426)</f>
        <v>2768426</v>
      </c>
      <c r="C23" s="2">
        <f>HYPERLINK("https://platform.v2.vetology.net/report/v/final/"&amp;2768426, 2768426)</f>
        <v>2768426</v>
      </c>
      <c r="D23" s="2" t="s">
        <v>132</v>
      </c>
      <c r="E23" s="2" t="s">
        <v>133</v>
      </c>
      <c r="F23" s="2" t="s">
        <v>134</v>
      </c>
      <c r="G23" s="2" t="s">
        <v>135</v>
      </c>
      <c r="H23" s="2" t="s">
        <v>136</v>
      </c>
      <c r="I23" s="2" t="s">
        <v>137</v>
      </c>
      <c r="J23" s="2" t="s">
        <v>66</v>
      </c>
      <c r="K23" s="2" t="s">
        <v>38</v>
      </c>
      <c r="L23" s="2" t="s">
        <v>39</v>
      </c>
      <c r="M23" s="2" t="s">
        <v>38</v>
      </c>
      <c r="N23" s="2" t="s">
        <v>38</v>
      </c>
      <c r="O23" s="2" t="s">
        <v>38</v>
      </c>
      <c r="P23" s="2" t="s">
        <v>38</v>
      </c>
      <c r="Q23" s="2" t="s">
        <v>38</v>
      </c>
      <c r="R23" s="2" t="s">
        <v>38</v>
      </c>
      <c r="S23" s="2" t="s">
        <v>38</v>
      </c>
      <c r="T23" s="2" t="s">
        <v>39</v>
      </c>
      <c r="U23" s="2" t="s">
        <v>38</v>
      </c>
      <c r="V23" s="2" t="s">
        <v>39</v>
      </c>
      <c r="W23" s="2" t="s">
        <v>38</v>
      </c>
      <c r="X23" s="2" t="s">
        <v>39</v>
      </c>
      <c r="Y23" s="2" t="s">
        <v>38</v>
      </c>
      <c r="Z23" s="2" t="s">
        <v>38</v>
      </c>
      <c r="AA23" s="2" t="s">
        <v>38</v>
      </c>
      <c r="AB23" s="2" t="s">
        <v>38</v>
      </c>
      <c r="AC23" s="2" t="s">
        <v>38</v>
      </c>
      <c r="AD23" s="2" t="s">
        <v>38</v>
      </c>
      <c r="AE23" s="2" t="s">
        <v>39</v>
      </c>
    </row>
    <row r="24" spans="1:31" ht="409.5">
      <c r="A24" s="2">
        <v>2768192</v>
      </c>
      <c r="B24" s="2">
        <f>HYPERLINK("https://platform.v2.vetology.net/cases/2768192/screening-report/18?type=pdf&amp;v=v6&amp;scorecard=1&amp;secret_key=BX%25IJ%24%2F65ieZ%29f6", 2768192)</f>
        <v>2768192</v>
      </c>
      <c r="C24" s="2">
        <f>HYPERLINK("https://platform.v2.vetology.net/report/v/final/"&amp;2768192, 2768192)</f>
        <v>2768192</v>
      </c>
      <c r="D24" s="2" t="s">
        <v>138</v>
      </c>
      <c r="E24" s="2" t="s">
        <v>139</v>
      </c>
      <c r="F24" s="2" t="s">
        <v>140</v>
      </c>
      <c r="G24" s="2" t="s">
        <v>141</v>
      </c>
      <c r="H24" s="2" t="s">
        <v>136</v>
      </c>
      <c r="I24" s="2" t="s">
        <v>137</v>
      </c>
      <c r="J24" s="2" t="s">
        <v>66</v>
      </c>
      <c r="K24" s="2" t="s">
        <v>38</v>
      </c>
      <c r="L24" s="2" t="s">
        <v>39</v>
      </c>
      <c r="M24" s="2" t="s">
        <v>39</v>
      </c>
      <c r="N24" s="2" t="s">
        <v>38</v>
      </c>
      <c r="O24" s="2" t="s">
        <v>38</v>
      </c>
      <c r="P24" s="2" t="s">
        <v>39</v>
      </c>
      <c r="Q24" s="2" t="s">
        <v>39</v>
      </c>
      <c r="R24" s="2" t="s">
        <v>38</v>
      </c>
      <c r="S24" s="2" t="s">
        <v>39</v>
      </c>
      <c r="T24" s="2" t="s">
        <v>39</v>
      </c>
      <c r="U24" s="2" t="s">
        <v>39</v>
      </c>
      <c r="V24" s="2" t="s">
        <v>38</v>
      </c>
      <c r="W24" s="2" t="s">
        <v>38</v>
      </c>
      <c r="X24" s="2" t="s">
        <v>39</v>
      </c>
      <c r="Y24" s="2" t="s">
        <v>39</v>
      </c>
      <c r="Z24" s="2" t="s">
        <v>39</v>
      </c>
      <c r="AA24" s="2" t="s">
        <v>38</v>
      </c>
      <c r="AB24" s="2" t="s">
        <v>39</v>
      </c>
      <c r="AC24" s="2" t="s">
        <v>38</v>
      </c>
      <c r="AD24" s="2" t="s">
        <v>38</v>
      </c>
      <c r="AE24" s="2" t="s">
        <v>38</v>
      </c>
    </row>
    <row r="25" spans="1:31" ht="409.5">
      <c r="A25" s="2">
        <v>2768148</v>
      </c>
      <c r="B25" s="2">
        <f>HYPERLINK("https://platform.v2.vetology.net/cases/2768148/screening-report/18?type=pdf&amp;v=v6&amp;scorecard=1&amp;secret_key=BX%25IJ%24%2F65ieZ%29f6", 2768148)</f>
        <v>2768148</v>
      </c>
      <c r="C25" s="2">
        <f>HYPERLINK("https://platform.v2.vetology.net/report/v/final/"&amp;2768148, 2768148)</f>
        <v>2768148</v>
      </c>
      <c r="D25" s="2" t="s">
        <v>142</v>
      </c>
      <c r="E25" s="2" t="s">
        <v>143</v>
      </c>
      <c r="F25" s="2" t="s">
        <v>81</v>
      </c>
      <c r="G25" s="2" t="s">
        <v>82</v>
      </c>
      <c r="H25" s="2" t="s">
        <v>144</v>
      </c>
      <c r="I25" s="2" t="s">
        <v>145</v>
      </c>
      <c r="J25" s="2" t="s">
        <v>146</v>
      </c>
      <c r="K25" s="2" t="s">
        <v>38</v>
      </c>
      <c r="L25" s="2" t="s">
        <v>39</v>
      </c>
      <c r="M25" s="2" t="s">
        <v>39</v>
      </c>
      <c r="N25" s="2" t="s">
        <v>38</v>
      </c>
      <c r="O25" s="2" t="s">
        <v>38</v>
      </c>
      <c r="P25" s="2" t="s">
        <v>38</v>
      </c>
      <c r="Q25" s="2" t="s">
        <v>38</v>
      </c>
      <c r="R25" s="2" t="s">
        <v>38</v>
      </c>
      <c r="S25" s="2" t="s">
        <v>39</v>
      </c>
      <c r="T25" s="2" t="s">
        <v>38</v>
      </c>
      <c r="U25" s="2" t="s">
        <v>38</v>
      </c>
      <c r="V25" s="2" t="s">
        <v>38</v>
      </c>
      <c r="W25" s="2" t="s">
        <v>38</v>
      </c>
      <c r="X25" s="2" t="s">
        <v>38</v>
      </c>
      <c r="Y25" s="2" t="s">
        <v>38</v>
      </c>
      <c r="Z25" s="2" t="s">
        <v>38</v>
      </c>
      <c r="AA25" s="2" t="s">
        <v>38</v>
      </c>
      <c r="AB25" s="2" t="s">
        <v>38</v>
      </c>
      <c r="AC25" s="2" t="s">
        <v>38</v>
      </c>
      <c r="AD25" s="2" t="s">
        <v>38</v>
      </c>
      <c r="AE25" s="2" t="s">
        <v>38</v>
      </c>
    </row>
    <row r="26" spans="1:31" ht="409.5">
      <c r="A26" s="2">
        <v>2768007</v>
      </c>
      <c r="B26" s="2">
        <f>HYPERLINK("https://platform.v2.vetology.net/cases/2768007/screening-report/18?type=pdf&amp;v=v6&amp;scorecard=1&amp;secret_key=BX%25IJ%24%2F65ieZ%29f6", 2768007)</f>
        <v>2768007</v>
      </c>
      <c r="C26" s="2">
        <f>HYPERLINK("https://platform.v2.vetology.net/report/v/final/"&amp;2768007, 2768007)</f>
        <v>2768007</v>
      </c>
      <c r="D26" s="2" t="s">
        <v>147</v>
      </c>
      <c r="E26" s="2" t="s">
        <v>148</v>
      </c>
      <c r="F26" s="2" t="s">
        <v>149</v>
      </c>
      <c r="G26" s="2" t="s">
        <v>150</v>
      </c>
      <c r="H26" s="2" t="s">
        <v>151</v>
      </c>
      <c r="I26" s="2" t="s">
        <v>152</v>
      </c>
      <c r="J26" s="2" t="s">
        <v>153</v>
      </c>
      <c r="K26" s="2" t="s">
        <v>38</v>
      </c>
      <c r="L26" s="2" t="s">
        <v>39</v>
      </c>
      <c r="M26" s="2" t="s">
        <v>38</v>
      </c>
      <c r="N26" s="2" t="s">
        <v>38</v>
      </c>
      <c r="O26" s="2" t="s">
        <v>38</v>
      </c>
      <c r="P26" s="2" t="s">
        <v>38</v>
      </c>
      <c r="Q26" s="2" t="s">
        <v>38</v>
      </c>
      <c r="R26" s="2" t="s">
        <v>38</v>
      </c>
      <c r="S26" s="2" t="s">
        <v>38</v>
      </c>
      <c r="T26" s="2" t="s">
        <v>38</v>
      </c>
      <c r="U26" s="2" t="s">
        <v>38</v>
      </c>
      <c r="V26" s="2" t="s">
        <v>38</v>
      </c>
      <c r="W26" s="2" t="s">
        <v>38</v>
      </c>
      <c r="X26" s="2" t="s">
        <v>38</v>
      </c>
      <c r="Y26" s="2" t="s">
        <v>38</v>
      </c>
      <c r="Z26" s="2" t="s">
        <v>39</v>
      </c>
      <c r="AA26" s="2" t="s">
        <v>38</v>
      </c>
      <c r="AB26" s="2" t="s">
        <v>39</v>
      </c>
      <c r="AC26" s="2" t="s">
        <v>38</v>
      </c>
      <c r="AD26" s="2" t="s">
        <v>38</v>
      </c>
      <c r="AE26" s="2" t="s">
        <v>38</v>
      </c>
    </row>
    <row r="27" spans="1:31" ht="409.5">
      <c r="A27" s="2">
        <v>2767647</v>
      </c>
      <c r="B27" s="2">
        <f>HYPERLINK("https://platform.v2.vetology.net/cases/2767647/screening-report/18?type=pdf&amp;v=v6&amp;scorecard=1&amp;secret_key=BX%25IJ%24%2F65ieZ%29f6", 2767647)</f>
        <v>2767647</v>
      </c>
      <c r="C27" s="2">
        <f>HYPERLINK("https://platform.v2.vetology.net/report/v/final/"&amp;2767647, 2767647)</f>
        <v>2767647</v>
      </c>
      <c r="D27" s="2" t="s">
        <v>154</v>
      </c>
      <c r="E27" s="2" t="s">
        <v>155</v>
      </c>
      <c r="F27" s="2" t="s">
        <v>156</v>
      </c>
      <c r="G27" s="2" t="s">
        <v>34</v>
      </c>
      <c r="H27" s="2" t="s">
        <v>157</v>
      </c>
      <c r="I27" s="2" t="s">
        <v>158</v>
      </c>
      <c r="J27" s="2" t="s">
        <v>50</v>
      </c>
      <c r="K27" s="2" t="s">
        <v>38</v>
      </c>
      <c r="L27" s="2" t="s">
        <v>39</v>
      </c>
      <c r="M27" s="2" t="s">
        <v>39</v>
      </c>
      <c r="N27" s="2" t="s">
        <v>38</v>
      </c>
      <c r="O27" s="2" t="s">
        <v>38</v>
      </c>
      <c r="P27" s="2" t="s">
        <v>39</v>
      </c>
      <c r="Q27" s="2" t="s">
        <v>38</v>
      </c>
      <c r="R27" s="2" t="s">
        <v>38</v>
      </c>
      <c r="S27" s="2" t="s">
        <v>38</v>
      </c>
      <c r="T27" s="2" t="s">
        <v>38</v>
      </c>
      <c r="U27" s="2" t="s">
        <v>38</v>
      </c>
      <c r="V27" s="2" t="s">
        <v>38</v>
      </c>
      <c r="W27" s="2" t="s">
        <v>38</v>
      </c>
      <c r="X27" s="2" t="s">
        <v>38</v>
      </c>
      <c r="Y27" s="2" t="s">
        <v>38</v>
      </c>
      <c r="Z27" s="2" t="s">
        <v>38</v>
      </c>
      <c r="AA27" s="2" t="s">
        <v>38</v>
      </c>
      <c r="AB27" s="2" t="s">
        <v>38</v>
      </c>
      <c r="AC27" s="2" t="s">
        <v>38</v>
      </c>
      <c r="AD27" s="2" t="s">
        <v>38</v>
      </c>
      <c r="AE27" s="2" t="s">
        <v>38</v>
      </c>
    </row>
    <row r="28" spans="1:31" ht="409.5">
      <c r="A28" s="2">
        <v>2767502</v>
      </c>
      <c r="B28" s="2">
        <f>HYPERLINK("https://platform.v2.vetology.net/cases/2767502/screening-report/18?type=pdf&amp;v=v6&amp;scorecard=1&amp;secret_key=BX%25IJ%24%2F65ieZ%29f6", 2767502)</f>
        <v>2767502</v>
      </c>
      <c r="C28" s="2">
        <f>HYPERLINK("https://platform.v2.vetology.net/report/v/final/"&amp;2767502, 2767502)</f>
        <v>2767502</v>
      </c>
      <c r="D28" s="2" t="s">
        <v>159</v>
      </c>
      <c r="E28" s="2" t="s">
        <v>160</v>
      </c>
      <c r="F28" s="2" t="s">
        <v>161</v>
      </c>
      <c r="G28" s="2" t="s">
        <v>34</v>
      </c>
      <c r="H28" s="2" t="s">
        <v>162</v>
      </c>
      <c r="I28" s="2" t="s">
        <v>124</v>
      </c>
      <c r="J28" s="2" t="s">
        <v>125</v>
      </c>
      <c r="K28" s="2" t="s">
        <v>38</v>
      </c>
      <c r="L28" s="2" t="s">
        <v>38</v>
      </c>
      <c r="M28" s="2" t="s">
        <v>39</v>
      </c>
      <c r="N28" s="2" t="s">
        <v>38</v>
      </c>
      <c r="O28" s="2" t="s">
        <v>38</v>
      </c>
      <c r="P28" s="2" t="s">
        <v>38</v>
      </c>
      <c r="Q28" s="2" t="s">
        <v>38</v>
      </c>
      <c r="R28" s="2" t="s">
        <v>38</v>
      </c>
      <c r="S28" s="2" t="s">
        <v>38</v>
      </c>
      <c r="T28" s="2" t="s">
        <v>38</v>
      </c>
      <c r="U28" s="2" t="s">
        <v>39</v>
      </c>
      <c r="V28" s="2" t="s">
        <v>38</v>
      </c>
      <c r="W28" s="2" t="s">
        <v>38</v>
      </c>
      <c r="X28" s="2" t="s">
        <v>38</v>
      </c>
      <c r="Y28" s="2" t="s">
        <v>38</v>
      </c>
      <c r="Z28" s="2" t="s">
        <v>38</v>
      </c>
      <c r="AA28" s="2" t="s">
        <v>38</v>
      </c>
      <c r="AB28" s="2" t="s">
        <v>39</v>
      </c>
      <c r="AC28" s="2" t="s">
        <v>39</v>
      </c>
      <c r="AD28" s="2" t="s">
        <v>38</v>
      </c>
      <c r="AE28" s="2" t="s">
        <v>38</v>
      </c>
    </row>
    <row r="29" spans="1:31" ht="409.5">
      <c r="A29" s="2">
        <v>2767482</v>
      </c>
      <c r="B29" s="2">
        <f>HYPERLINK("https://platform.v2.vetology.net/cases/2767482/screening-report/18?type=pdf&amp;v=v6&amp;scorecard=1&amp;secret_key=BX%25IJ%24%2F65ieZ%29f6", 2767482)</f>
        <v>2767482</v>
      </c>
      <c r="C29" s="2">
        <f>HYPERLINK("https://platform.v2.vetology.net/report/v/final/"&amp;2767482, 2767482)</f>
        <v>2767482</v>
      </c>
      <c r="D29" s="2" t="s">
        <v>163</v>
      </c>
      <c r="E29" s="2" t="s">
        <v>164</v>
      </c>
      <c r="F29" s="2" t="s">
        <v>165</v>
      </c>
      <c r="G29" s="2" t="s">
        <v>93</v>
      </c>
      <c r="H29" s="2" t="s">
        <v>166</v>
      </c>
      <c r="I29" s="2" t="s">
        <v>167</v>
      </c>
      <c r="J29" s="2" t="s">
        <v>168</v>
      </c>
      <c r="K29" s="2" t="s">
        <v>38</v>
      </c>
      <c r="L29" s="2" t="s">
        <v>38</v>
      </c>
      <c r="M29" s="2" t="s">
        <v>38</v>
      </c>
      <c r="N29" s="2" t="s">
        <v>38</v>
      </c>
      <c r="O29" s="2" t="s">
        <v>38</v>
      </c>
      <c r="P29" s="2" t="s">
        <v>38</v>
      </c>
      <c r="Q29" s="2" t="s">
        <v>38</v>
      </c>
      <c r="R29" s="2" t="s">
        <v>38</v>
      </c>
      <c r="S29" s="2" t="s">
        <v>39</v>
      </c>
      <c r="T29" s="2" t="s">
        <v>38</v>
      </c>
      <c r="U29" s="2" t="s">
        <v>38</v>
      </c>
      <c r="V29" s="2" t="s">
        <v>38</v>
      </c>
      <c r="W29" s="2" t="s">
        <v>38</v>
      </c>
      <c r="X29" s="2" t="s">
        <v>38</v>
      </c>
      <c r="Y29" s="2" t="s">
        <v>38</v>
      </c>
      <c r="Z29" s="2" t="s">
        <v>38</v>
      </c>
      <c r="AA29" s="2" t="s">
        <v>38</v>
      </c>
      <c r="AB29" s="2" t="s">
        <v>38</v>
      </c>
      <c r="AC29" s="2" t="s">
        <v>38</v>
      </c>
      <c r="AD29" s="2" t="s">
        <v>38</v>
      </c>
      <c r="AE29" s="2" t="s">
        <v>38</v>
      </c>
    </row>
    <row r="30" spans="1:31" ht="409.5">
      <c r="A30" s="2">
        <v>2767077</v>
      </c>
      <c r="B30" s="2">
        <f>HYPERLINK("https://platform.v2.vetology.net/cases/2767077/screening-report/18?type=pdf&amp;v=v6&amp;scorecard=1&amp;secret_key=BX%25IJ%24%2F65ieZ%29f6", 2767077)</f>
        <v>2767077</v>
      </c>
      <c r="C30" s="2">
        <f>HYPERLINK("https://platform.v2.vetology.net/report/v/final/"&amp;2767077, 2767077)</f>
        <v>2767077</v>
      </c>
      <c r="D30" s="2" t="s">
        <v>169</v>
      </c>
      <c r="E30" s="2" t="s">
        <v>170</v>
      </c>
      <c r="F30" s="2" t="s">
        <v>171</v>
      </c>
      <c r="G30" s="2" t="s">
        <v>63</v>
      </c>
      <c r="H30" s="2" t="s">
        <v>172</v>
      </c>
      <c r="I30" s="2" t="s">
        <v>173</v>
      </c>
      <c r="J30" s="2" t="s">
        <v>174</v>
      </c>
      <c r="K30" s="2" t="s">
        <v>38</v>
      </c>
      <c r="L30" s="2" t="s">
        <v>38</v>
      </c>
      <c r="M30" s="2" t="s">
        <v>38</v>
      </c>
      <c r="N30" s="2" t="s">
        <v>38</v>
      </c>
      <c r="O30" s="2" t="s">
        <v>38</v>
      </c>
      <c r="P30" s="2" t="s">
        <v>38</v>
      </c>
      <c r="Q30" s="2" t="s">
        <v>39</v>
      </c>
      <c r="R30" s="2" t="s">
        <v>38</v>
      </c>
      <c r="S30" s="2" t="s">
        <v>38</v>
      </c>
      <c r="T30" s="2" t="s">
        <v>38</v>
      </c>
      <c r="U30" s="2" t="s">
        <v>39</v>
      </c>
      <c r="V30" s="2" t="s">
        <v>38</v>
      </c>
      <c r="W30" s="2" t="s">
        <v>38</v>
      </c>
      <c r="X30" s="2" t="s">
        <v>38</v>
      </c>
      <c r="Y30" s="2" t="s">
        <v>38</v>
      </c>
      <c r="Z30" s="2" t="s">
        <v>39</v>
      </c>
      <c r="AA30" s="2" t="s">
        <v>38</v>
      </c>
      <c r="AB30" s="2" t="s">
        <v>38</v>
      </c>
      <c r="AC30" s="2" t="s">
        <v>39</v>
      </c>
      <c r="AD30" s="2" t="s">
        <v>38</v>
      </c>
      <c r="AE30" s="2" t="s">
        <v>38</v>
      </c>
    </row>
    <row r="31" spans="1:31" ht="409.5">
      <c r="A31" s="2">
        <v>2766503</v>
      </c>
      <c r="B31" s="2">
        <f>HYPERLINK("https://platform.v2.vetology.net/cases/2766503/screening-report/18?type=pdf&amp;v=v6&amp;scorecard=1&amp;secret_key=BX%25IJ%24%2F65ieZ%29f6", 2766503)</f>
        <v>2766503</v>
      </c>
      <c r="C31" s="2">
        <f>HYPERLINK("https://platform.v2.vetology.net/report/v/final/"&amp;2766503, 2766503)</f>
        <v>2766503</v>
      </c>
      <c r="D31" s="2" t="s">
        <v>175</v>
      </c>
      <c r="E31" s="2" t="s">
        <v>176</v>
      </c>
      <c r="F31" s="2" t="s">
        <v>81</v>
      </c>
      <c r="G31" s="2" t="s">
        <v>82</v>
      </c>
      <c r="H31" s="2" t="s">
        <v>177</v>
      </c>
      <c r="I31" s="2" t="s">
        <v>124</v>
      </c>
      <c r="J31" s="2" t="s">
        <v>125</v>
      </c>
      <c r="K31" s="2" t="s">
        <v>38</v>
      </c>
      <c r="L31" s="2" t="s">
        <v>38</v>
      </c>
      <c r="M31" s="2" t="s">
        <v>39</v>
      </c>
      <c r="N31" s="2" t="s">
        <v>38</v>
      </c>
      <c r="O31" s="2" t="s">
        <v>38</v>
      </c>
      <c r="P31" s="2" t="s">
        <v>38</v>
      </c>
      <c r="Q31" s="2" t="s">
        <v>38</v>
      </c>
      <c r="R31" s="2" t="s">
        <v>38</v>
      </c>
      <c r="S31" s="2" t="s">
        <v>39</v>
      </c>
      <c r="T31" s="2" t="s">
        <v>39</v>
      </c>
      <c r="U31" s="2" t="s">
        <v>38</v>
      </c>
      <c r="V31" s="2" t="s">
        <v>39</v>
      </c>
      <c r="W31" s="2" t="s">
        <v>38</v>
      </c>
      <c r="X31" s="2" t="s">
        <v>39</v>
      </c>
      <c r="Y31" s="2" t="s">
        <v>38</v>
      </c>
      <c r="Z31" s="2" t="s">
        <v>38</v>
      </c>
      <c r="AA31" s="2" t="s">
        <v>38</v>
      </c>
      <c r="AB31" s="2" t="s">
        <v>39</v>
      </c>
      <c r="AC31" s="2" t="s">
        <v>39</v>
      </c>
      <c r="AD31" s="2" t="s">
        <v>38</v>
      </c>
      <c r="AE31" s="2" t="s">
        <v>38</v>
      </c>
    </row>
    <row r="32" spans="1:31" ht="409.5">
      <c r="A32" s="2">
        <v>2766443</v>
      </c>
      <c r="B32" s="2">
        <f>HYPERLINK("https://platform.v2.vetology.net/cases/2766443/screening-report/18?type=pdf&amp;v=v6&amp;scorecard=1&amp;secret_key=BX%25IJ%24%2F65ieZ%29f6", 2766443)</f>
        <v>2766443</v>
      </c>
      <c r="C32" s="2">
        <f>HYPERLINK("https://platform.v2.vetology.net/report/v/final/"&amp;2766443, 2766443)</f>
        <v>2766443</v>
      </c>
      <c r="D32" s="2" t="s">
        <v>178</v>
      </c>
      <c r="E32" s="2" t="s">
        <v>179</v>
      </c>
      <c r="F32" s="2" t="s">
        <v>81</v>
      </c>
      <c r="G32" s="2" t="s">
        <v>82</v>
      </c>
      <c r="H32" s="2" t="s">
        <v>180</v>
      </c>
      <c r="I32" s="2" t="s">
        <v>124</v>
      </c>
      <c r="J32" s="2" t="s">
        <v>125</v>
      </c>
      <c r="K32" s="2" t="s">
        <v>38</v>
      </c>
      <c r="L32" s="2" t="s">
        <v>38</v>
      </c>
      <c r="M32" s="2" t="s">
        <v>39</v>
      </c>
      <c r="N32" s="2" t="s">
        <v>38</v>
      </c>
      <c r="O32" s="2" t="s">
        <v>38</v>
      </c>
      <c r="P32" s="2" t="s">
        <v>38</v>
      </c>
      <c r="Q32" s="2" t="s">
        <v>38</v>
      </c>
      <c r="R32" s="2" t="s">
        <v>38</v>
      </c>
      <c r="S32" s="2" t="s">
        <v>38</v>
      </c>
      <c r="T32" s="2" t="s">
        <v>38</v>
      </c>
      <c r="U32" s="2" t="s">
        <v>38</v>
      </c>
      <c r="V32" s="2" t="s">
        <v>38</v>
      </c>
      <c r="W32" s="2" t="s">
        <v>38</v>
      </c>
      <c r="X32" s="2" t="s">
        <v>38</v>
      </c>
      <c r="Y32" s="2" t="s">
        <v>38</v>
      </c>
      <c r="Z32" s="2" t="s">
        <v>38</v>
      </c>
      <c r="AA32" s="2" t="s">
        <v>38</v>
      </c>
      <c r="AB32" s="2" t="s">
        <v>39</v>
      </c>
      <c r="AC32" s="2" t="s">
        <v>38</v>
      </c>
      <c r="AD32" s="2" t="s">
        <v>38</v>
      </c>
      <c r="AE32" s="2" t="s">
        <v>38</v>
      </c>
    </row>
    <row r="33" spans="1:31" ht="409.5">
      <c r="A33" s="2">
        <v>2766383</v>
      </c>
      <c r="B33" s="2">
        <f>HYPERLINK("https://platform.v2.vetology.net/cases/2766383/screening-report/18?type=pdf&amp;v=v6&amp;scorecard=1&amp;secret_key=BX%25IJ%24%2F65ieZ%29f6", 2766383)</f>
        <v>2766383</v>
      </c>
      <c r="C33" s="2">
        <f>HYPERLINK("https://platform.v2.vetology.net/report/v/final/"&amp;2766383, 2766383)</f>
        <v>2766383</v>
      </c>
      <c r="D33" s="2" t="s">
        <v>181</v>
      </c>
      <c r="E33" s="2" t="s">
        <v>182</v>
      </c>
      <c r="F33" s="2" t="s">
        <v>81</v>
      </c>
      <c r="G33" s="2" t="s">
        <v>82</v>
      </c>
      <c r="H33" s="2" t="s">
        <v>183</v>
      </c>
      <c r="I33" s="2" t="s">
        <v>184</v>
      </c>
      <c r="J33" s="2" t="s">
        <v>185</v>
      </c>
      <c r="K33" s="2" t="s">
        <v>38</v>
      </c>
      <c r="L33" s="2" t="s">
        <v>39</v>
      </c>
      <c r="M33" s="2" t="s">
        <v>39</v>
      </c>
      <c r="N33" s="2" t="s">
        <v>39</v>
      </c>
      <c r="O33" s="2" t="s">
        <v>38</v>
      </c>
      <c r="P33" s="2" t="s">
        <v>39</v>
      </c>
      <c r="Q33" s="2" t="s">
        <v>38</v>
      </c>
      <c r="R33" s="2" t="s">
        <v>38</v>
      </c>
      <c r="S33" s="2" t="s">
        <v>39</v>
      </c>
      <c r="T33" s="2" t="s">
        <v>38</v>
      </c>
      <c r="U33" s="2" t="s">
        <v>38</v>
      </c>
      <c r="V33" s="2" t="s">
        <v>38</v>
      </c>
      <c r="W33" s="2" t="s">
        <v>38</v>
      </c>
      <c r="X33" s="2" t="s">
        <v>38</v>
      </c>
      <c r="Y33" s="2" t="s">
        <v>38</v>
      </c>
      <c r="Z33" s="2" t="s">
        <v>38</v>
      </c>
      <c r="AA33" s="2" t="s">
        <v>38</v>
      </c>
      <c r="AB33" s="2" t="s">
        <v>38</v>
      </c>
      <c r="AC33" s="2" t="s">
        <v>39</v>
      </c>
      <c r="AD33" s="2" t="s">
        <v>38</v>
      </c>
      <c r="AE33" s="2" t="s">
        <v>38</v>
      </c>
    </row>
    <row r="34" spans="1:31" ht="409.5">
      <c r="A34" s="2">
        <v>2766080</v>
      </c>
      <c r="B34" s="2">
        <f>HYPERLINK("https://platform.v2.vetology.net/cases/2766080/screening-report/18?type=pdf&amp;v=v6&amp;scorecard=1&amp;secret_key=BX%25IJ%24%2F65ieZ%29f6", 2766080)</f>
        <v>2766080</v>
      </c>
      <c r="C34" s="2">
        <f>HYPERLINK("https://platform.v2.vetology.net/report/v/final/"&amp;2766080, 2766080)</f>
        <v>2766080</v>
      </c>
      <c r="D34" s="2" t="s">
        <v>186</v>
      </c>
      <c r="E34" s="2" t="s">
        <v>187</v>
      </c>
      <c r="F34" s="2" t="s">
        <v>188</v>
      </c>
      <c r="G34" s="2" t="s">
        <v>34</v>
      </c>
      <c r="H34" s="2" t="s">
        <v>189</v>
      </c>
      <c r="I34" s="2" t="s">
        <v>190</v>
      </c>
      <c r="J34" s="2" t="s">
        <v>112</v>
      </c>
      <c r="K34" s="2" t="s">
        <v>39</v>
      </c>
      <c r="L34" s="2" t="s">
        <v>39</v>
      </c>
      <c r="M34" s="2" t="s">
        <v>39</v>
      </c>
      <c r="N34" s="2" t="s">
        <v>39</v>
      </c>
      <c r="O34" s="2" t="s">
        <v>39</v>
      </c>
      <c r="P34" s="2" t="s">
        <v>39</v>
      </c>
      <c r="Q34" s="2" t="s">
        <v>39</v>
      </c>
      <c r="R34" s="2" t="s">
        <v>39</v>
      </c>
      <c r="S34" s="2" t="s">
        <v>39</v>
      </c>
      <c r="T34" s="2" t="s">
        <v>39</v>
      </c>
      <c r="U34" s="2" t="s">
        <v>39</v>
      </c>
      <c r="V34" s="2" t="s">
        <v>39</v>
      </c>
      <c r="W34" s="2" t="s">
        <v>39</v>
      </c>
      <c r="X34" s="2" t="s">
        <v>39</v>
      </c>
      <c r="Y34" s="2" t="s">
        <v>39</v>
      </c>
      <c r="Z34" s="2" t="s">
        <v>39</v>
      </c>
      <c r="AA34" s="2" t="s">
        <v>39</v>
      </c>
      <c r="AB34" s="2" t="s">
        <v>39</v>
      </c>
      <c r="AC34" s="2" t="s">
        <v>39</v>
      </c>
      <c r="AD34" s="2" t="s">
        <v>39</v>
      </c>
      <c r="AE34" s="2" t="s">
        <v>39</v>
      </c>
    </row>
    <row r="35" spans="1:31" ht="409.5">
      <c r="A35" s="2">
        <v>2765931</v>
      </c>
      <c r="B35" s="2">
        <f>HYPERLINK("https://platform.v2.vetology.net/cases/2765931/screening-report/18?type=pdf&amp;v=v6&amp;scorecard=1&amp;secret_key=BX%25IJ%24%2F65ieZ%29f6", 2765931)</f>
        <v>2765931</v>
      </c>
      <c r="C35" s="2">
        <f>HYPERLINK("https://platform.v2.vetology.net/report/v/final/"&amp;2765931, 2765931)</f>
        <v>2765931</v>
      </c>
      <c r="D35" s="2" t="s">
        <v>191</v>
      </c>
      <c r="E35" s="2" t="s">
        <v>192</v>
      </c>
      <c r="F35" s="2" t="s">
        <v>193</v>
      </c>
      <c r="G35" s="2" t="s">
        <v>58</v>
      </c>
      <c r="H35" s="2" t="s">
        <v>129</v>
      </c>
      <c r="I35" s="2" t="s">
        <v>44</v>
      </c>
      <c r="J35" s="2"/>
      <c r="K35" s="2" t="s">
        <v>38</v>
      </c>
      <c r="L35" s="2" t="s">
        <v>39</v>
      </c>
      <c r="M35" s="2" t="s">
        <v>39</v>
      </c>
      <c r="N35" s="2" t="s">
        <v>38</v>
      </c>
      <c r="O35" s="2" t="s">
        <v>38</v>
      </c>
      <c r="P35" s="2" t="s">
        <v>38</v>
      </c>
      <c r="Q35" s="2" t="s">
        <v>38</v>
      </c>
      <c r="R35" s="2" t="s">
        <v>38</v>
      </c>
      <c r="S35" s="2" t="s">
        <v>39</v>
      </c>
      <c r="T35" s="2" t="s">
        <v>39</v>
      </c>
      <c r="U35" s="2" t="s">
        <v>38</v>
      </c>
      <c r="V35" s="2" t="s">
        <v>39</v>
      </c>
      <c r="W35" s="2" t="s">
        <v>38</v>
      </c>
      <c r="X35" s="2" t="s">
        <v>39</v>
      </c>
      <c r="Y35" s="2" t="s">
        <v>38</v>
      </c>
      <c r="Z35" s="2" t="s">
        <v>38</v>
      </c>
      <c r="AA35" s="2" t="s">
        <v>38</v>
      </c>
      <c r="AB35" s="2" t="s">
        <v>39</v>
      </c>
      <c r="AC35" s="2" t="s">
        <v>38</v>
      </c>
      <c r="AD35" s="2" t="s">
        <v>38</v>
      </c>
      <c r="AE35" s="2" t="s">
        <v>38</v>
      </c>
    </row>
    <row r="36" spans="1:31" ht="409.5">
      <c r="A36" s="2">
        <v>2765848</v>
      </c>
      <c r="B36" s="2">
        <f>HYPERLINK("https://platform.v2.vetology.net/cases/2765848/screening-report/18?type=pdf&amp;v=v6&amp;scorecard=1&amp;secret_key=BX%25IJ%24%2F65ieZ%29f6", 2765848)</f>
        <v>2765848</v>
      </c>
      <c r="C36" s="2">
        <f>HYPERLINK("https://platform.v2.vetology.net/report/v/final/"&amp;2765848, 2765848)</f>
        <v>2765848</v>
      </c>
      <c r="D36" s="2" t="s">
        <v>194</v>
      </c>
      <c r="E36" s="2" t="s">
        <v>195</v>
      </c>
      <c r="F36" s="2" t="s">
        <v>196</v>
      </c>
      <c r="G36" s="2" t="s">
        <v>141</v>
      </c>
      <c r="H36" s="2" t="s">
        <v>129</v>
      </c>
      <c r="I36" s="2" t="s">
        <v>44</v>
      </c>
      <c r="J36" s="2" t="s">
        <v>106</v>
      </c>
      <c r="K36" s="2" t="s">
        <v>38</v>
      </c>
      <c r="L36" s="2" t="s">
        <v>38</v>
      </c>
      <c r="M36" s="2" t="s">
        <v>38</v>
      </c>
      <c r="N36" s="2" t="s">
        <v>38</v>
      </c>
      <c r="O36" s="2" t="s">
        <v>38</v>
      </c>
      <c r="P36" s="2" t="s">
        <v>38</v>
      </c>
      <c r="Q36" s="2" t="s">
        <v>38</v>
      </c>
      <c r="R36" s="2" t="s">
        <v>38</v>
      </c>
      <c r="S36" s="2" t="s">
        <v>38</v>
      </c>
      <c r="T36" s="2" t="s">
        <v>38</v>
      </c>
      <c r="U36" s="2" t="s">
        <v>38</v>
      </c>
      <c r="V36" s="2" t="s">
        <v>38</v>
      </c>
      <c r="W36" s="2" t="s">
        <v>38</v>
      </c>
      <c r="X36" s="2" t="s">
        <v>38</v>
      </c>
      <c r="Y36" s="2" t="s">
        <v>38</v>
      </c>
      <c r="Z36" s="2" t="s">
        <v>38</v>
      </c>
      <c r="AA36" s="2" t="s">
        <v>38</v>
      </c>
      <c r="AB36" s="2" t="s">
        <v>38</v>
      </c>
      <c r="AC36" s="2" t="s">
        <v>38</v>
      </c>
      <c r="AD36" s="2" t="s">
        <v>38</v>
      </c>
      <c r="AE36" s="2" t="s">
        <v>38</v>
      </c>
    </row>
    <row r="37" spans="1:31" ht="409.5">
      <c r="A37" s="2">
        <v>2765817</v>
      </c>
      <c r="B37" s="2">
        <f>HYPERLINK("https://platform.v2.vetology.net/cases/2765817/screening-report/18?type=pdf&amp;v=v6&amp;scorecard=1&amp;secret_key=BX%25IJ%24%2F65ieZ%29f6", 2765817)</f>
        <v>2765817</v>
      </c>
      <c r="C37" s="2">
        <f>HYPERLINK("https://platform.v2.vetology.net/report/v/final/"&amp;2765817, 2765817)</f>
        <v>2765817</v>
      </c>
      <c r="D37" s="2" t="s">
        <v>197</v>
      </c>
      <c r="E37" s="2" t="s">
        <v>198</v>
      </c>
      <c r="F37" s="2" t="s">
        <v>81</v>
      </c>
      <c r="G37" s="2" t="s">
        <v>150</v>
      </c>
      <c r="H37" s="2" t="s">
        <v>78</v>
      </c>
      <c r="I37" s="2" t="s">
        <v>199</v>
      </c>
      <c r="J37" s="2"/>
      <c r="K37" s="2" t="s">
        <v>38</v>
      </c>
      <c r="L37" s="2" t="s">
        <v>39</v>
      </c>
      <c r="M37" s="2" t="s">
        <v>38</v>
      </c>
      <c r="N37" s="2" t="s">
        <v>38</v>
      </c>
      <c r="O37" s="2" t="s">
        <v>38</v>
      </c>
      <c r="P37" s="2" t="s">
        <v>38</v>
      </c>
      <c r="Q37" s="2" t="s">
        <v>38</v>
      </c>
      <c r="R37" s="2" t="s">
        <v>38</v>
      </c>
      <c r="S37" s="2" t="s">
        <v>38</v>
      </c>
      <c r="T37" s="2" t="s">
        <v>38</v>
      </c>
      <c r="U37" s="2" t="s">
        <v>39</v>
      </c>
      <c r="V37" s="2" t="s">
        <v>38</v>
      </c>
      <c r="W37" s="2" t="s">
        <v>38</v>
      </c>
      <c r="X37" s="2" t="s">
        <v>38</v>
      </c>
      <c r="Y37" s="2" t="s">
        <v>38</v>
      </c>
      <c r="Z37" s="2" t="s">
        <v>38</v>
      </c>
      <c r="AA37" s="2" t="s">
        <v>38</v>
      </c>
      <c r="AB37" s="2" t="s">
        <v>38</v>
      </c>
      <c r="AC37" s="2" t="s">
        <v>38</v>
      </c>
      <c r="AD37" s="2" t="s">
        <v>38</v>
      </c>
      <c r="AE37" s="2" t="s">
        <v>38</v>
      </c>
    </row>
    <row r="38" spans="1:31" ht="409.5">
      <c r="A38" s="2">
        <v>2765776</v>
      </c>
      <c r="B38" s="2">
        <f>HYPERLINK("https://platform.v2.vetology.net/cases/2765776/screening-report/18?type=pdf&amp;v=v6&amp;scorecard=1&amp;secret_key=BX%25IJ%24%2F65ieZ%29f6", 2765776)</f>
        <v>2765776</v>
      </c>
      <c r="C38" s="2">
        <f>HYPERLINK("https://platform.v2.vetology.net/report/v/final/"&amp;2765776, 2765776)</f>
        <v>2765776</v>
      </c>
      <c r="D38" s="2" t="s">
        <v>200</v>
      </c>
      <c r="E38" s="2" t="s">
        <v>201</v>
      </c>
      <c r="F38" s="2" t="s">
        <v>202</v>
      </c>
      <c r="G38" s="2" t="s">
        <v>34</v>
      </c>
      <c r="H38" s="2" t="s">
        <v>78</v>
      </c>
      <c r="I38" s="2" t="s">
        <v>44</v>
      </c>
      <c r="J38" s="2"/>
      <c r="K38" s="2" t="s">
        <v>38</v>
      </c>
      <c r="L38" s="2" t="s">
        <v>39</v>
      </c>
      <c r="M38" s="2" t="s">
        <v>39</v>
      </c>
      <c r="N38" s="2" t="s">
        <v>38</v>
      </c>
      <c r="O38" s="2" t="s">
        <v>38</v>
      </c>
      <c r="P38" s="2" t="s">
        <v>38</v>
      </c>
      <c r="Q38" s="2" t="s">
        <v>38</v>
      </c>
      <c r="R38" s="2" t="s">
        <v>38</v>
      </c>
      <c r="S38" s="2" t="s">
        <v>38</v>
      </c>
      <c r="T38" s="2" t="s">
        <v>38</v>
      </c>
      <c r="U38" s="2" t="s">
        <v>38</v>
      </c>
      <c r="V38" s="2" t="s">
        <v>38</v>
      </c>
      <c r="W38" s="2" t="s">
        <v>38</v>
      </c>
      <c r="X38" s="2" t="s">
        <v>38</v>
      </c>
      <c r="Y38" s="2" t="s">
        <v>38</v>
      </c>
      <c r="Z38" s="2" t="s">
        <v>38</v>
      </c>
      <c r="AA38" s="2" t="s">
        <v>38</v>
      </c>
      <c r="AB38" s="2" t="s">
        <v>38</v>
      </c>
      <c r="AC38" s="2" t="s">
        <v>39</v>
      </c>
      <c r="AD38" s="2" t="s">
        <v>38</v>
      </c>
      <c r="AE38" s="2" t="s">
        <v>39</v>
      </c>
    </row>
    <row r="39" spans="1:31" ht="409.5">
      <c r="A39" s="2">
        <v>2765586</v>
      </c>
      <c r="B39" s="2">
        <f>HYPERLINK("https://platform.v2.vetology.net/cases/2765586/screening-report/18?type=pdf&amp;v=v6&amp;scorecard=1&amp;secret_key=BX%25IJ%24%2F65ieZ%29f6", 2765586)</f>
        <v>2765586</v>
      </c>
      <c r="C39" s="2">
        <f>HYPERLINK("https://platform.v2.vetology.net/report/v/final/"&amp;2765586, 2765586)</f>
        <v>2765586</v>
      </c>
      <c r="D39" s="2" t="s">
        <v>203</v>
      </c>
      <c r="E39" s="2" t="s">
        <v>204</v>
      </c>
      <c r="F39" s="2" t="s">
        <v>205</v>
      </c>
      <c r="G39" s="2" t="s">
        <v>34</v>
      </c>
      <c r="H39" s="2" t="s">
        <v>206</v>
      </c>
      <c r="I39" s="2" t="s">
        <v>207</v>
      </c>
      <c r="J39" s="2" t="s">
        <v>208</v>
      </c>
      <c r="K39" s="2" t="s">
        <v>39</v>
      </c>
      <c r="L39" s="2" t="s">
        <v>39</v>
      </c>
      <c r="M39" s="2" t="s">
        <v>38</v>
      </c>
      <c r="N39" s="2" t="s">
        <v>38</v>
      </c>
      <c r="O39" s="2" t="s">
        <v>38</v>
      </c>
      <c r="P39" s="2" t="s">
        <v>39</v>
      </c>
      <c r="Q39" s="2" t="s">
        <v>38</v>
      </c>
      <c r="R39" s="2" t="s">
        <v>38</v>
      </c>
      <c r="S39" s="2" t="s">
        <v>38</v>
      </c>
      <c r="T39" s="2" t="s">
        <v>39</v>
      </c>
      <c r="U39" s="2" t="s">
        <v>38</v>
      </c>
      <c r="V39" s="2" t="s">
        <v>39</v>
      </c>
      <c r="W39" s="2" t="s">
        <v>38</v>
      </c>
      <c r="X39" s="2" t="s">
        <v>39</v>
      </c>
      <c r="Y39" s="2" t="s">
        <v>38</v>
      </c>
      <c r="Z39" s="2" t="s">
        <v>38</v>
      </c>
      <c r="AA39" s="2" t="s">
        <v>38</v>
      </c>
      <c r="AB39" s="2" t="s">
        <v>38</v>
      </c>
      <c r="AC39" s="2" t="s">
        <v>38</v>
      </c>
      <c r="AD39" s="2" t="s">
        <v>38</v>
      </c>
      <c r="AE39" s="2" t="s">
        <v>38</v>
      </c>
    </row>
    <row r="40" spans="1:31" ht="409.5">
      <c r="A40" s="2">
        <v>2765430</v>
      </c>
      <c r="B40" s="2">
        <f>HYPERLINK("https://platform.v2.vetology.net/cases/2765430/screening-report/18?type=pdf&amp;v=v6&amp;scorecard=1&amp;secret_key=BX%25IJ%24%2F65ieZ%29f6", 2765430)</f>
        <v>2765430</v>
      </c>
      <c r="C40" s="2">
        <f>HYPERLINK("https://platform.v2.vetology.net/report/v/final/"&amp;2765430, 2765430)</f>
        <v>2765430</v>
      </c>
      <c r="D40" s="2" t="s">
        <v>209</v>
      </c>
      <c r="E40" s="2" t="s">
        <v>210</v>
      </c>
      <c r="F40" s="2" t="s">
        <v>211</v>
      </c>
      <c r="G40" s="2" t="s">
        <v>212</v>
      </c>
      <c r="H40" s="2" t="s">
        <v>213</v>
      </c>
      <c r="I40" s="2" t="s">
        <v>214</v>
      </c>
      <c r="J40" s="2" t="s">
        <v>50</v>
      </c>
      <c r="K40" s="2" t="s">
        <v>38</v>
      </c>
      <c r="L40" s="2" t="s">
        <v>38</v>
      </c>
      <c r="M40" s="2" t="s">
        <v>38</v>
      </c>
      <c r="N40" s="2" t="s">
        <v>38</v>
      </c>
      <c r="O40" s="2" t="s">
        <v>38</v>
      </c>
      <c r="P40" s="2" t="s">
        <v>38</v>
      </c>
      <c r="Q40" s="2" t="s">
        <v>38</v>
      </c>
      <c r="R40" s="2" t="s">
        <v>38</v>
      </c>
      <c r="S40" s="2" t="s">
        <v>38</v>
      </c>
      <c r="T40" s="2" t="s">
        <v>38</v>
      </c>
      <c r="U40" s="2" t="s">
        <v>38</v>
      </c>
      <c r="V40" s="2" t="s">
        <v>38</v>
      </c>
      <c r="W40" s="2" t="s">
        <v>38</v>
      </c>
      <c r="X40" s="2" t="s">
        <v>38</v>
      </c>
      <c r="Y40" s="2" t="s">
        <v>38</v>
      </c>
      <c r="Z40" s="2" t="s">
        <v>38</v>
      </c>
      <c r="AA40" s="2" t="s">
        <v>38</v>
      </c>
      <c r="AB40" s="2" t="s">
        <v>38</v>
      </c>
      <c r="AC40" s="2" t="s">
        <v>38</v>
      </c>
      <c r="AD40" s="2" t="s">
        <v>38</v>
      </c>
      <c r="AE40" s="2" t="s">
        <v>38</v>
      </c>
    </row>
    <row r="41" spans="1:31" ht="409.5">
      <c r="A41" s="2">
        <v>2765377</v>
      </c>
      <c r="B41" s="2">
        <f>HYPERLINK("https://platform.v2.vetology.net/cases/2765377/screening-report/18?type=pdf&amp;v=v6&amp;scorecard=1&amp;secret_key=BX%25IJ%24%2F65ieZ%29f6", 2765377)</f>
        <v>2765377</v>
      </c>
      <c r="C41" s="2">
        <f>HYPERLINK("https://platform.v2.vetology.net/report/v/final/"&amp;2765377, 2765377)</f>
        <v>2765377</v>
      </c>
      <c r="D41" s="2" t="s">
        <v>215</v>
      </c>
      <c r="E41" s="2" t="s">
        <v>216</v>
      </c>
      <c r="F41" s="2" t="s">
        <v>217</v>
      </c>
      <c r="G41" s="2" t="s">
        <v>34</v>
      </c>
      <c r="H41" s="2" t="s">
        <v>218</v>
      </c>
      <c r="I41" s="2" t="s">
        <v>137</v>
      </c>
      <c r="J41" s="2" t="s">
        <v>66</v>
      </c>
      <c r="K41" s="2" t="s">
        <v>38</v>
      </c>
      <c r="L41" s="2" t="s">
        <v>39</v>
      </c>
      <c r="M41" s="2" t="s">
        <v>38</v>
      </c>
      <c r="N41" s="2" t="s">
        <v>38</v>
      </c>
      <c r="O41" s="2" t="s">
        <v>38</v>
      </c>
      <c r="P41" s="2" t="s">
        <v>38</v>
      </c>
      <c r="Q41" s="2" t="s">
        <v>38</v>
      </c>
      <c r="R41" s="2" t="s">
        <v>38</v>
      </c>
      <c r="S41" s="2" t="s">
        <v>38</v>
      </c>
      <c r="T41" s="2" t="s">
        <v>38</v>
      </c>
      <c r="U41" s="2" t="s">
        <v>38</v>
      </c>
      <c r="V41" s="2" t="s">
        <v>38</v>
      </c>
      <c r="W41" s="2" t="s">
        <v>38</v>
      </c>
      <c r="X41" s="2" t="s">
        <v>38</v>
      </c>
      <c r="Y41" s="2" t="s">
        <v>38</v>
      </c>
      <c r="Z41" s="2" t="s">
        <v>38</v>
      </c>
      <c r="AA41" s="2" t="s">
        <v>38</v>
      </c>
      <c r="AB41" s="2" t="s">
        <v>38</v>
      </c>
      <c r="AC41" s="2" t="s">
        <v>39</v>
      </c>
      <c r="AD41" s="2" t="s">
        <v>38</v>
      </c>
      <c r="AE41" s="2" t="s">
        <v>39</v>
      </c>
    </row>
    <row r="42" spans="1:31" ht="409.5">
      <c r="A42" s="2">
        <v>2765212</v>
      </c>
      <c r="B42" s="2">
        <f>HYPERLINK("https://platform.v2.vetology.net/cases/2765212/screening-report/18?type=pdf&amp;v=v6&amp;scorecard=1&amp;secret_key=BX%25IJ%24%2F65ieZ%29f6", 2765212)</f>
        <v>2765212</v>
      </c>
      <c r="C42" s="2">
        <f>HYPERLINK("https://platform.v2.vetology.net/report/v/final/"&amp;2765212, 2765212)</f>
        <v>2765212</v>
      </c>
      <c r="D42" s="2" t="s">
        <v>219</v>
      </c>
      <c r="E42" s="2" t="s">
        <v>220</v>
      </c>
      <c r="F42" s="2" t="s">
        <v>221</v>
      </c>
      <c r="G42" s="2" t="s">
        <v>58</v>
      </c>
      <c r="H42" s="2" t="s">
        <v>222</v>
      </c>
      <c r="I42" s="2" t="s">
        <v>223</v>
      </c>
      <c r="J42" s="2" t="s">
        <v>66</v>
      </c>
      <c r="K42" s="2" t="s">
        <v>38</v>
      </c>
      <c r="L42" s="2" t="s">
        <v>39</v>
      </c>
      <c r="M42" s="2" t="s">
        <v>39</v>
      </c>
      <c r="N42" s="2" t="s">
        <v>38</v>
      </c>
      <c r="O42" s="2" t="s">
        <v>39</v>
      </c>
      <c r="P42" s="2" t="s">
        <v>38</v>
      </c>
      <c r="Q42" s="2" t="s">
        <v>38</v>
      </c>
      <c r="R42" s="2" t="s">
        <v>38</v>
      </c>
      <c r="S42" s="2" t="s">
        <v>39</v>
      </c>
      <c r="T42" s="2" t="s">
        <v>38</v>
      </c>
      <c r="U42" s="2" t="s">
        <v>39</v>
      </c>
      <c r="V42" s="2" t="s">
        <v>38</v>
      </c>
      <c r="W42" s="2" t="s">
        <v>38</v>
      </c>
      <c r="X42" s="2" t="s">
        <v>38</v>
      </c>
      <c r="Y42" s="2" t="s">
        <v>38</v>
      </c>
      <c r="Z42" s="2" t="s">
        <v>39</v>
      </c>
      <c r="AA42" s="2" t="s">
        <v>38</v>
      </c>
      <c r="AB42" s="2" t="s">
        <v>39</v>
      </c>
      <c r="AC42" s="2" t="s">
        <v>39</v>
      </c>
      <c r="AD42" s="2" t="s">
        <v>38</v>
      </c>
      <c r="AE42" s="2" t="s">
        <v>39</v>
      </c>
    </row>
    <row r="43" spans="1:31" ht="409.5">
      <c r="A43" s="2">
        <v>2765071</v>
      </c>
      <c r="B43" s="2">
        <f>HYPERLINK("https://platform.v2.vetology.net/cases/2765071/screening-report/18?type=pdf&amp;v=v6&amp;scorecard=1&amp;secret_key=BX%25IJ%24%2F65ieZ%29f6", 2765071)</f>
        <v>2765071</v>
      </c>
      <c r="C43" s="2">
        <f>HYPERLINK("https://platform.v2.vetology.net/report/v/final/"&amp;2765071, 2765071)</f>
        <v>2765071</v>
      </c>
      <c r="D43" s="2" t="s">
        <v>224</v>
      </c>
      <c r="E43" s="2" t="s">
        <v>225</v>
      </c>
      <c r="F43" s="2" t="s">
        <v>81</v>
      </c>
      <c r="G43" s="2" t="s">
        <v>150</v>
      </c>
      <c r="H43" s="2" t="s">
        <v>226</v>
      </c>
      <c r="I43" s="2" t="s">
        <v>227</v>
      </c>
      <c r="J43" s="2" t="s">
        <v>228</v>
      </c>
      <c r="K43" s="2" t="s">
        <v>38</v>
      </c>
      <c r="L43" s="2" t="s">
        <v>39</v>
      </c>
      <c r="M43" s="2" t="s">
        <v>39</v>
      </c>
      <c r="N43" s="2" t="s">
        <v>39</v>
      </c>
      <c r="O43" s="2" t="s">
        <v>38</v>
      </c>
      <c r="P43" s="2" t="s">
        <v>39</v>
      </c>
      <c r="Q43" s="2" t="s">
        <v>39</v>
      </c>
      <c r="R43" s="2" t="s">
        <v>38</v>
      </c>
      <c r="S43" s="2" t="s">
        <v>38</v>
      </c>
      <c r="T43" s="2" t="s">
        <v>39</v>
      </c>
      <c r="U43" s="2" t="s">
        <v>39</v>
      </c>
      <c r="V43" s="2" t="s">
        <v>38</v>
      </c>
      <c r="W43" s="2" t="s">
        <v>38</v>
      </c>
      <c r="X43" s="2" t="s">
        <v>39</v>
      </c>
      <c r="Y43" s="2" t="s">
        <v>38</v>
      </c>
      <c r="Z43" s="2" t="s">
        <v>39</v>
      </c>
      <c r="AA43" s="2" t="s">
        <v>38</v>
      </c>
      <c r="AB43" s="2" t="s">
        <v>39</v>
      </c>
      <c r="AC43" s="2" t="s">
        <v>39</v>
      </c>
      <c r="AD43" s="2" t="s">
        <v>38</v>
      </c>
      <c r="AE43" s="2" t="s">
        <v>38</v>
      </c>
    </row>
    <row r="44" spans="1:31" ht="409.5">
      <c r="A44" s="2">
        <v>2764880</v>
      </c>
      <c r="B44" s="2">
        <f>HYPERLINK("https://platform.v2.vetology.net/cases/2764880/screening-report/18?type=pdf&amp;v=v6&amp;scorecard=1&amp;secret_key=BX%25IJ%24%2F65ieZ%29f6", 2764880)</f>
        <v>2764880</v>
      </c>
      <c r="C44" s="2">
        <f>HYPERLINK("https://platform.v2.vetology.net/report/v/final/"&amp;2764880, 2764880)</f>
        <v>2764880</v>
      </c>
      <c r="D44" s="2" t="s">
        <v>229</v>
      </c>
      <c r="E44" s="2" t="s">
        <v>230</v>
      </c>
      <c r="F44" s="2" t="s">
        <v>149</v>
      </c>
      <c r="G44" s="2" t="s">
        <v>150</v>
      </c>
      <c r="H44" s="2" t="s">
        <v>129</v>
      </c>
      <c r="I44" s="2" t="s">
        <v>44</v>
      </c>
      <c r="J44" s="2" t="s">
        <v>106</v>
      </c>
      <c r="K44" s="2" t="s">
        <v>38</v>
      </c>
      <c r="L44" s="2" t="s">
        <v>38</v>
      </c>
      <c r="M44" s="2" t="s">
        <v>38</v>
      </c>
      <c r="N44" s="2" t="s">
        <v>38</v>
      </c>
      <c r="O44" s="2" t="s">
        <v>38</v>
      </c>
      <c r="P44" s="2" t="s">
        <v>38</v>
      </c>
      <c r="Q44" s="2" t="s">
        <v>38</v>
      </c>
      <c r="R44" s="2" t="s">
        <v>38</v>
      </c>
      <c r="S44" s="2" t="s">
        <v>38</v>
      </c>
      <c r="T44" s="2" t="s">
        <v>38</v>
      </c>
      <c r="U44" s="2" t="s">
        <v>38</v>
      </c>
      <c r="V44" s="2" t="s">
        <v>38</v>
      </c>
      <c r="W44" s="2" t="s">
        <v>38</v>
      </c>
      <c r="X44" s="2" t="s">
        <v>38</v>
      </c>
      <c r="Y44" s="2" t="s">
        <v>38</v>
      </c>
      <c r="Z44" s="2" t="s">
        <v>38</v>
      </c>
      <c r="AA44" s="2" t="s">
        <v>38</v>
      </c>
      <c r="AB44" s="2" t="s">
        <v>38</v>
      </c>
      <c r="AC44" s="2" t="s">
        <v>38</v>
      </c>
      <c r="AD44" s="2" t="s">
        <v>38</v>
      </c>
      <c r="AE44" s="2" t="s">
        <v>38</v>
      </c>
    </row>
    <row r="45" spans="1:31" ht="409.5">
      <c r="A45" s="2">
        <v>2764756</v>
      </c>
      <c r="B45" s="2">
        <f>HYPERLINK("https://platform.v2.vetology.net/cases/2764756/screening-report/18?type=pdf&amp;v=v6&amp;scorecard=1&amp;secret_key=BX%25IJ%24%2F65ieZ%29f6", 2764756)</f>
        <v>2764756</v>
      </c>
      <c r="C45" s="2">
        <f>HYPERLINK("https://platform.v2.vetology.net/report/v/final/"&amp;2764756, 2764756)</f>
        <v>2764756</v>
      </c>
      <c r="D45" s="2" t="s">
        <v>231</v>
      </c>
      <c r="E45" s="2" t="s">
        <v>232</v>
      </c>
      <c r="F45" s="2" t="s">
        <v>233</v>
      </c>
      <c r="G45" s="2" t="s">
        <v>150</v>
      </c>
      <c r="H45" s="2" t="s">
        <v>71</v>
      </c>
      <c r="I45" s="2" t="s">
        <v>44</v>
      </c>
      <c r="J45" s="2"/>
      <c r="K45" s="2" t="s">
        <v>38</v>
      </c>
      <c r="L45" s="2" t="s">
        <v>39</v>
      </c>
      <c r="M45" s="2" t="s">
        <v>38</v>
      </c>
      <c r="N45" s="2" t="s">
        <v>38</v>
      </c>
      <c r="O45" s="2" t="s">
        <v>38</v>
      </c>
      <c r="P45" s="2" t="s">
        <v>38</v>
      </c>
      <c r="Q45" s="2" t="s">
        <v>38</v>
      </c>
      <c r="R45" s="2" t="s">
        <v>38</v>
      </c>
      <c r="S45" s="2" t="s">
        <v>38</v>
      </c>
      <c r="T45" s="2" t="s">
        <v>39</v>
      </c>
      <c r="U45" s="2" t="s">
        <v>38</v>
      </c>
      <c r="V45" s="2" t="s">
        <v>38</v>
      </c>
      <c r="W45" s="2" t="s">
        <v>38</v>
      </c>
      <c r="X45" s="2" t="s">
        <v>38</v>
      </c>
      <c r="Y45" s="2" t="s">
        <v>38</v>
      </c>
      <c r="Z45" s="2" t="s">
        <v>38</v>
      </c>
      <c r="AA45" s="2" t="s">
        <v>38</v>
      </c>
      <c r="AB45" s="2" t="s">
        <v>38</v>
      </c>
      <c r="AC45" s="2" t="s">
        <v>38</v>
      </c>
      <c r="AD45" s="2" t="s">
        <v>38</v>
      </c>
      <c r="AE45" s="2" t="s">
        <v>38</v>
      </c>
    </row>
    <row r="46" spans="1:31" ht="409.5">
      <c r="A46" s="2">
        <v>2764733</v>
      </c>
      <c r="B46" s="2">
        <f>HYPERLINK("https://platform.v2.vetology.net/cases/2764733/screening-report/18?type=pdf&amp;v=v6&amp;scorecard=1&amp;secret_key=BX%25IJ%24%2F65ieZ%29f6", 2764733)</f>
        <v>2764733</v>
      </c>
      <c r="C46" s="2">
        <f>HYPERLINK("https://platform.v2.vetology.net/report/v/final/"&amp;2764733, 2764733)</f>
        <v>2764733</v>
      </c>
      <c r="D46" s="2" t="s">
        <v>234</v>
      </c>
      <c r="E46" s="2" t="s">
        <v>235</v>
      </c>
      <c r="F46" s="2" t="s">
        <v>236</v>
      </c>
      <c r="G46" s="2" t="s">
        <v>150</v>
      </c>
      <c r="H46" s="2" t="s">
        <v>88</v>
      </c>
      <c r="I46" s="2" t="s">
        <v>89</v>
      </c>
      <c r="J46" s="2" t="s">
        <v>66</v>
      </c>
      <c r="K46" s="2" t="s">
        <v>38</v>
      </c>
      <c r="L46" s="2" t="s">
        <v>39</v>
      </c>
      <c r="M46" s="2" t="s">
        <v>38</v>
      </c>
      <c r="N46" s="2" t="s">
        <v>38</v>
      </c>
      <c r="O46" s="2" t="s">
        <v>38</v>
      </c>
      <c r="P46" s="2" t="s">
        <v>38</v>
      </c>
      <c r="Q46" s="2" t="s">
        <v>38</v>
      </c>
      <c r="R46" s="2" t="s">
        <v>38</v>
      </c>
      <c r="S46" s="2" t="s">
        <v>38</v>
      </c>
      <c r="T46" s="2" t="s">
        <v>38</v>
      </c>
      <c r="U46" s="2" t="s">
        <v>38</v>
      </c>
      <c r="V46" s="2" t="s">
        <v>38</v>
      </c>
      <c r="W46" s="2" t="s">
        <v>38</v>
      </c>
      <c r="X46" s="2" t="s">
        <v>38</v>
      </c>
      <c r="Y46" s="2" t="s">
        <v>38</v>
      </c>
      <c r="Z46" s="2" t="s">
        <v>38</v>
      </c>
      <c r="AA46" s="2" t="s">
        <v>38</v>
      </c>
      <c r="AB46" s="2" t="s">
        <v>39</v>
      </c>
      <c r="AC46" s="2" t="s">
        <v>38</v>
      </c>
      <c r="AD46" s="2" t="s">
        <v>38</v>
      </c>
      <c r="AE46" s="2" t="s">
        <v>39</v>
      </c>
    </row>
    <row r="47" spans="1:31" ht="409.5">
      <c r="A47" s="2">
        <v>2764457</v>
      </c>
      <c r="B47" s="2">
        <f>HYPERLINK("https://platform.v2.vetology.net/cases/2764457/screening-report/18?type=pdf&amp;v=v6&amp;scorecard=1&amp;secret_key=BX%25IJ%24%2F65ieZ%29f6", 2764457)</f>
        <v>2764457</v>
      </c>
      <c r="C47" s="2">
        <f>HYPERLINK("https://platform.v2.vetology.net/report/v/final/"&amp;2764457, 2764457)</f>
        <v>2764457</v>
      </c>
      <c r="D47" s="2" t="s">
        <v>237</v>
      </c>
      <c r="E47" s="2" t="s">
        <v>238</v>
      </c>
      <c r="F47" s="2" t="s">
        <v>239</v>
      </c>
      <c r="G47" s="2" t="s">
        <v>150</v>
      </c>
      <c r="H47" s="2" t="s">
        <v>240</v>
      </c>
      <c r="I47" s="2" t="s">
        <v>89</v>
      </c>
      <c r="J47" s="2" t="s">
        <v>66</v>
      </c>
      <c r="K47" s="2" t="s">
        <v>38</v>
      </c>
      <c r="L47" s="2" t="s">
        <v>38</v>
      </c>
      <c r="M47" s="2" t="s">
        <v>39</v>
      </c>
      <c r="N47" s="2" t="s">
        <v>38</v>
      </c>
      <c r="O47" s="2" t="s">
        <v>38</v>
      </c>
      <c r="P47" s="2" t="s">
        <v>39</v>
      </c>
      <c r="Q47" s="2" t="s">
        <v>39</v>
      </c>
      <c r="R47" s="2" t="s">
        <v>38</v>
      </c>
      <c r="S47" s="2" t="s">
        <v>38</v>
      </c>
      <c r="T47" s="2" t="s">
        <v>38</v>
      </c>
      <c r="U47" s="2" t="s">
        <v>38</v>
      </c>
      <c r="V47" s="2" t="s">
        <v>38</v>
      </c>
      <c r="W47" s="2" t="s">
        <v>38</v>
      </c>
      <c r="X47" s="2" t="s">
        <v>38</v>
      </c>
      <c r="Y47" s="2" t="s">
        <v>38</v>
      </c>
      <c r="Z47" s="2" t="s">
        <v>39</v>
      </c>
      <c r="AA47" s="2" t="s">
        <v>38</v>
      </c>
      <c r="AB47" s="2" t="s">
        <v>39</v>
      </c>
      <c r="AC47" s="2" t="s">
        <v>38</v>
      </c>
      <c r="AD47" s="2" t="s">
        <v>38</v>
      </c>
      <c r="AE47" s="2" t="s">
        <v>39</v>
      </c>
    </row>
    <row r="48" spans="1:31" ht="409.5">
      <c r="A48" s="2">
        <v>2764430</v>
      </c>
      <c r="B48" s="2">
        <f>HYPERLINK("https://platform.v2.vetology.net/cases/2764430/screening-report/18?type=pdf&amp;v=v6&amp;scorecard=1&amp;secret_key=BX%25IJ%24%2F65ieZ%29f6", 2764430)</f>
        <v>2764430</v>
      </c>
      <c r="C48" s="2">
        <f>HYPERLINK("https://platform.v2.vetology.net/report/v/final/"&amp;2764430, 2764430)</f>
        <v>2764430</v>
      </c>
      <c r="D48" s="2" t="s">
        <v>241</v>
      </c>
      <c r="E48" s="2" t="s">
        <v>242</v>
      </c>
      <c r="F48" s="2" t="s">
        <v>243</v>
      </c>
      <c r="G48" s="2" t="s">
        <v>150</v>
      </c>
      <c r="H48" s="2" t="s">
        <v>244</v>
      </c>
      <c r="I48" s="2" t="s">
        <v>245</v>
      </c>
      <c r="J48" s="2" t="s">
        <v>246</v>
      </c>
      <c r="K48" s="2" t="s">
        <v>38</v>
      </c>
      <c r="L48" s="2" t="s">
        <v>38</v>
      </c>
      <c r="M48" s="2" t="s">
        <v>39</v>
      </c>
      <c r="N48" s="2" t="s">
        <v>38</v>
      </c>
      <c r="O48" s="2" t="s">
        <v>38</v>
      </c>
      <c r="P48" s="2" t="s">
        <v>38</v>
      </c>
      <c r="Q48" s="2" t="s">
        <v>39</v>
      </c>
      <c r="R48" s="2" t="s">
        <v>38</v>
      </c>
      <c r="S48" s="2" t="s">
        <v>38</v>
      </c>
      <c r="T48" s="2" t="s">
        <v>38</v>
      </c>
      <c r="U48" s="2" t="s">
        <v>38</v>
      </c>
      <c r="V48" s="2" t="s">
        <v>38</v>
      </c>
      <c r="W48" s="2" t="s">
        <v>38</v>
      </c>
      <c r="X48" s="2" t="s">
        <v>38</v>
      </c>
      <c r="Y48" s="2" t="s">
        <v>38</v>
      </c>
      <c r="Z48" s="2" t="s">
        <v>38</v>
      </c>
      <c r="AA48" s="2" t="s">
        <v>38</v>
      </c>
      <c r="AB48" s="2" t="s">
        <v>38</v>
      </c>
      <c r="AC48" s="2" t="s">
        <v>39</v>
      </c>
      <c r="AD48" s="2" t="s">
        <v>38</v>
      </c>
      <c r="AE48" s="2" t="s">
        <v>38</v>
      </c>
    </row>
    <row r="49" spans="1:31" ht="409.5">
      <c r="A49" s="2">
        <v>2764409</v>
      </c>
      <c r="B49" s="2">
        <f>HYPERLINK("https://platform.v2.vetology.net/cases/2764409/screening-report/18?type=pdf&amp;v=v6&amp;scorecard=1&amp;secret_key=BX%25IJ%24%2F65ieZ%29f6", 2764409)</f>
        <v>2764409</v>
      </c>
      <c r="C49" s="2">
        <f>HYPERLINK("https://platform.v2.vetology.net/report/v/final/"&amp;2764409, 2764409)</f>
        <v>2764409</v>
      </c>
      <c r="D49" s="2" t="s">
        <v>247</v>
      </c>
      <c r="E49" s="2" t="s">
        <v>248</v>
      </c>
      <c r="F49" s="2" t="s">
        <v>249</v>
      </c>
      <c r="G49" s="2" t="s">
        <v>150</v>
      </c>
      <c r="H49" s="2" t="s">
        <v>250</v>
      </c>
      <c r="I49" s="2" t="s">
        <v>44</v>
      </c>
      <c r="J49" s="2"/>
      <c r="K49" s="2" t="s">
        <v>38</v>
      </c>
      <c r="L49" s="2" t="s">
        <v>38</v>
      </c>
      <c r="M49" s="2" t="s">
        <v>38</v>
      </c>
      <c r="N49" s="2" t="s">
        <v>38</v>
      </c>
      <c r="O49" s="2" t="s">
        <v>38</v>
      </c>
      <c r="P49" s="2" t="s">
        <v>38</v>
      </c>
      <c r="Q49" s="2" t="s">
        <v>38</v>
      </c>
      <c r="R49" s="2" t="s">
        <v>38</v>
      </c>
      <c r="S49" s="2" t="s">
        <v>38</v>
      </c>
      <c r="T49" s="2" t="s">
        <v>38</v>
      </c>
      <c r="U49" s="2" t="s">
        <v>38</v>
      </c>
      <c r="V49" s="2" t="s">
        <v>38</v>
      </c>
      <c r="W49" s="2" t="s">
        <v>38</v>
      </c>
      <c r="X49" s="2" t="s">
        <v>38</v>
      </c>
      <c r="Y49" s="2" t="s">
        <v>38</v>
      </c>
      <c r="Z49" s="2" t="s">
        <v>38</v>
      </c>
      <c r="AA49" s="2" t="s">
        <v>38</v>
      </c>
      <c r="AB49" s="2" t="s">
        <v>39</v>
      </c>
      <c r="AC49" s="2" t="s">
        <v>38</v>
      </c>
      <c r="AD49" s="2" t="s">
        <v>38</v>
      </c>
      <c r="AE49" s="2" t="s">
        <v>38</v>
      </c>
    </row>
    <row r="50" spans="1:31" ht="409.5">
      <c r="A50" s="2">
        <v>2764282</v>
      </c>
      <c r="B50" s="2">
        <f>HYPERLINK("https://platform.v2.vetology.net/cases/2764282/screening-report/18?type=pdf&amp;v=v6&amp;scorecard=1&amp;secret_key=BX%25IJ%24%2F65ieZ%29f6", 2764282)</f>
        <v>2764282</v>
      </c>
      <c r="C50" s="2">
        <f>HYPERLINK("https://platform.v2.vetology.net/report/v/final/"&amp;2764282, 2764282)</f>
        <v>2764282</v>
      </c>
      <c r="D50" s="2" t="s">
        <v>251</v>
      </c>
      <c r="E50" s="2" t="s">
        <v>252</v>
      </c>
      <c r="F50" s="2" t="s">
        <v>253</v>
      </c>
      <c r="G50" s="2" t="s">
        <v>58</v>
      </c>
      <c r="H50" s="2" t="s">
        <v>254</v>
      </c>
      <c r="I50" s="2" t="s">
        <v>89</v>
      </c>
      <c r="J50" s="2" t="s">
        <v>66</v>
      </c>
      <c r="K50" s="2" t="s">
        <v>38</v>
      </c>
      <c r="L50" s="2" t="s">
        <v>39</v>
      </c>
      <c r="M50" s="2" t="s">
        <v>39</v>
      </c>
      <c r="N50" s="2" t="s">
        <v>38</v>
      </c>
      <c r="O50" s="2" t="s">
        <v>38</v>
      </c>
      <c r="P50" s="2" t="s">
        <v>39</v>
      </c>
      <c r="Q50" s="2" t="s">
        <v>38</v>
      </c>
      <c r="R50" s="2" t="s">
        <v>38</v>
      </c>
      <c r="S50" s="2" t="s">
        <v>38</v>
      </c>
      <c r="T50" s="2" t="s">
        <v>38</v>
      </c>
      <c r="U50" s="2" t="s">
        <v>38</v>
      </c>
      <c r="V50" s="2" t="s">
        <v>38</v>
      </c>
      <c r="W50" s="2" t="s">
        <v>38</v>
      </c>
      <c r="X50" s="2" t="s">
        <v>38</v>
      </c>
      <c r="Y50" s="2" t="s">
        <v>38</v>
      </c>
      <c r="Z50" s="2" t="s">
        <v>38</v>
      </c>
      <c r="AA50" s="2" t="s">
        <v>38</v>
      </c>
      <c r="AB50" s="2" t="s">
        <v>38</v>
      </c>
      <c r="AC50" s="2" t="s">
        <v>38</v>
      </c>
      <c r="AD50" s="2" t="s">
        <v>38</v>
      </c>
      <c r="AE50" s="2" t="s">
        <v>39</v>
      </c>
    </row>
    <row r="51" spans="1:31" ht="409.5">
      <c r="A51" s="2">
        <v>2764242</v>
      </c>
      <c r="B51" s="2">
        <f>HYPERLINK("https://platform.v2.vetology.net/cases/2764242/screening-report/18?type=pdf&amp;v=v6&amp;scorecard=1&amp;secret_key=BX%25IJ%24%2F65ieZ%29f6", 2764242)</f>
        <v>2764242</v>
      </c>
      <c r="C51" s="2">
        <f>HYPERLINK("https://platform.v2.vetology.net/report/v/final/"&amp;2764242, 2764242)</f>
        <v>2764242</v>
      </c>
      <c r="D51" s="2" t="s">
        <v>255</v>
      </c>
      <c r="E51" s="2" t="s">
        <v>256</v>
      </c>
      <c r="F51" s="2" t="s">
        <v>257</v>
      </c>
      <c r="G51" s="2" t="s">
        <v>34</v>
      </c>
      <c r="H51" s="2" t="s">
        <v>94</v>
      </c>
      <c r="I51" s="2" t="s">
        <v>89</v>
      </c>
      <c r="J51" s="2" t="s">
        <v>66</v>
      </c>
      <c r="K51" s="2" t="s">
        <v>38</v>
      </c>
      <c r="L51" s="2" t="s">
        <v>38</v>
      </c>
      <c r="M51" s="2" t="s">
        <v>39</v>
      </c>
      <c r="N51" s="2" t="s">
        <v>38</v>
      </c>
      <c r="O51" s="2" t="s">
        <v>38</v>
      </c>
      <c r="P51" s="2" t="s">
        <v>38</v>
      </c>
      <c r="Q51" s="2" t="s">
        <v>38</v>
      </c>
      <c r="R51" s="2" t="s">
        <v>38</v>
      </c>
      <c r="S51" s="2" t="s">
        <v>38</v>
      </c>
      <c r="T51" s="2" t="s">
        <v>39</v>
      </c>
      <c r="U51" s="2" t="s">
        <v>38</v>
      </c>
      <c r="V51" s="2" t="s">
        <v>38</v>
      </c>
      <c r="W51" s="2" t="s">
        <v>38</v>
      </c>
      <c r="X51" s="2" t="s">
        <v>39</v>
      </c>
      <c r="Y51" s="2" t="s">
        <v>38</v>
      </c>
      <c r="Z51" s="2" t="s">
        <v>38</v>
      </c>
      <c r="AA51" s="2" t="s">
        <v>38</v>
      </c>
      <c r="AB51" s="2" t="s">
        <v>38</v>
      </c>
      <c r="AC51" s="2" t="s">
        <v>38</v>
      </c>
      <c r="AD51" s="2" t="s">
        <v>38</v>
      </c>
      <c r="AE51" s="2" t="s">
        <v>39</v>
      </c>
    </row>
    <row r="52" spans="1:31" ht="409.5">
      <c r="A52" s="2">
        <v>2763995</v>
      </c>
      <c r="B52" s="2">
        <f>HYPERLINK("https://platform.v2.vetology.net/cases/2763995/screening-report/18?type=pdf&amp;v=v6&amp;scorecard=1&amp;secret_key=BX%25IJ%24%2F65ieZ%29f6", 2763995)</f>
        <v>2763995</v>
      </c>
      <c r="C52" s="2">
        <f>HYPERLINK("https://platform.v2.vetology.net/report/v/final/"&amp;2763995, 2763995)</f>
        <v>2763995</v>
      </c>
      <c r="D52" s="2" t="s">
        <v>258</v>
      </c>
      <c r="E52" s="2" t="s">
        <v>259</v>
      </c>
      <c r="F52" s="2" t="s">
        <v>81</v>
      </c>
      <c r="G52" s="2" t="s">
        <v>82</v>
      </c>
      <c r="H52" s="2" t="s">
        <v>101</v>
      </c>
      <c r="I52" s="2" t="s">
        <v>44</v>
      </c>
      <c r="J52" s="2"/>
      <c r="K52" s="2" t="s">
        <v>38</v>
      </c>
      <c r="L52" s="2" t="s">
        <v>38</v>
      </c>
      <c r="M52" s="2" t="s">
        <v>38</v>
      </c>
      <c r="N52" s="2" t="s">
        <v>38</v>
      </c>
      <c r="O52" s="2" t="s">
        <v>38</v>
      </c>
      <c r="P52" s="2" t="s">
        <v>38</v>
      </c>
      <c r="Q52" s="2" t="s">
        <v>38</v>
      </c>
      <c r="R52" s="2" t="s">
        <v>38</v>
      </c>
      <c r="S52" s="2" t="s">
        <v>38</v>
      </c>
      <c r="T52" s="2" t="s">
        <v>39</v>
      </c>
      <c r="U52" s="2" t="s">
        <v>38</v>
      </c>
      <c r="V52" s="2" t="s">
        <v>39</v>
      </c>
      <c r="W52" s="2" t="s">
        <v>38</v>
      </c>
      <c r="X52" s="2" t="s">
        <v>39</v>
      </c>
      <c r="Y52" s="2" t="s">
        <v>38</v>
      </c>
      <c r="Z52" s="2" t="s">
        <v>38</v>
      </c>
      <c r="AA52" s="2" t="s">
        <v>38</v>
      </c>
      <c r="AB52" s="2" t="s">
        <v>38</v>
      </c>
      <c r="AC52" s="2" t="s">
        <v>38</v>
      </c>
      <c r="AD52" s="2" t="s">
        <v>38</v>
      </c>
      <c r="AE52" s="2" t="s">
        <v>38</v>
      </c>
    </row>
    <row r="53" spans="1:31" ht="409.5">
      <c r="A53" s="2">
        <v>2763965</v>
      </c>
      <c r="B53" s="2">
        <f>HYPERLINK("https://platform.v2.vetology.net/cases/2763965/screening-report/18?type=pdf&amp;v=v6&amp;scorecard=1&amp;secret_key=BX%25IJ%24%2F65ieZ%29f6", 2763965)</f>
        <v>2763965</v>
      </c>
      <c r="C53" s="2">
        <f>HYPERLINK("https://platform.v2.vetology.net/report/v/final/"&amp;2763965, 2763965)</f>
        <v>2763965</v>
      </c>
      <c r="D53" s="2" t="s">
        <v>260</v>
      </c>
      <c r="E53" s="2" t="s">
        <v>261</v>
      </c>
      <c r="F53" s="2" t="s">
        <v>262</v>
      </c>
      <c r="G53" s="2" t="s">
        <v>58</v>
      </c>
      <c r="H53" s="2" t="s">
        <v>263</v>
      </c>
      <c r="I53" s="2" t="s">
        <v>264</v>
      </c>
      <c r="J53" s="2" t="s">
        <v>265</v>
      </c>
      <c r="K53" s="2" t="s">
        <v>38</v>
      </c>
      <c r="L53" s="2" t="s">
        <v>39</v>
      </c>
      <c r="M53" s="2" t="s">
        <v>38</v>
      </c>
      <c r="N53" s="2" t="s">
        <v>38</v>
      </c>
      <c r="O53" s="2" t="s">
        <v>38</v>
      </c>
      <c r="P53" s="2" t="s">
        <v>39</v>
      </c>
      <c r="Q53" s="2" t="s">
        <v>38</v>
      </c>
      <c r="R53" s="2" t="s">
        <v>38</v>
      </c>
      <c r="S53" s="2" t="s">
        <v>38</v>
      </c>
      <c r="T53" s="2" t="s">
        <v>38</v>
      </c>
      <c r="U53" s="2" t="s">
        <v>38</v>
      </c>
      <c r="V53" s="2" t="s">
        <v>38</v>
      </c>
      <c r="W53" s="2" t="s">
        <v>38</v>
      </c>
      <c r="X53" s="2" t="s">
        <v>38</v>
      </c>
      <c r="Y53" s="2" t="s">
        <v>38</v>
      </c>
      <c r="Z53" s="2" t="s">
        <v>38</v>
      </c>
      <c r="AA53" s="2" t="s">
        <v>38</v>
      </c>
      <c r="AB53" s="2" t="s">
        <v>38</v>
      </c>
      <c r="AC53" s="2" t="s">
        <v>38</v>
      </c>
      <c r="AD53" s="2" t="s">
        <v>38</v>
      </c>
      <c r="AE53" s="2" t="s">
        <v>38</v>
      </c>
    </row>
    <row r="54" spans="1:31" ht="409.5">
      <c r="A54" s="2">
        <v>2763816</v>
      </c>
      <c r="B54" s="2">
        <f>HYPERLINK("https://platform.v2.vetology.net/cases/2763816/screening-report/18?type=pdf&amp;v=v6&amp;scorecard=1&amp;secret_key=BX%25IJ%24%2F65ieZ%29f6", 2763816)</f>
        <v>2763816</v>
      </c>
      <c r="C54" s="2">
        <f>HYPERLINK("https://platform.v2.vetology.net/report/v/final/"&amp;2763816, 2763816)</f>
        <v>2763816</v>
      </c>
      <c r="D54" s="2" t="s">
        <v>266</v>
      </c>
      <c r="E54" s="2" t="s">
        <v>267</v>
      </c>
      <c r="F54" s="2" t="s">
        <v>81</v>
      </c>
      <c r="G54" s="2" t="s">
        <v>268</v>
      </c>
      <c r="H54" s="2" t="s">
        <v>269</v>
      </c>
      <c r="I54" s="2" t="s">
        <v>270</v>
      </c>
      <c r="J54" s="2" t="s">
        <v>66</v>
      </c>
      <c r="K54" s="2" t="s">
        <v>38</v>
      </c>
      <c r="L54" s="2" t="s">
        <v>39</v>
      </c>
      <c r="M54" s="2" t="s">
        <v>39</v>
      </c>
      <c r="N54" s="2" t="s">
        <v>39</v>
      </c>
      <c r="O54" s="2" t="s">
        <v>39</v>
      </c>
      <c r="P54" s="2" t="s">
        <v>39</v>
      </c>
      <c r="Q54" s="2" t="s">
        <v>38</v>
      </c>
      <c r="R54" s="2" t="s">
        <v>38</v>
      </c>
      <c r="S54" s="2" t="s">
        <v>38</v>
      </c>
      <c r="T54" s="2" t="s">
        <v>38</v>
      </c>
      <c r="U54" s="2" t="s">
        <v>38</v>
      </c>
      <c r="V54" s="2" t="s">
        <v>38</v>
      </c>
      <c r="W54" s="2" t="s">
        <v>38</v>
      </c>
      <c r="X54" s="2" t="s">
        <v>39</v>
      </c>
      <c r="Y54" s="2" t="s">
        <v>38</v>
      </c>
      <c r="Z54" s="2" t="s">
        <v>39</v>
      </c>
      <c r="AA54" s="2" t="s">
        <v>38</v>
      </c>
      <c r="AB54" s="2" t="s">
        <v>39</v>
      </c>
      <c r="AC54" s="2" t="s">
        <v>39</v>
      </c>
      <c r="AD54" s="2" t="s">
        <v>38</v>
      </c>
      <c r="AE54" s="2" t="s">
        <v>38</v>
      </c>
    </row>
    <row r="55" spans="1:31" ht="409.5">
      <c r="A55" s="2">
        <v>2763709</v>
      </c>
      <c r="B55" s="2">
        <f>HYPERLINK("https://platform.v2.vetology.net/cases/2763709/screening-report/18?type=pdf&amp;v=v6&amp;scorecard=1&amp;secret_key=BX%25IJ%24%2F65ieZ%29f6", 2763709)</f>
        <v>2763709</v>
      </c>
      <c r="C55" s="2">
        <f>HYPERLINK("https://platform.v2.vetology.net/report/v/final/"&amp;2763709, 2763709)</f>
        <v>2763709</v>
      </c>
      <c r="D55" s="2" t="s">
        <v>271</v>
      </c>
      <c r="E55" s="2" t="s">
        <v>272</v>
      </c>
      <c r="F55" s="2" t="s">
        <v>81</v>
      </c>
      <c r="G55" s="2" t="s">
        <v>82</v>
      </c>
      <c r="H55" s="2" t="s">
        <v>162</v>
      </c>
      <c r="I55" s="2" t="s">
        <v>124</v>
      </c>
      <c r="J55" s="2" t="s">
        <v>125</v>
      </c>
      <c r="K55" s="2" t="s">
        <v>38</v>
      </c>
      <c r="L55" s="2" t="s">
        <v>38</v>
      </c>
      <c r="M55" s="2" t="s">
        <v>39</v>
      </c>
      <c r="N55" s="2" t="s">
        <v>38</v>
      </c>
      <c r="O55" s="2" t="s">
        <v>38</v>
      </c>
      <c r="P55" s="2" t="s">
        <v>38</v>
      </c>
      <c r="Q55" s="2" t="s">
        <v>38</v>
      </c>
      <c r="R55" s="2" t="s">
        <v>38</v>
      </c>
      <c r="S55" s="2" t="s">
        <v>38</v>
      </c>
      <c r="T55" s="2" t="s">
        <v>38</v>
      </c>
      <c r="U55" s="2" t="s">
        <v>38</v>
      </c>
      <c r="V55" s="2" t="s">
        <v>38</v>
      </c>
      <c r="W55" s="2" t="s">
        <v>38</v>
      </c>
      <c r="X55" s="2" t="s">
        <v>38</v>
      </c>
      <c r="Y55" s="2" t="s">
        <v>38</v>
      </c>
      <c r="Z55" s="2" t="s">
        <v>38</v>
      </c>
      <c r="AA55" s="2" t="s">
        <v>38</v>
      </c>
      <c r="AB55" s="2" t="s">
        <v>38</v>
      </c>
      <c r="AC55" s="2" t="s">
        <v>38</v>
      </c>
      <c r="AD55" s="2" t="s">
        <v>38</v>
      </c>
      <c r="AE55" s="2" t="s">
        <v>38</v>
      </c>
    </row>
    <row r="56" spans="1:31" ht="409.5">
      <c r="A56" s="2">
        <v>2763622</v>
      </c>
      <c r="B56" s="2">
        <f>HYPERLINK("https://platform.v2.vetology.net/cases/2763622/screening-report/18?type=pdf&amp;v=v6&amp;scorecard=1&amp;secret_key=BX%25IJ%24%2F65ieZ%29f6", 2763622)</f>
        <v>2763622</v>
      </c>
      <c r="C56" s="2">
        <f>HYPERLINK("https://platform.v2.vetology.net/report/v/final/"&amp;2763622, 2763622)</f>
        <v>2763622</v>
      </c>
      <c r="D56" s="2" t="s">
        <v>273</v>
      </c>
      <c r="E56" s="2" t="s">
        <v>274</v>
      </c>
      <c r="F56" s="2" t="s">
        <v>275</v>
      </c>
      <c r="G56" s="2" t="s">
        <v>34</v>
      </c>
      <c r="H56" s="2" t="s">
        <v>78</v>
      </c>
      <c r="I56" s="2" t="s">
        <v>44</v>
      </c>
      <c r="J56" s="2" t="s">
        <v>106</v>
      </c>
      <c r="K56" s="2" t="s">
        <v>38</v>
      </c>
      <c r="L56" s="2" t="s">
        <v>38</v>
      </c>
      <c r="M56" s="2" t="s">
        <v>38</v>
      </c>
      <c r="N56" s="2" t="s">
        <v>38</v>
      </c>
      <c r="O56" s="2" t="s">
        <v>38</v>
      </c>
      <c r="P56" s="2" t="s">
        <v>38</v>
      </c>
      <c r="Q56" s="2" t="s">
        <v>38</v>
      </c>
      <c r="R56" s="2" t="s">
        <v>38</v>
      </c>
      <c r="S56" s="2" t="s">
        <v>38</v>
      </c>
      <c r="T56" s="2" t="s">
        <v>38</v>
      </c>
      <c r="U56" s="2" t="s">
        <v>38</v>
      </c>
      <c r="V56" s="2" t="s">
        <v>38</v>
      </c>
      <c r="W56" s="2" t="s">
        <v>38</v>
      </c>
      <c r="X56" s="2" t="s">
        <v>38</v>
      </c>
      <c r="Y56" s="2" t="s">
        <v>38</v>
      </c>
      <c r="Z56" s="2" t="s">
        <v>38</v>
      </c>
      <c r="AA56" s="2" t="s">
        <v>38</v>
      </c>
      <c r="AB56" s="2" t="s">
        <v>38</v>
      </c>
      <c r="AC56" s="2" t="s">
        <v>38</v>
      </c>
      <c r="AD56" s="2" t="s">
        <v>38</v>
      </c>
      <c r="AE56" s="2" t="s">
        <v>38</v>
      </c>
    </row>
    <row r="57" spans="1:31" ht="409.5">
      <c r="A57" s="2">
        <v>2763614</v>
      </c>
      <c r="B57" s="2">
        <f>HYPERLINK("https://platform.v2.vetology.net/cases/2763614/screening-report/18?type=pdf&amp;v=v6&amp;scorecard=1&amp;secret_key=BX%25IJ%24%2F65ieZ%29f6", 2763614)</f>
        <v>2763614</v>
      </c>
      <c r="C57" s="2">
        <f>HYPERLINK("https://platform.v2.vetology.net/report/v/final/"&amp;2763614, 2763614)</f>
        <v>2763614</v>
      </c>
      <c r="D57" s="2" t="s">
        <v>276</v>
      </c>
      <c r="E57" s="2" t="s">
        <v>277</v>
      </c>
      <c r="F57" s="2" t="s">
        <v>81</v>
      </c>
      <c r="G57" s="2" t="s">
        <v>82</v>
      </c>
      <c r="H57" s="2" t="s">
        <v>136</v>
      </c>
      <c r="I57" s="2" t="s">
        <v>137</v>
      </c>
      <c r="J57" s="2" t="s">
        <v>66</v>
      </c>
      <c r="K57" s="2" t="s">
        <v>38</v>
      </c>
      <c r="L57" s="2" t="s">
        <v>38</v>
      </c>
      <c r="M57" s="2" t="s">
        <v>39</v>
      </c>
      <c r="N57" s="2" t="s">
        <v>38</v>
      </c>
      <c r="O57" s="2" t="s">
        <v>38</v>
      </c>
      <c r="P57" s="2" t="s">
        <v>38</v>
      </c>
      <c r="Q57" s="2" t="s">
        <v>38</v>
      </c>
      <c r="R57" s="2" t="s">
        <v>38</v>
      </c>
      <c r="S57" s="2" t="s">
        <v>39</v>
      </c>
      <c r="T57" s="2" t="s">
        <v>39</v>
      </c>
      <c r="U57" s="2" t="s">
        <v>38</v>
      </c>
      <c r="V57" s="2" t="s">
        <v>39</v>
      </c>
      <c r="W57" s="2" t="s">
        <v>38</v>
      </c>
      <c r="X57" s="2" t="s">
        <v>38</v>
      </c>
      <c r="Y57" s="2" t="s">
        <v>38</v>
      </c>
      <c r="Z57" s="2" t="s">
        <v>38</v>
      </c>
      <c r="AA57" s="2" t="s">
        <v>38</v>
      </c>
      <c r="AB57" s="2" t="s">
        <v>39</v>
      </c>
      <c r="AC57" s="2" t="s">
        <v>39</v>
      </c>
      <c r="AD57" s="2" t="s">
        <v>38</v>
      </c>
      <c r="AE57" s="2" t="s">
        <v>38</v>
      </c>
    </row>
    <row r="58" spans="1:31" ht="409.5">
      <c r="A58" s="2">
        <v>2763556</v>
      </c>
      <c r="B58" s="2">
        <f>HYPERLINK("https://platform.v2.vetology.net/cases/2763556/screening-report/18?type=pdf&amp;v=v6&amp;scorecard=1&amp;secret_key=BX%25IJ%24%2F65ieZ%29f6", 2763556)</f>
        <v>2763556</v>
      </c>
      <c r="C58" s="2">
        <f>HYPERLINK("https://platform.v2.vetology.net/report/v/final/"&amp;2763556, 2763556)</f>
        <v>2763556</v>
      </c>
      <c r="D58" s="2" t="s">
        <v>278</v>
      </c>
      <c r="E58" s="2" t="s">
        <v>279</v>
      </c>
      <c r="F58" s="2" t="s">
        <v>280</v>
      </c>
      <c r="G58" s="2" t="s">
        <v>82</v>
      </c>
      <c r="H58" s="2" t="s">
        <v>136</v>
      </c>
      <c r="I58" s="2" t="s">
        <v>137</v>
      </c>
      <c r="J58" s="2" t="s">
        <v>66</v>
      </c>
      <c r="K58" s="2" t="s">
        <v>38</v>
      </c>
      <c r="L58" s="2" t="s">
        <v>39</v>
      </c>
      <c r="M58" s="2" t="s">
        <v>38</v>
      </c>
      <c r="N58" s="2" t="s">
        <v>38</v>
      </c>
      <c r="O58" s="2" t="s">
        <v>38</v>
      </c>
      <c r="P58" s="2" t="s">
        <v>39</v>
      </c>
      <c r="Q58" s="2" t="s">
        <v>38</v>
      </c>
      <c r="R58" s="2" t="s">
        <v>38</v>
      </c>
      <c r="S58" s="2" t="s">
        <v>38</v>
      </c>
      <c r="T58" s="2" t="s">
        <v>38</v>
      </c>
      <c r="U58" s="2" t="s">
        <v>38</v>
      </c>
      <c r="V58" s="2" t="s">
        <v>38</v>
      </c>
      <c r="W58" s="2" t="s">
        <v>38</v>
      </c>
      <c r="X58" s="2" t="s">
        <v>38</v>
      </c>
      <c r="Y58" s="2" t="s">
        <v>38</v>
      </c>
      <c r="Z58" s="2" t="s">
        <v>38</v>
      </c>
      <c r="AA58" s="2" t="s">
        <v>38</v>
      </c>
      <c r="AB58" s="2" t="s">
        <v>39</v>
      </c>
      <c r="AC58" s="2" t="s">
        <v>38</v>
      </c>
      <c r="AD58" s="2" t="s">
        <v>38</v>
      </c>
      <c r="AE58" s="2" t="s">
        <v>39</v>
      </c>
    </row>
    <row r="59" spans="1:31" ht="409.5">
      <c r="A59" s="2">
        <v>2763511</v>
      </c>
      <c r="B59" s="2">
        <f>HYPERLINK("https://platform.v2.vetology.net/cases/2763511/screening-report/18?type=pdf&amp;v=v6&amp;scorecard=1&amp;secret_key=BX%25IJ%24%2F65ieZ%29f6", 2763511)</f>
        <v>2763511</v>
      </c>
      <c r="C59" s="2">
        <f>HYPERLINK("https://platform.v2.vetology.net/report/v/final/"&amp;2763511, 2763511)</f>
        <v>2763511</v>
      </c>
      <c r="D59" s="2" t="s">
        <v>281</v>
      </c>
      <c r="E59" s="2" t="s">
        <v>282</v>
      </c>
      <c r="F59" s="2"/>
      <c r="G59" s="2" t="s">
        <v>150</v>
      </c>
      <c r="H59" s="2" t="s">
        <v>283</v>
      </c>
      <c r="I59" s="2" t="s">
        <v>284</v>
      </c>
      <c r="J59" s="2" t="s">
        <v>285</v>
      </c>
      <c r="K59" s="2" t="s">
        <v>38</v>
      </c>
      <c r="L59" s="2" t="s">
        <v>38</v>
      </c>
      <c r="M59" s="2" t="s">
        <v>38</v>
      </c>
      <c r="N59" s="2" t="s">
        <v>38</v>
      </c>
      <c r="O59" s="2" t="s">
        <v>38</v>
      </c>
      <c r="P59" s="2" t="s">
        <v>38</v>
      </c>
      <c r="Q59" s="2" t="s">
        <v>38</v>
      </c>
      <c r="R59" s="2" t="s">
        <v>38</v>
      </c>
      <c r="S59" s="2" t="s">
        <v>38</v>
      </c>
      <c r="T59" s="2" t="s">
        <v>39</v>
      </c>
      <c r="U59" s="2" t="s">
        <v>38</v>
      </c>
      <c r="V59" s="2" t="s">
        <v>38</v>
      </c>
      <c r="W59" s="2" t="s">
        <v>38</v>
      </c>
      <c r="X59" s="2" t="s">
        <v>39</v>
      </c>
      <c r="Y59" s="2" t="s">
        <v>38</v>
      </c>
      <c r="Z59" s="2" t="s">
        <v>38</v>
      </c>
      <c r="AA59" s="2" t="s">
        <v>38</v>
      </c>
      <c r="AB59" s="2" t="s">
        <v>38</v>
      </c>
      <c r="AC59" s="2" t="s">
        <v>38</v>
      </c>
      <c r="AD59" s="2" t="s">
        <v>38</v>
      </c>
      <c r="AE59" s="2" t="s">
        <v>39</v>
      </c>
    </row>
    <row r="60" spans="1:31" ht="409.5">
      <c r="A60" s="2">
        <v>2763182</v>
      </c>
      <c r="B60" s="2">
        <f>HYPERLINK("https://platform.v2.vetology.net/cases/2763182/screening-report/18?type=pdf&amp;v=v6&amp;scorecard=1&amp;secret_key=BX%25IJ%24%2F65ieZ%29f6", 2763182)</f>
        <v>2763182</v>
      </c>
      <c r="C60" s="2">
        <f>HYPERLINK("https://platform.v2.vetology.net/report/v/final/"&amp;2763182, 2763182)</f>
        <v>2763182</v>
      </c>
      <c r="D60" s="2" t="s">
        <v>286</v>
      </c>
      <c r="E60" s="2" t="s">
        <v>287</v>
      </c>
      <c r="F60" s="2" t="s">
        <v>288</v>
      </c>
      <c r="G60" s="2" t="s">
        <v>34</v>
      </c>
      <c r="H60" s="2" t="s">
        <v>289</v>
      </c>
      <c r="I60" s="2" t="s">
        <v>290</v>
      </c>
      <c r="J60" s="2" t="s">
        <v>66</v>
      </c>
      <c r="K60" s="2" t="s">
        <v>38</v>
      </c>
      <c r="L60" s="2" t="s">
        <v>39</v>
      </c>
      <c r="M60" s="2" t="s">
        <v>39</v>
      </c>
      <c r="N60" s="2" t="s">
        <v>38</v>
      </c>
      <c r="O60" s="2" t="s">
        <v>38</v>
      </c>
      <c r="P60" s="2" t="s">
        <v>38</v>
      </c>
      <c r="Q60" s="2" t="s">
        <v>38</v>
      </c>
      <c r="R60" s="2" t="s">
        <v>38</v>
      </c>
      <c r="S60" s="2" t="s">
        <v>38</v>
      </c>
      <c r="T60" s="2" t="s">
        <v>38</v>
      </c>
      <c r="U60" s="2" t="s">
        <v>38</v>
      </c>
      <c r="V60" s="2" t="s">
        <v>38</v>
      </c>
      <c r="W60" s="2" t="s">
        <v>38</v>
      </c>
      <c r="X60" s="2" t="s">
        <v>38</v>
      </c>
      <c r="Y60" s="2" t="s">
        <v>38</v>
      </c>
      <c r="Z60" s="2" t="s">
        <v>39</v>
      </c>
      <c r="AA60" s="2" t="s">
        <v>38</v>
      </c>
      <c r="AB60" s="2" t="s">
        <v>38</v>
      </c>
      <c r="AC60" s="2" t="s">
        <v>38</v>
      </c>
      <c r="AD60" s="2" t="s">
        <v>38</v>
      </c>
      <c r="AE60" s="2" t="s">
        <v>38</v>
      </c>
    </row>
    <row r="61" spans="1:31" ht="409.5">
      <c r="A61" s="2">
        <v>2763164</v>
      </c>
      <c r="B61" s="2">
        <f>HYPERLINK("https://platform.v2.vetology.net/cases/2763164/screening-report/18?type=pdf&amp;v=v6&amp;scorecard=1&amp;secret_key=BX%25IJ%24%2F65ieZ%29f6", 2763164)</f>
        <v>2763164</v>
      </c>
      <c r="C61" s="2">
        <f>HYPERLINK("https://platform.v2.vetology.net/report/v/final/"&amp;2763164, 2763164)</f>
        <v>2763164</v>
      </c>
      <c r="D61" s="2" t="s">
        <v>291</v>
      </c>
      <c r="E61" s="2" t="s">
        <v>292</v>
      </c>
      <c r="F61" s="2" t="s">
        <v>293</v>
      </c>
      <c r="G61" s="2" t="s">
        <v>150</v>
      </c>
      <c r="H61" s="2" t="s">
        <v>54</v>
      </c>
      <c r="I61" s="2" t="s">
        <v>44</v>
      </c>
      <c r="J61" s="2" t="s">
        <v>106</v>
      </c>
      <c r="K61" s="2" t="s">
        <v>38</v>
      </c>
      <c r="L61" s="2" t="s">
        <v>38</v>
      </c>
      <c r="M61" s="2" t="s">
        <v>38</v>
      </c>
      <c r="N61" s="2" t="s">
        <v>38</v>
      </c>
      <c r="O61" s="2" t="s">
        <v>38</v>
      </c>
      <c r="P61" s="2" t="s">
        <v>38</v>
      </c>
      <c r="Q61" s="2" t="s">
        <v>38</v>
      </c>
      <c r="R61" s="2" t="s">
        <v>38</v>
      </c>
      <c r="S61" s="2" t="s">
        <v>38</v>
      </c>
      <c r="T61" s="2" t="s">
        <v>38</v>
      </c>
      <c r="U61" s="2" t="s">
        <v>38</v>
      </c>
      <c r="V61" s="2" t="s">
        <v>38</v>
      </c>
      <c r="W61" s="2" t="s">
        <v>38</v>
      </c>
      <c r="X61" s="2" t="s">
        <v>38</v>
      </c>
      <c r="Y61" s="2" t="s">
        <v>38</v>
      </c>
      <c r="Z61" s="2" t="s">
        <v>38</v>
      </c>
      <c r="AA61" s="2" t="s">
        <v>38</v>
      </c>
      <c r="AB61" s="2" t="s">
        <v>38</v>
      </c>
      <c r="AC61" s="2" t="s">
        <v>38</v>
      </c>
      <c r="AD61" s="2" t="s">
        <v>38</v>
      </c>
      <c r="AE61" s="2" t="s">
        <v>38</v>
      </c>
    </row>
    <row r="62" spans="1:31" ht="409.5">
      <c r="A62" s="2">
        <v>2763128</v>
      </c>
      <c r="B62" s="2">
        <f>HYPERLINK("https://platform.v2.vetology.net/cases/2763128/screening-report/18?type=pdf&amp;v=v6&amp;scorecard=1&amp;secret_key=BX%25IJ%24%2F65ieZ%29f6", 2763128)</f>
        <v>2763128</v>
      </c>
      <c r="C62" s="2">
        <f>HYPERLINK("https://platform.v2.vetology.net/report/v/final/"&amp;2763128, 2763128)</f>
        <v>2763128</v>
      </c>
      <c r="D62" s="2" t="s">
        <v>294</v>
      </c>
      <c r="E62" s="2" t="s">
        <v>295</v>
      </c>
      <c r="F62" s="2" t="s">
        <v>296</v>
      </c>
      <c r="G62" s="2" t="s">
        <v>135</v>
      </c>
      <c r="H62" s="2" t="s">
        <v>71</v>
      </c>
      <c r="I62" s="2" t="s">
        <v>44</v>
      </c>
      <c r="J62" s="2" t="s">
        <v>106</v>
      </c>
      <c r="K62" s="2" t="s">
        <v>38</v>
      </c>
      <c r="L62" s="2" t="s">
        <v>38</v>
      </c>
      <c r="M62" s="2" t="s">
        <v>38</v>
      </c>
      <c r="N62" s="2" t="s">
        <v>38</v>
      </c>
      <c r="O62" s="2" t="s">
        <v>38</v>
      </c>
      <c r="P62" s="2" t="s">
        <v>38</v>
      </c>
      <c r="Q62" s="2" t="s">
        <v>38</v>
      </c>
      <c r="R62" s="2" t="s">
        <v>38</v>
      </c>
      <c r="S62" s="2" t="s">
        <v>38</v>
      </c>
      <c r="T62" s="2" t="s">
        <v>39</v>
      </c>
      <c r="U62" s="2" t="s">
        <v>38</v>
      </c>
      <c r="V62" s="2" t="s">
        <v>38</v>
      </c>
      <c r="W62" s="2" t="s">
        <v>38</v>
      </c>
      <c r="X62" s="2" t="s">
        <v>39</v>
      </c>
      <c r="Y62" s="2" t="s">
        <v>38</v>
      </c>
      <c r="Z62" s="2" t="s">
        <v>38</v>
      </c>
      <c r="AA62" s="2" t="s">
        <v>38</v>
      </c>
      <c r="AB62" s="2" t="s">
        <v>38</v>
      </c>
      <c r="AC62" s="2" t="s">
        <v>38</v>
      </c>
      <c r="AD62" s="2" t="s">
        <v>38</v>
      </c>
      <c r="AE62" s="2" t="s">
        <v>38</v>
      </c>
    </row>
    <row r="63" spans="1:31" ht="409.5">
      <c r="A63" s="2">
        <v>2763013</v>
      </c>
      <c r="B63" s="2">
        <f>HYPERLINK("https://platform.v2.vetology.net/cases/2763013/screening-report/18?type=pdf&amp;v=v6&amp;scorecard=1&amp;secret_key=BX%25IJ%24%2F65ieZ%29f6", 2763013)</f>
        <v>2763013</v>
      </c>
      <c r="C63" s="2">
        <f>HYPERLINK("https://platform.v2.vetology.net/report/v/final/"&amp;2763013, 2763013)</f>
        <v>2763013</v>
      </c>
      <c r="D63" s="2" t="s">
        <v>297</v>
      </c>
      <c r="E63" s="2" t="s">
        <v>298</v>
      </c>
      <c r="F63" s="2" t="s">
        <v>299</v>
      </c>
      <c r="G63" s="2" t="s">
        <v>135</v>
      </c>
      <c r="H63" s="2" t="s">
        <v>183</v>
      </c>
      <c r="I63" s="2" t="s">
        <v>184</v>
      </c>
      <c r="J63" s="2" t="s">
        <v>185</v>
      </c>
      <c r="K63" s="2" t="s">
        <v>38</v>
      </c>
      <c r="L63" s="2" t="s">
        <v>38</v>
      </c>
      <c r="M63" s="2" t="s">
        <v>38</v>
      </c>
      <c r="N63" s="2" t="s">
        <v>38</v>
      </c>
      <c r="O63" s="2" t="s">
        <v>38</v>
      </c>
      <c r="P63" s="2" t="s">
        <v>38</v>
      </c>
      <c r="Q63" s="2" t="s">
        <v>38</v>
      </c>
      <c r="R63" s="2" t="s">
        <v>38</v>
      </c>
      <c r="S63" s="2" t="s">
        <v>38</v>
      </c>
      <c r="T63" s="2" t="s">
        <v>39</v>
      </c>
      <c r="U63" s="2" t="s">
        <v>38</v>
      </c>
      <c r="V63" s="2" t="s">
        <v>38</v>
      </c>
      <c r="W63" s="2" t="s">
        <v>38</v>
      </c>
      <c r="X63" s="2" t="s">
        <v>39</v>
      </c>
      <c r="Y63" s="2" t="s">
        <v>38</v>
      </c>
      <c r="Z63" s="2" t="s">
        <v>38</v>
      </c>
      <c r="AA63" s="2" t="s">
        <v>38</v>
      </c>
      <c r="AB63" s="2" t="s">
        <v>39</v>
      </c>
      <c r="AC63" s="2" t="s">
        <v>38</v>
      </c>
      <c r="AD63" s="2" t="s">
        <v>38</v>
      </c>
      <c r="AE63" s="2" t="s">
        <v>38</v>
      </c>
    </row>
    <row r="64" spans="1:31" ht="409.5">
      <c r="A64" s="2">
        <v>2762964</v>
      </c>
      <c r="B64" s="2">
        <f>HYPERLINK("https://platform.v2.vetology.net/cases/2762964/screening-report/18?type=pdf&amp;v=v6&amp;scorecard=1&amp;secret_key=BX%25IJ%24%2F65ieZ%29f6", 2762964)</f>
        <v>2762964</v>
      </c>
      <c r="C64" s="2">
        <f>HYPERLINK("https://platform.v2.vetology.net/report/v/final/"&amp;2762964, 2762964)</f>
        <v>2762964</v>
      </c>
      <c r="D64" s="2" t="s">
        <v>300</v>
      </c>
      <c r="E64" s="2" t="s">
        <v>301</v>
      </c>
      <c r="F64" s="2" t="s">
        <v>302</v>
      </c>
      <c r="G64" s="2" t="s">
        <v>34</v>
      </c>
      <c r="H64" s="2" t="s">
        <v>129</v>
      </c>
      <c r="I64" s="2" t="s">
        <v>44</v>
      </c>
      <c r="J64" s="2" t="s">
        <v>106</v>
      </c>
      <c r="K64" s="2" t="s">
        <v>38</v>
      </c>
      <c r="L64" s="2" t="s">
        <v>39</v>
      </c>
      <c r="M64" s="2" t="s">
        <v>38</v>
      </c>
      <c r="N64" s="2" t="s">
        <v>38</v>
      </c>
      <c r="O64" s="2" t="s">
        <v>38</v>
      </c>
      <c r="P64" s="2" t="s">
        <v>38</v>
      </c>
      <c r="Q64" s="2" t="s">
        <v>38</v>
      </c>
      <c r="R64" s="2" t="s">
        <v>38</v>
      </c>
      <c r="S64" s="2" t="s">
        <v>38</v>
      </c>
      <c r="T64" s="2" t="s">
        <v>39</v>
      </c>
      <c r="U64" s="2" t="s">
        <v>38</v>
      </c>
      <c r="V64" s="2" t="s">
        <v>39</v>
      </c>
      <c r="W64" s="2" t="s">
        <v>38</v>
      </c>
      <c r="X64" s="2" t="s">
        <v>39</v>
      </c>
      <c r="Y64" s="2" t="s">
        <v>38</v>
      </c>
      <c r="Z64" s="2" t="s">
        <v>38</v>
      </c>
      <c r="AA64" s="2" t="s">
        <v>38</v>
      </c>
      <c r="AB64" s="2" t="s">
        <v>38</v>
      </c>
      <c r="AC64" s="2" t="s">
        <v>38</v>
      </c>
      <c r="AD64" s="2" t="s">
        <v>38</v>
      </c>
      <c r="AE64" s="2" t="s">
        <v>38</v>
      </c>
    </row>
    <row r="65" spans="1:31" ht="409.5">
      <c r="A65" s="2">
        <v>2762930</v>
      </c>
      <c r="B65" s="2">
        <f>HYPERLINK("https://platform.v2.vetology.net/cases/2762930/screening-report/18?type=pdf&amp;v=v6&amp;scorecard=1&amp;secret_key=BX%25IJ%24%2F65ieZ%29f6", 2762930)</f>
        <v>2762930</v>
      </c>
      <c r="C65" s="2">
        <f>HYPERLINK("https://platform.v2.vetology.net/report/v/final/"&amp;2762930, 2762930)</f>
        <v>2762930</v>
      </c>
      <c r="D65" s="2" t="s">
        <v>303</v>
      </c>
      <c r="E65" s="2" t="s">
        <v>304</v>
      </c>
      <c r="F65" s="2"/>
      <c r="G65" s="2" t="s">
        <v>150</v>
      </c>
      <c r="H65" s="2" t="s">
        <v>305</v>
      </c>
      <c r="I65" s="2" t="s">
        <v>306</v>
      </c>
      <c r="J65" s="2" t="s">
        <v>307</v>
      </c>
      <c r="K65" s="2" t="s">
        <v>38</v>
      </c>
      <c r="L65" s="2" t="s">
        <v>39</v>
      </c>
      <c r="M65" s="2" t="s">
        <v>39</v>
      </c>
      <c r="N65" s="2" t="s">
        <v>39</v>
      </c>
      <c r="O65" s="2" t="s">
        <v>39</v>
      </c>
      <c r="P65" s="2" t="s">
        <v>39</v>
      </c>
      <c r="Q65" s="2" t="s">
        <v>38</v>
      </c>
      <c r="R65" s="2" t="s">
        <v>38</v>
      </c>
      <c r="S65" s="2" t="s">
        <v>38</v>
      </c>
      <c r="T65" s="2" t="s">
        <v>39</v>
      </c>
      <c r="U65" s="2" t="s">
        <v>39</v>
      </c>
      <c r="V65" s="2" t="s">
        <v>38</v>
      </c>
      <c r="W65" s="2" t="s">
        <v>38</v>
      </c>
      <c r="X65" s="2" t="s">
        <v>39</v>
      </c>
      <c r="Y65" s="2" t="s">
        <v>38</v>
      </c>
      <c r="Z65" s="2" t="s">
        <v>39</v>
      </c>
      <c r="AA65" s="2" t="s">
        <v>38</v>
      </c>
      <c r="AB65" s="2" t="s">
        <v>39</v>
      </c>
      <c r="AC65" s="2" t="s">
        <v>39</v>
      </c>
      <c r="AD65" s="2" t="s">
        <v>38</v>
      </c>
      <c r="AE65" s="2" t="s">
        <v>39</v>
      </c>
    </row>
    <row r="66" spans="1:31" ht="409.5">
      <c r="A66" s="2">
        <v>2762763</v>
      </c>
      <c r="B66" s="2">
        <f>HYPERLINK("https://platform.v2.vetology.net/cases/2762763/screening-report/18?type=pdf&amp;v=v6&amp;scorecard=1&amp;secret_key=BX%25IJ%24%2F65ieZ%29f6", 2762763)</f>
        <v>2762763</v>
      </c>
      <c r="C66" s="2">
        <f>HYPERLINK("https://platform.v2.vetology.net/report/v/final/"&amp;2762763, 2762763)</f>
        <v>2762763</v>
      </c>
      <c r="D66" s="2" t="s">
        <v>308</v>
      </c>
      <c r="E66" s="2" t="s">
        <v>309</v>
      </c>
      <c r="F66" s="2" t="s">
        <v>310</v>
      </c>
      <c r="G66" s="2" t="s">
        <v>150</v>
      </c>
      <c r="H66" s="2" t="s">
        <v>311</v>
      </c>
      <c r="I66" s="2" t="s">
        <v>312</v>
      </c>
      <c r="J66" s="2" t="s">
        <v>313</v>
      </c>
      <c r="K66" s="2" t="s">
        <v>39</v>
      </c>
      <c r="L66" s="2" t="s">
        <v>39</v>
      </c>
      <c r="M66" s="2" t="s">
        <v>39</v>
      </c>
      <c r="N66" s="2" t="s">
        <v>39</v>
      </c>
      <c r="O66" s="2" t="s">
        <v>39</v>
      </c>
      <c r="P66" s="2" t="s">
        <v>39</v>
      </c>
      <c r="Q66" s="2" t="s">
        <v>38</v>
      </c>
      <c r="R66" s="2" t="s">
        <v>38</v>
      </c>
      <c r="S66" s="2" t="s">
        <v>39</v>
      </c>
      <c r="T66" s="2" t="s">
        <v>39</v>
      </c>
      <c r="U66" s="2" t="s">
        <v>38</v>
      </c>
      <c r="V66" s="2" t="s">
        <v>39</v>
      </c>
      <c r="W66" s="2" t="s">
        <v>39</v>
      </c>
      <c r="X66" s="2" t="s">
        <v>39</v>
      </c>
      <c r="Y66" s="2" t="s">
        <v>38</v>
      </c>
      <c r="Z66" s="2" t="s">
        <v>39</v>
      </c>
      <c r="AA66" s="2" t="s">
        <v>39</v>
      </c>
      <c r="AB66" s="2" t="s">
        <v>39</v>
      </c>
      <c r="AC66" s="2" t="s">
        <v>39</v>
      </c>
      <c r="AD66" s="2" t="s">
        <v>38</v>
      </c>
      <c r="AE66" s="2" t="s">
        <v>38</v>
      </c>
    </row>
    <row r="67" spans="1:31" ht="409.5">
      <c r="A67" s="2">
        <v>2762603</v>
      </c>
      <c r="B67" s="2">
        <f>HYPERLINK("https://platform.v2.vetology.net/cases/2762603/screening-report/18?type=pdf&amp;v=v6&amp;scorecard=1&amp;secret_key=BX%25IJ%24%2F65ieZ%29f6", 2762603)</f>
        <v>2762603</v>
      </c>
      <c r="C67" s="2">
        <f>HYPERLINK("https://platform.v2.vetology.net/report/v/final/"&amp;2762603, 2762603)</f>
        <v>2762603</v>
      </c>
      <c r="D67" s="2" t="s">
        <v>314</v>
      </c>
      <c r="E67" s="2" t="s">
        <v>315</v>
      </c>
      <c r="F67" s="2" t="s">
        <v>316</v>
      </c>
      <c r="G67" s="2" t="s">
        <v>34</v>
      </c>
      <c r="H67" s="2" t="s">
        <v>71</v>
      </c>
      <c r="I67" s="2" t="s">
        <v>44</v>
      </c>
      <c r="J67" s="2"/>
      <c r="K67" s="2" t="s">
        <v>38</v>
      </c>
      <c r="L67" s="2" t="s">
        <v>38</v>
      </c>
      <c r="M67" s="2" t="s">
        <v>38</v>
      </c>
      <c r="N67" s="2" t="s">
        <v>38</v>
      </c>
      <c r="O67" s="2" t="s">
        <v>38</v>
      </c>
      <c r="P67" s="2" t="s">
        <v>38</v>
      </c>
      <c r="Q67" s="2" t="s">
        <v>38</v>
      </c>
      <c r="R67" s="2" t="s">
        <v>38</v>
      </c>
      <c r="S67" s="2" t="s">
        <v>38</v>
      </c>
      <c r="T67" s="2" t="s">
        <v>38</v>
      </c>
      <c r="U67" s="2" t="s">
        <v>38</v>
      </c>
      <c r="V67" s="2" t="s">
        <v>38</v>
      </c>
      <c r="W67" s="2" t="s">
        <v>38</v>
      </c>
      <c r="X67" s="2" t="s">
        <v>38</v>
      </c>
      <c r="Y67" s="2" t="s">
        <v>38</v>
      </c>
      <c r="Z67" s="2" t="s">
        <v>38</v>
      </c>
      <c r="AA67" s="2" t="s">
        <v>38</v>
      </c>
      <c r="AB67" s="2" t="s">
        <v>38</v>
      </c>
      <c r="AC67" s="2" t="s">
        <v>38</v>
      </c>
      <c r="AD67" s="2" t="s">
        <v>38</v>
      </c>
      <c r="AE67" s="2" t="s">
        <v>38</v>
      </c>
    </row>
    <row r="68" spans="1:31" ht="409.5">
      <c r="A68" s="2">
        <v>2762601</v>
      </c>
      <c r="B68" s="2">
        <f>HYPERLINK("https://platform.v2.vetology.net/cases/2762601/screening-report/18?type=pdf&amp;v=v6&amp;scorecard=1&amp;secret_key=BX%25IJ%24%2F65ieZ%29f6", 2762601)</f>
        <v>2762601</v>
      </c>
      <c r="C68" s="2">
        <f>HYPERLINK("https://platform.v2.vetology.net/report/v/final/"&amp;2762601, 2762601)</f>
        <v>2762601</v>
      </c>
      <c r="D68" s="2" t="s">
        <v>317</v>
      </c>
      <c r="E68" s="2" t="s">
        <v>318</v>
      </c>
      <c r="F68" s="2" t="s">
        <v>319</v>
      </c>
      <c r="G68" s="2" t="s">
        <v>93</v>
      </c>
      <c r="H68" s="2" t="s">
        <v>320</v>
      </c>
      <c r="I68" s="2" t="s">
        <v>321</v>
      </c>
      <c r="J68" s="2" t="s">
        <v>66</v>
      </c>
      <c r="K68" s="2" t="s">
        <v>38</v>
      </c>
      <c r="L68" s="2" t="s">
        <v>39</v>
      </c>
      <c r="M68" s="2" t="s">
        <v>39</v>
      </c>
      <c r="N68" s="2" t="s">
        <v>39</v>
      </c>
      <c r="O68" s="2" t="s">
        <v>39</v>
      </c>
      <c r="P68" s="2" t="s">
        <v>39</v>
      </c>
      <c r="Q68" s="2" t="s">
        <v>38</v>
      </c>
      <c r="R68" s="2" t="s">
        <v>38</v>
      </c>
      <c r="S68" s="2" t="s">
        <v>39</v>
      </c>
      <c r="T68" s="2" t="s">
        <v>39</v>
      </c>
      <c r="U68" s="2" t="s">
        <v>39</v>
      </c>
      <c r="V68" s="2" t="s">
        <v>39</v>
      </c>
      <c r="W68" s="2" t="s">
        <v>38</v>
      </c>
      <c r="X68" s="2" t="s">
        <v>39</v>
      </c>
      <c r="Y68" s="2" t="s">
        <v>38</v>
      </c>
      <c r="Z68" s="2" t="s">
        <v>39</v>
      </c>
      <c r="AA68" s="2" t="s">
        <v>38</v>
      </c>
      <c r="AB68" s="2" t="s">
        <v>39</v>
      </c>
      <c r="AC68" s="2" t="s">
        <v>39</v>
      </c>
      <c r="AD68" s="2" t="s">
        <v>38</v>
      </c>
      <c r="AE68" s="2" t="s">
        <v>39</v>
      </c>
    </row>
    <row r="69" spans="1:31" ht="409.5">
      <c r="A69" s="2">
        <v>2762586</v>
      </c>
      <c r="B69" s="2">
        <f>HYPERLINK("https://platform.v2.vetology.net/cases/2762586/screening-report/18?type=pdf&amp;v=v6&amp;scorecard=1&amp;secret_key=BX%25IJ%24%2F65ieZ%29f6", 2762586)</f>
        <v>2762586</v>
      </c>
      <c r="C69" s="2">
        <f>HYPERLINK("https://platform.v2.vetology.net/report/v/final/"&amp;2762586, 2762586)</f>
        <v>2762586</v>
      </c>
      <c r="D69" s="2" t="s">
        <v>322</v>
      </c>
      <c r="E69" s="2" t="s">
        <v>323</v>
      </c>
      <c r="F69" s="2" t="s">
        <v>324</v>
      </c>
      <c r="G69" s="2" t="s">
        <v>212</v>
      </c>
      <c r="H69" s="2" t="s">
        <v>54</v>
      </c>
      <c r="I69" s="2" t="s">
        <v>44</v>
      </c>
      <c r="J69" s="2"/>
      <c r="K69" s="2" t="s">
        <v>38</v>
      </c>
      <c r="L69" s="2" t="s">
        <v>39</v>
      </c>
      <c r="M69" s="2" t="s">
        <v>38</v>
      </c>
      <c r="N69" s="2" t="s">
        <v>38</v>
      </c>
      <c r="O69" s="2" t="s">
        <v>38</v>
      </c>
      <c r="P69" s="2" t="s">
        <v>38</v>
      </c>
      <c r="Q69" s="2" t="s">
        <v>38</v>
      </c>
      <c r="R69" s="2" t="s">
        <v>38</v>
      </c>
      <c r="S69" s="2" t="s">
        <v>38</v>
      </c>
      <c r="T69" s="2" t="s">
        <v>39</v>
      </c>
      <c r="U69" s="2" t="s">
        <v>38</v>
      </c>
      <c r="V69" s="2" t="s">
        <v>39</v>
      </c>
      <c r="W69" s="2" t="s">
        <v>38</v>
      </c>
      <c r="X69" s="2" t="s">
        <v>39</v>
      </c>
      <c r="Y69" s="2" t="s">
        <v>38</v>
      </c>
      <c r="Z69" s="2" t="s">
        <v>38</v>
      </c>
      <c r="AA69" s="2" t="s">
        <v>38</v>
      </c>
      <c r="AB69" s="2" t="s">
        <v>38</v>
      </c>
      <c r="AC69" s="2" t="s">
        <v>38</v>
      </c>
      <c r="AD69" s="2" t="s">
        <v>38</v>
      </c>
      <c r="AE69" s="2" t="s">
        <v>38</v>
      </c>
    </row>
    <row r="70" spans="1:31" ht="409.5">
      <c r="A70" s="2">
        <v>2762446</v>
      </c>
      <c r="B70" s="2">
        <f>HYPERLINK("https://platform.v2.vetology.net/cases/2762446/screening-report/18?type=pdf&amp;v=v6&amp;scorecard=1&amp;secret_key=BX%25IJ%24%2F65ieZ%29f6", 2762446)</f>
        <v>2762446</v>
      </c>
      <c r="C70" s="2">
        <f>HYPERLINK("https://platform.v2.vetology.net/report/v/final/"&amp;2762446, 2762446)</f>
        <v>2762446</v>
      </c>
      <c r="D70" s="2" t="s">
        <v>325</v>
      </c>
      <c r="E70" s="2" t="s">
        <v>326</v>
      </c>
      <c r="F70" s="2" t="s">
        <v>327</v>
      </c>
      <c r="G70" s="2" t="s">
        <v>58</v>
      </c>
      <c r="H70" s="2" t="s">
        <v>328</v>
      </c>
      <c r="I70" s="2" t="s">
        <v>227</v>
      </c>
      <c r="J70" s="2" t="s">
        <v>228</v>
      </c>
      <c r="K70" s="2" t="s">
        <v>38</v>
      </c>
      <c r="L70" s="2" t="s">
        <v>39</v>
      </c>
      <c r="M70" s="2" t="s">
        <v>39</v>
      </c>
      <c r="N70" s="2" t="s">
        <v>38</v>
      </c>
      <c r="O70" s="2" t="s">
        <v>38</v>
      </c>
      <c r="P70" s="2" t="s">
        <v>38</v>
      </c>
      <c r="Q70" s="2" t="s">
        <v>38</v>
      </c>
      <c r="R70" s="2" t="s">
        <v>38</v>
      </c>
      <c r="S70" s="2" t="s">
        <v>38</v>
      </c>
      <c r="T70" s="2" t="s">
        <v>38</v>
      </c>
      <c r="U70" s="2" t="s">
        <v>38</v>
      </c>
      <c r="V70" s="2" t="s">
        <v>38</v>
      </c>
      <c r="W70" s="2" t="s">
        <v>38</v>
      </c>
      <c r="X70" s="2" t="s">
        <v>39</v>
      </c>
      <c r="Y70" s="2" t="s">
        <v>38</v>
      </c>
      <c r="Z70" s="2" t="s">
        <v>38</v>
      </c>
      <c r="AA70" s="2" t="s">
        <v>38</v>
      </c>
      <c r="AB70" s="2" t="s">
        <v>38</v>
      </c>
      <c r="AC70" s="2" t="s">
        <v>38</v>
      </c>
      <c r="AD70" s="2" t="s">
        <v>38</v>
      </c>
      <c r="AE70" s="2" t="s">
        <v>38</v>
      </c>
    </row>
    <row r="71" spans="1:31" ht="409.5">
      <c r="A71" s="2">
        <v>2762382</v>
      </c>
      <c r="B71" s="2">
        <f>HYPERLINK("https://platform.v2.vetology.net/cases/2762382/screening-report/18?type=pdf&amp;v=v6&amp;scorecard=1&amp;secret_key=BX%25IJ%24%2F65ieZ%29f6", 2762382)</f>
        <v>2762382</v>
      </c>
      <c r="C71" s="2">
        <f>HYPERLINK("https://platform.v2.vetology.net/report/v/final/"&amp;2762382, 2762382)</f>
        <v>2762382</v>
      </c>
      <c r="D71" s="2" t="s">
        <v>329</v>
      </c>
      <c r="E71" s="2" t="s">
        <v>330</v>
      </c>
      <c r="F71" s="2" t="s">
        <v>331</v>
      </c>
      <c r="G71" s="2" t="s">
        <v>34</v>
      </c>
      <c r="H71" s="2" t="s">
        <v>144</v>
      </c>
      <c r="I71" s="2" t="s">
        <v>145</v>
      </c>
      <c r="J71" s="2" t="s">
        <v>146</v>
      </c>
      <c r="K71" s="2" t="s">
        <v>38</v>
      </c>
      <c r="L71" s="2" t="s">
        <v>38</v>
      </c>
      <c r="M71" s="2" t="s">
        <v>39</v>
      </c>
      <c r="N71" s="2" t="s">
        <v>38</v>
      </c>
      <c r="O71" s="2" t="s">
        <v>38</v>
      </c>
      <c r="P71" s="2" t="s">
        <v>38</v>
      </c>
      <c r="Q71" s="2" t="s">
        <v>38</v>
      </c>
      <c r="R71" s="2" t="s">
        <v>38</v>
      </c>
      <c r="S71" s="2" t="s">
        <v>38</v>
      </c>
      <c r="T71" s="2" t="s">
        <v>39</v>
      </c>
      <c r="U71" s="2" t="s">
        <v>38</v>
      </c>
      <c r="V71" s="2" t="s">
        <v>39</v>
      </c>
      <c r="W71" s="2" t="s">
        <v>38</v>
      </c>
      <c r="X71" s="2" t="s">
        <v>39</v>
      </c>
      <c r="Y71" s="2" t="s">
        <v>38</v>
      </c>
      <c r="Z71" s="2" t="s">
        <v>38</v>
      </c>
      <c r="AA71" s="2" t="s">
        <v>38</v>
      </c>
      <c r="AB71" s="2" t="s">
        <v>39</v>
      </c>
      <c r="AC71" s="2" t="s">
        <v>38</v>
      </c>
      <c r="AD71" s="2" t="s">
        <v>38</v>
      </c>
      <c r="AE71" s="2" t="s">
        <v>38</v>
      </c>
    </row>
    <row r="72" spans="1:31" ht="409.5">
      <c r="A72" s="2">
        <v>2762101</v>
      </c>
      <c r="B72" s="2">
        <f>HYPERLINK("https://platform.v2.vetology.net/cases/2762101/screening-report/18?type=pdf&amp;v=v6&amp;scorecard=1&amp;secret_key=BX%25IJ%24%2F65ieZ%29f6", 2762101)</f>
        <v>2762101</v>
      </c>
      <c r="C72" s="2">
        <f>HYPERLINK("https://platform.v2.vetology.net/report/v/final/"&amp;2762101, 2762101)</f>
        <v>2762101</v>
      </c>
      <c r="D72" s="2" t="s">
        <v>332</v>
      </c>
      <c r="E72" s="2" t="s">
        <v>333</v>
      </c>
      <c r="F72" s="2" t="s">
        <v>81</v>
      </c>
      <c r="G72" s="2" t="s">
        <v>82</v>
      </c>
      <c r="H72" s="2" t="s">
        <v>129</v>
      </c>
      <c r="I72" s="2" t="s">
        <v>44</v>
      </c>
      <c r="J72" s="2"/>
      <c r="K72" s="2" t="s">
        <v>38</v>
      </c>
      <c r="L72" s="2" t="s">
        <v>39</v>
      </c>
      <c r="M72" s="2" t="s">
        <v>38</v>
      </c>
      <c r="N72" s="2" t="s">
        <v>38</v>
      </c>
      <c r="O72" s="2" t="s">
        <v>38</v>
      </c>
      <c r="P72" s="2" t="s">
        <v>38</v>
      </c>
      <c r="Q72" s="2" t="s">
        <v>38</v>
      </c>
      <c r="R72" s="2" t="s">
        <v>38</v>
      </c>
      <c r="S72" s="2" t="s">
        <v>39</v>
      </c>
      <c r="T72" s="2" t="s">
        <v>39</v>
      </c>
      <c r="U72" s="2" t="s">
        <v>39</v>
      </c>
      <c r="V72" s="2" t="s">
        <v>39</v>
      </c>
      <c r="W72" s="2" t="s">
        <v>38</v>
      </c>
      <c r="X72" s="2" t="s">
        <v>39</v>
      </c>
      <c r="Y72" s="2" t="s">
        <v>38</v>
      </c>
      <c r="Z72" s="2" t="s">
        <v>39</v>
      </c>
      <c r="AA72" s="2" t="s">
        <v>38</v>
      </c>
      <c r="AB72" s="2" t="s">
        <v>39</v>
      </c>
      <c r="AC72" s="2" t="s">
        <v>38</v>
      </c>
      <c r="AD72" s="2" t="s">
        <v>38</v>
      </c>
      <c r="AE72" s="2" t="s">
        <v>38</v>
      </c>
    </row>
    <row r="73" spans="1:31" ht="409.5">
      <c r="A73" s="2">
        <v>2762064</v>
      </c>
      <c r="B73" s="2">
        <f>HYPERLINK("https://platform.v2.vetology.net/cases/2762064/screening-report/18?type=pdf&amp;v=v6&amp;scorecard=1&amp;secret_key=BX%25IJ%24%2F65ieZ%29f6", 2762064)</f>
        <v>2762064</v>
      </c>
      <c r="C73" s="2">
        <f>HYPERLINK("https://platform.v2.vetology.net/report/v/final/"&amp;2762064, 2762064)</f>
        <v>2762064</v>
      </c>
      <c r="D73" s="2" t="s">
        <v>334</v>
      </c>
      <c r="E73" s="2" t="s">
        <v>335</v>
      </c>
      <c r="F73" s="2" t="s">
        <v>81</v>
      </c>
      <c r="G73" s="2" t="s">
        <v>82</v>
      </c>
      <c r="H73" s="2" t="s">
        <v>177</v>
      </c>
      <c r="I73" s="2" t="s">
        <v>124</v>
      </c>
      <c r="J73" s="2" t="s">
        <v>125</v>
      </c>
      <c r="K73" s="2" t="s">
        <v>38</v>
      </c>
      <c r="L73" s="2" t="s">
        <v>38</v>
      </c>
      <c r="M73" s="2" t="s">
        <v>39</v>
      </c>
      <c r="N73" s="2" t="s">
        <v>38</v>
      </c>
      <c r="O73" s="2" t="s">
        <v>38</v>
      </c>
      <c r="P73" s="2" t="s">
        <v>38</v>
      </c>
      <c r="Q73" s="2" t="s">
        <v>38</v>
      </c>
      <c r="R73" s="2" t="s">
        <v>38</v>
      </c>
      <c r="S73" s="2" t="s">
        <v>38</v>
      </c>
      <c r="T73" s="2" t="s">
        <v>38</v>
      </c>
      <c r="U73" s="2" t="s">
        <v>38</v>
      </c>
      <c r="V73" s="2" t="s">
        <v>38</v>
      </c>
      <c r="W73" s="2" t="s">
        <v>38</v>
      </c>
      <c r="X73" s="2" t="s">
        <v>38</v>
      </c>
      <c r="Y73" s="2" t="s">
        <v>38</v>
      </c>
      <c r="Z73" s="2" t="s">
        <v>38</v>
      </c>
      <c r="AA73" s="2" t="s">
        <v>38</v>
      </c>
      <c r="AB73" s="2" t="s">
        <v>39</v>
      </c>
      <c r="AC73" s="2" t="s">
        <v>38</v>
      </c>
      <c r="AD73" s="2" t="s">
        <v>38</v>
      </c>
      <c r="AE73" s="2" t="s">
        <v>38</v>
      </c>
    </row>
    <row r="74" spans="1:31" ht="409.5">
      <c r="A74" s="2">
        <v>2762035</v>
      </c>
      <c r="B74" s="2">
        <f>HYPERLINK("https://platform.v2.vetology.net/cases/2762035/screening-report/18?type=pdf&amp;v=v6&amp;scorecard=1&amp;secret_key=BX%25IJ%24%2F65ieZ%29f6", 2762035)</f>
        <v>2762035</v>
      </c>
      <c r="C74" s="2">
        <f>HYPERLINK("https://platform.v2.vetology.net/report/v/final/"&amp;2762035, 2762035)</f>
        <v>2762035</v>
      </c>
      <c r="D74" s="2" t="s">
        <v>336</v>
      </c>
      <c r="E74" s="2" t="s">
        <v>337</v>
      </c>
      <c r="F74" s="2" t="s">
        <v>338</v>
      </c>
      <c r="G74" s="2" t="s">
        <v>58</v>
      </c>
      <c r="H74" s="2" t="s">
        <v>339</v>
      </c>
      <c r="I74" s="2" t="s">
        <v>124</v>
      </c>
      <c r="J74" s="2" t="s">
        <v>125</v>
      </c>
      <c r="K74" s="2" t="s">
        <v>38</v>
      </c>
      <c r="L74" s="2" t="s">
        <v>38</v>
      </c>
      <c r="M74" s="2" t="s">
        <v>39</v>
      </c>
      <c r="N74" s="2" t="s">
        <v>38</v>
      </c>
      <c r="O74" s="2" t="s">
        <v>38</v>
      </c>
      <c r="P74" s="2" t="s">
        <v>38</v>
      </c>
      <c r="Q74" s="2" t="s">
        <v>38</v>
      </c>
      <c r="R74" s="2" t="s">
        <v>38</v>
      </c>
      <c r="S74" s="2" t="s">
        <v>38</v>
      </c>
      <c r="T74" s="2" t="s">
        <v>38</v>
      </c>
      <c r="U74" s="2" t="s">
        <v>38</v>
      </c>
      <c r="V74" s="2" t="s">
        <v>39</v>
      </c>
      <c r="W74" s="2" t="s">
        <v>38</v>
      </c>
      <c r="X74" s="2" t="s">
        <v>39</v>
      </c>
      <c r="Y74" s="2" t="s">
        <v>38</v>
      </c>
      <c r="Z74" s="2" t="s">
        <v>39</v>
      </c>
      <c r="AA74" s="2" t="s">
        <v>38</v>
      </c>
      <c r="AB74" s="2" t="s">
        <v>39</v>
      </c>
      <c r="AC74" s="2" t="s">
        <v>38</v>
      </c>
      <c r="AD74" s="2" t="s">
        <v>38</v>
      </c>
      <c r="AE74" s="2" t="s">
        <v>38</v>
      </c>
    </row>
    <row r="75" spans="1:31" ht="409.5">
      <c r="A75" s="2">
        <v>2762031</v>
      </c>
      <c r="B75" s="2">
        <f>HYPERLINK("https://platform.v2.vetology.net/cases/2762031/screening-report/18?type=pdf&amp;v=v6&amp;scorecard=1&amp;secret_key=BX%25IJ%24%2F65ieZ%29f6", 2762031)</f>
        <v>2762031</v>
      </c>
      <c r="C75" s="2">
        <f>HYPERLINK("https://platform.v2.vetology.net/report/v/final/"&amp;2762031, 2762031)</f>
        <v>2762031</v>
      </c>
      <c r="D75" s="2" t="s">
        <v>340</v>
      </c>
      <c r="E75" s="2" t="s">
        <v>341</v>
      </c>
      <c r="F75" s="2" t="s">
        <v>81</v>
      </c>
      <c r="G75" s="2" t="s">
        <v>82</v>
      </c>
      <c r="H75" s="2" t="s">
        <v>54</v>
      </c>
      <c r="I75" s="2" t="s">
        <v>44</v>
      </c>
      <c r="J75" s="2"/>
      <c r="K75" s="2" t="s">
        <v>38</v>
      </c>
      <c r="L75" s="2" t="s">
        <v>39</v>
      </c>
      <c r="M75" s="2" t="s">
        <v>38</v>
      </c>
      <c r="N75" s="2" t="s">
        <v>38</v>
      </c>
      <c r="O75" s="2" t="s">
        <v>38</v>
      </c>
      <c r="P75" s="2" t="s">
        <v>38</v>
      </c>
      <c r="Q75" s="2" t="s">
        <v>38</v>
      </c>
      <c r="R75" s="2" t="s">
        <v>38</v>
      </c>
      <c r="S75" s="2" t="s">
        <v>38</v>
      </c>
      <c r="T75" s="2" t="s">
        <v>39</v>
      </c>
      <c r="U75" s="2" t="s">
        <v>38</v>
      </c>
      <c r="V75" s="2" t="s">
        <v>38</v>
      </c>
      <c r="W75" s="2" t="s">
        <v>38</v>
      </c>
      <c r="X75" s="2" t="s">
        <v>39</v>
      </c>
      <c r="Y75" s="2" t="s">
        <v>38</v>
      </c>
      <c r="Z75" s="2" t="s">
        <v>38</v>
      </c>
      <c r="AA75" s="2" t="s">
        <v>38</v>
      </c>
      <c r="AB75" s="2" t="s">
        <v>38</v>
      </c>
      <c r="AC75" s="2" t="s">
        <v>38</v>
      </c>
      <c r="AD75" s="2" t="s">
        <v>38</v>
      </c>
      <c r="AE75" s="2" t="s">
        <v>39</v>
      </c>
    </row>
    <row r="76" spans="1:31" ht="409.5">
      <c r="A76" s="2">
        <v>2762027</v>
      </c>
      <c r="B76" s="2">
        <f>HYPERLINK("https://platform.v2.vetology.net/cases/2762027/screening-report/18?type=pdf&amp;v=v6&amp;scorecard=1&amp;secret_key=BX%25IJ%24%2F65ieZ%29f6", 2762027)</f>
        <v>2762027</v>
      </c>
      <c r="C76" s="2">
        <f>HYPERLINK("https://platform.v2.vetology.net/report/v/final/"&amp;2762027, 2762027)</f>
        <v>2762027</v>
      </c>
      <c r="D76" s="2" t="s">
        <v>342</v>
      </c>
      <c r="E76" s="2" t="s">
        <v>343</v>
      </c>
      <c r="F76" s="2" t="s">
        <v>344</v>
      </c>
      <c r="G76" s="2" t="s">
        <v>58</v>
      </c>
      <c r="H76" s="2" t="s">
        <v>345</v>
      </c>
      <c r="I76" s="2" t="s">
        <v>346</v>
      </c>
      <c r="J76" s="2" t="s">
        <v>347</v>
      </c>
      <c r="K76" s="2" t="s">
        <v>38</v>
      </c>
      <c r="L76" s="2" t="s">
        <v>38</v>
      </c>
      <c r="M76" s="2" t="s">
        <v>39</v>
      </c>
      <c r="N76" s="2" t="s">
        <v>39</v>
      </c>
      <c r="O76" s="2" t="s">
        <v>39</v>
      </c>
      <c r="P76" s="2" t="s">
        <v>39</v>
      </c>
      <c r="Q76" s="2" t="s">
        <v>39</v>
      </c>
      <c r="R76" s="2" t="s">
        <v>38</v>
      </c>
      <c r="S76" s="2" t="s">
        <v>39</v>
      </c>
      <c r="T76" s="2" t="s">
        <v>39</v>
      </c>
      <c r="U76" s="2" t="s">
        <v>39</v>
      </c>
      <c r="V76" s="2" t="s">
        <v>38</v>
      </c>
      <c r="W76" s="2" t="s">
        <v>38</v>
      </c>
      <c r="X76" s="2" t="s">
        <v>39</v>
      </c>
      <c r="Y76" s="2" t="s">
        <v>38</v>
      </c>
      <c r="Z76" s="2" t="s">
        <v>39</v>
      </c>
      <c r="AA76" s="2" t="s">
        <v>38</v>
      </c>
      <c r="AB76" s="2" t="s">
        <v>39</v>
      </c>
      <c r="AC76" s="2" t="s">
        <v>39</v>
      </c>
      <c r="AD76" s="2" t="s">
        <v>38</v>
      </c>
      <c r="AE76" s="2" t="s">
        <v>39</v>
      </c>
    </row>
    <row r="77" spans="1:31" ht="409.5">
      <c r="A77" s="2">
        <v>2762026</v>
      </c>
      <c r="B77" s="2">
        <f>HYPERLINK("https://platform.v2.vetology.net/cases/2762026/screening-report/18?type=pdf&amp;v=v6&amp;scorecard=1&amp;secret_key=BX%25IJ%24%2F65ieZ%29f6", 2762026)</f>
        <v>2762026</v>
      </c>
      <c r="C77" s="2">
        <f>HYPERLINK("https://platform.v2.vetology.net/report/v/final/"&amp;2762026, 2762026)</f>
        <v>2762026</v>
      </c>
      <c r="D77" s="2" t="s">
        <v>348</v>
      </c>
      <c r="E77" s="2" t="s">
        <v>349</v>
      </c>
      <c r="F77" s="2" t="s">
        <v>350</v>
      </c>
      <c r="G77" s="2" t="s">
        <v>58</v>
      </c>
      <c r="H77" s="2" t="s">
        <v>54</v>
      </c>
      <c r="I77" s="2" t="s">
        <v>44</v>
      </c>
      <c r="J77" s="2"/>
      <c r="K77" s="2" t="s">
        <v>38</v>
      </c>
      <c r="L77" s="2" t="s">
        <v>39</v>
      </c>
      <c r="M77" s="2" t="s">
        <v>38</v>
      </c>
      <c r="N77" s="2" t="s">
        <v>38</v>
      </c>
      <c r="O77" s="2" t="s">
        <v>38</v>
      </c>
      <c r="P77" s="2" t="s">
        <v>39</v>
      </c>
      <c r="Q77" s="2" t="s">
        <v>38</v>
      </c>
      <c r="R77" s="2" t="s">
        <v>38</v>
      </c>
      <c r="S77" s="2" t="s">
        <v>38</v>
      </c>
      <c r="T77" s="2" t="s">
        <v>38</v>
      </c>
      <c r="U77" s="2" t="s">
        <v>38</v>
      </c>
      <c r="V77" s="2" t="s">
        <v>38</v>
      </c>
      <c r="W77" s="2" t="s">
        <v>38</v>
      </c>
      <c r="X77" s="2" t="s">
        <v>38</v>
      </c>
      <c r="Y77" s="2" t="s">
        <v>38</v>
      </c>
      <c r="Z77" s="2" t="s">
        <v>38</v>
      </c>
      <c r="AA77" s="2" t="s">
        <v>38</v>
      </c>
      <c r="AB77" s="2" t="s">
        <v>39</v>
      </c>
      <c r="AC77" s="2" t="s">
        <v>39</v>
      </c>
      <c r="AD77" s="2" t="s">
        <v>38</v>
      </c>
      <c r="AE77" s="2" t="s">
        <v>38</v>
      </c>
    </row>
    <row r="78" spans="1:31" ht="409.5">
      <c r="A78" s="2">
        <v>2761995</v>
      </c>
      <c r="B78" s="2">
        <f>HYPERLINK("https://platform.v2.vetology.net/cases/2761995/screening-report/18?type=pdf&amp;v=v6&amp;scorecard=1&amp;secret_key=BX%25IJ%24%2F65ieZ%29f6", 2761995)</f>
        <v>2761995</v>
      </c>
      <c r="C78" s="2">
        <f>HYPERLINK("https://platform.v2.vetology.net/report/v/final/"&amp;2761995, 2761995)</f>
        <v>2761995</v>
      </c>
      <c r="D78" s="2" t="s">
        <v>351</v>
      </c>
      <c r="E78" s="2" t="s">
        <v>352</v>
      </c>
      <c r="F78" s="2" t="s">
        <v>353</v>
      </c>
      <c r="G78" s="2" t="s">
        <v>58</v>
      </c>
      <c r="H78" s="2" t="s">
        <v>88</v>
      </c>
      <c r="I78" s="2" t="s">
        <v>89</v>
      </c>
      <c r="J78" s="2" t="s">
        <v>66</v>
      </c>
      <c r="K78" s="2" t="s">
        <v>38</v>
      </c>
      <c r="L78" s="2" t="s">
        <v>38</v>
      </c>
      <c r="M78" s="2" t="s">
        <v>38</v>
      </c>
      <c r="N78" s="2" t="s">
        <v>38</v>
      </c>
      <c r="O78" s="2" t="s">
        <v>38</v>
      </c>
      <c r="P78" s="2" t="s">
        <v>38</v>
      </c>
      <c r="Q78" s="2" t="s">
        <v>38</v>
      </c>
      <c r="R78" s="2" t="s">
        <v>38</v>
      </c>
      <c r="S78" s="2" t="s">
        <v>38</v>
      </c>
      <c r="T78" s="2" t="s">
        <v>39</v>
      </c>
      <c r="U78" s="2" t="s">
        <v>38</v>
      </c>
      <c r="V78" s="2" t="s">
        <v>38</v>
      </c>
      <c r="W78" s="2" t="s">
        <v>38</v>
      </c>
      <c r="X78" s="2" t="s">
        <v>38</v>
      </c>
      <c r="Y78" s="2" t="s">
        <v>38</v>
      </c>
      <c r="Z78" s="2" t="s">
        <v>38</v>
      </c>
      <c r="AA78" s="2" t="s">
        <v>38</v>
      </c>
      <c r="AB78" s="2" t="s">
        <v>39</v>
      </c>
      <c r="AC78" s="2" t="s">
        <v>38</v>
      </c>
      <c r="AD78" s="2" t="s">
        <v>38</v>
      </c>
      <c r="AE78" s="2" t="s">
        <v>38</v>
      </c>
    </row>
    <row r="79" spans="1:31" ht="409.5">
      <c r="A79" s="2">
        <v>2761937</v>
      </c>
      <c r="B79" s="2">
        <f>HYPERLINK("https://platform.v2.vetology.net/cases/2761937/screening-report/18?type=pdf&amp;v=v6&amp;scorecard=1&amp;secret_key=BX%25IJ%24%2F65ieZ%29f6", 2761937)</f>
        <v>2761937</v>
      </c>
      <c r="C79" s="2">
        <f>HYPERLINK("https://platform.v2.vetology.net/report/v/final/"&amp;2761937, 2761937)</f>
        <v>2761937</v>
      </c>
      <c r="D79" s="2" t="s">
        <v>354</v>
      </c>
      <c r="E79" s="2" t="s">
        <v>355</v>
      </c>
      <c r="F79" s="2"/>
      <c r="G79" s="2" t="s">
        <v>150</v>
      </c>
      <c r="H79" s="2" t="s">
        <v>356</v>
      </c>
      <c r="I79" s="2" t="s">
        <v>214</v>
      </c>
      <c r="J79" s="2" t="s">
        <v>50</v>
      </c>
      <c r="K79" s="2" t="s">
        <v>38</v>
      </c>
      <c r="L79" s="2" t="s">
        <v>39</v>
      </c>
      <c r="M79" s="2" t="s">
        <v>39</v>
      </c>
      <c r="N79" s="2" t="s">
        <v>38</v>
      </c>
      <c r="O79" s="2" t="s">
        <v>38</v>
      </c>
      <c r="P79" s="2" t="s">
        <v>38</v>
      </c>
      <c r="Q79" s="2" t="s">
        <v>38</v>
      </c>
      <c r="R79" s="2" t="s">
        <v>38</v>
      </c>
      <c r="S79" s="2" t="s">
        <v>39</v>
      </c>
      <c r="T79" s="2" t="s">
        <v>39</v>
      </c>
      <c r="U79" s="2" t="s">
        <v>38</v>
      </c>
      <c r="V79" s="2" t="s">
        <v>39</v>
      </c>
      <c r="W79" s="2" t="s">
        <v>38</v>
      </c>
      <c r="X79" s="2" t="s">
        <v>39</v>
      </c>
      <c r="Y79" s="2" t="s">
        <v>38</v>
      </c>
      <c r="Z79" s="2" t="s">
        <v>38</v>
      </c>
      <c r="AA79" s="2" t="s">
        <v>38</v>
      </c>
      <c r="AB79" s="2" t="s">
        <v>39</v>
      </c>
      <c r="AC79" s="2" t="s">
        <v>38</v>
      </c>
      <c r="AD79" s="2" t="s">
        <v>38</v>
      </c>
      <c r="AE79" s="2" t="s">
        <v>38</v>
      </c>
    </row>
    <row r="80" spans="1:31" ht="409.5">
      <c r="A80" s="2">
        <v>2761897</v>
      </c>
      <c r="B80" s="2">
        <f>HYPERLINK("https://platform.v2.vetology.net/cases/2761897/screening-report/18?type=pdf&amp;v=v6&amp;scorecard=1&amp;secret_key=BX%25IJ%24%2F65ieZ%29f6", 2761897)</f>
        <v>2761897</v>
      </c>
      <c r="C80" s="2">
        <f>HYPERLINK("https://platform.v2.vetology.net/report/v/final/"&amp;2761897, 2761897)</f>
        <v>2761897</v>
      </c>
      <c r="D80" s="2" t="s">
        <v>357</v>
      </c>
      <c r="E80" s="2" t="s">
        <v>358</v>
      </c>
      <c r="F80" s="2" t="s">
        <v>359</v>
      </c>
      <c r="G80" s="2" t="s">
        <v>63</v>
      </c>
      <c r="H80" s="2" t="s">
        <v>360</v>
      </c>
      <c r="I80" s="2" t="s">
        <v>284</v>
      </c>
      <c r="J80" s="2" t="s">
        <v>285</v>
      </c>
      <c r="K80" s="2" t="s">
        <v>38</v>
      </c>
      <c r="L80" s="2" t="s">
        <v>38</v>
      </c>
      <c r="M80" s="2" t="s">
        <v>38</v>
      </c>
      <c r="N80" s="2" t="s">
        <v>38</v>
      </c>
      <c r="O80" s="2" t="s">
        <v>38</v>
      </c>
      <c r="P80" s="2" t="s">
        <v>38</v>
      </c>
      <c r="Q80" s="2" t="s">
        <v>38</v>
      </c>
      <c r="R80" s="2" t="s">
        <v>38</v>
      </c>
      <c r="S80" s="2" t="s">
        <v>38</v>
      </c>
      <c r="T80" s="2" t="s">
        <v>39</v>
      </c>
      <c r="U80" s="2" t="s">
        <v>38</v>
      </c>
      <c r="V80" s="2" t="s">
        <v>39</v>
      </c>
      <c r="W80" s="2" t="s">
        <v>38</v>
      </c>
      <c r="X80" s="2" t="s">
        <v>39</v>
      </c>
      <c r="Y80" s="2" t="s">
        <v>38</v>
      </c>
      <c r="Z80" s="2" t="s">
        <v>38</v>
      </c>
      <c r="AA80" s="2" t="s">
        <v>38</v>
      </c>
      <c r="AB80" s="2" t="s">
        <v>38</v>
      </c>
      <c r="AC80" s="2" t="s">
        <v>38</v>
      </c>
      <c r="AD80" s="2" t="s">
        <v>38</v>
      </c>
      <c r="AE80" s="2" t="s">
        <v>38</v>
      </c>
    </row>
    <row r="81" spans="1:31" ht="409.5">
      <c r="A81" s="2">
        <v>2761804</v>
      </c>
      <c r="B81" s="2">
        <f>HYPERLINK("https://platform.v2.vetology.net/cases/2761804/screening-report/18?type=pdf&amp;v=v6&amp;scorecard=1&amp;secret_key=BX%25IJ%24%2F65ieZ%29f6", 2761804)</f>
        <v>2761804</v>
      </c>
      <c r="C81" s="2">
        <f>HYPERLINK("https://platform.v2.vetology.net/report/v/final/"&amp;2761804, 2761804)</f>
        <v>2761804</v>
      </c>
      <c r="D81" s="2" t="s">
        <v>361</v>
      </c>
      <c r="E81" s="2" t="s">
        <v>362</v>
      </c>
      <c r="F81" s="2" t="s">
        <v>363</v>
      </c>
      <c r="G81" s="2" t="s">
        <v>58</v>
      </c>
      <c r="H81" s="2" t="s">
        <v>364</v>
      </c>
      <c r="I81" s="2" t="s">
        <v>264</v>
      </c>
      <c r="J81" s="2" t="s">
        <v>265</v>
      </c>
      <c r="K81" s="2" t="s">
        <v>38</v>
      </c>
      <c r="L81" s="2" t="s">
        <v>39</v>
      </c>
      <c r="M81" s="2" t="s">
        <v>39</v>
      </c>
      <c r="N81" s="2" t="s">
        <v>38</v>
      </c>
      <c r="O81" s="2" t="s">
        <v>38</v>
      </c>
      <c r="P81" s="2" t="s">
        <v>39</v>
      </c>
      <c r="Q81" s="2" t="s">
        <v>38</v>
      </c>
      <c r="R81" s="2" t="s">
        <v>38</v>
      </c>
      <c r="S81" s="2" t="s">
        <v>38</v>
      </c>
      <c r="T81" s="2" t="s">
        <v>39</v>
      </c>
      <c r="U81" s="2" t="s">
        <v>38</v>
      </c>
      <c r="V81" s="2" t="s">
        <v>38</v>
      </c>
      <c r="W81" s="2" t="s">
        <v>38</v>
      </c>
      <c r="X81" s="2" t="s">
        <v>39</v>
      </c>
      <c r="Y81" s="2" t="s">
        <v>38</v>
      </c>
      <c r="Z81" s="2" t="s">
        <v>38</v>
      </c>
      <c r="AA81" s="2" t="s">
        <v>38</v>
      </c>
      <c r="AB81" s="2" t="s">
        <v>39</v>
      </c>
      <c r="AC81" s="2" t="s">
        <v>38</v>
      </c>
      <c r="AD81" s="2" t="s">
        <v>38</v>
      </c>
      <c r="AE81" s="2" t="s">
        <v>38</v>
      </c>
    </row>
    <row r="82" spans="1:31" ht="409.5">
      <c r="A82" s="2">
        <v>2761492</v>
      </c>
      <c r="B82" s="2">
        <f>HYPERLINK("https://platform.v2.vetology.net/cases/2761492/screening-report/18?type=pdf&amp;v=v6&amp;scorecard=1&amp;secret_key=BX%25IJ%24%2F65ieZ%29f6", 2761492)</f>
        <v>2761492</v>
      </c>
      <c r="C82" s="2">
        <f>HYPERLINK("https://platform.v2.vetology.net/report/v/final/"&amp;2761492, 2761492)</f>
        <v>2761492</v>
      </c>
      <c r="D82" s="2" t="s">
        <v>365</v>
      </c>
      <c r="E82" s="2" t="s">
        <v>366</v>
      </c>
      <c r="F82" s="2" t="s">
        <v>367</v>
      </c>
      <c r="G82" s="2" t="s">
        <v>58</v>
      </c>
      <c r="H82" s="2" t="s">
        <v>368</v>
      </c>
      <c r="I82" s="2" t="s">
        <v>36</v>
      </c>
      <c r="J82" s="2" t="s">
        <v>37</v>
      </c>
      <c r="K82" s="2" t="s">
        <v>38</v>
      </c>
      <c r="L82" s="2" t="s">
        <v>39</v>
      </c>
      <c r="M82" s="2" t="s">
        <v>38</v>
      </c>
      <c r="N82" s="2" t="s">
        <v>38</v>
      </c>
      <c r="O82" s="2" t="s">
        <v>38</v>
      </c>
      <c r="P82" s="2" t="s">
        <v>38</v>
      </c>
      <c r="Q82" s="2" t="s">
        <v>38</v>
      </c>
      <c r="R82" s="2" t="s">
        <v>38</v>
      </c>
      <c r="S82" s="2" t="s">
        <v>38</v>
      </c>
      <c r="T82" s="2" t="s">
        <v>39</v>
      </c>
      <c r="U82" s="2" t="s">
        <v>38</v>
      </c>
      <c r="V82" s="2" t="s">
        <v>38</v>
      </c>
      <c r="W82" s="2" t="s">
        <v>38</v>
      </c>
      <c r="X82" s="2" t="s">
        <v>39</v>
      </c>
      <c r="Y82" s="2" t="s">
        <v>38</v>
      </c>
      <c r="Z82" s="2" t="s">
        <v>38</v>
      </c>
      <c r="AA82" s="2" t="s">
        <v>38</v>
      </c>
      <c r="AB82" s="2" t="s">
        <v>38</v>
      </c>
      <c r="AC82" s="2" t="s">
        <v>39</v>
      </c>
      <c r="AD82" s="2" t="s">
        <v>38</v>
      </c>
      <c r="AE82" s="2" t="s">
        <v>38</v>
      </c>
    </row>
    <row r="83" spans="1:31" ht="409.5">
      <c r="A83" s="2">
        <v>2761458</v>
      </c>
      <c r="B83" s="2">
        <f>HYPERLINK("https://platform.v2.vetology.net/cases/2761458/screening-report/18?type=pdf&amp;v=v6&amp;scorecard=1&amp;secret_key=BX%25IJ%24%2F65ieZ%29f6", 2761458)</f>
        <v>2761458</v>
      </c>
      <c r="C83" s="2">
        <f>HYPERLINK("https://platform.v2.vetology.net/report/v/final/"&amp;2761458, 2761458)</f>
        <v>2761458</v>
      </c>
      <c r="D83" s="2" t="s">
        <v>369</v>
      </c>
      <c r="E83" s="2" t="s">
        <v>370</v>
      </c>
      <c r="F83" s="2" t="s">
        <v>371</v>
      </c>
      <c r="G83" s="2" t="s">
        <v>58</v>
      </c>
      <c r="H83" s="2" t="s">
        <v>372</v>
      </c>
      <c r="I83" s="2" t="s">
        <v>373</v>
      </c>
      <c r="J83" s="2" t="s">
        <v>374</v>
      </c>
      <c r="K83" s="2" t="s">
        <v>38</v>
      </c>
      <c r="L83" s="2" t="s">
        <v>39</v>
      </c>
      <c r="M83" s="2" t="s">
        <v>39</v>
      </c>
      <c r="N83" s="2" t="s">
        <v>38</v>
      </c>
      <c r="O83" s="2" t="s">
        <v>39</v>
      </c>
      <c r="P83" s="2" t="s">
        <v>39</v>
      </c>
      <c r="Q83" s="2" t="s">
        <v>39</v>
      </c>
      <c r="R83" s="2" t="s">
        <v>39</v>
      </c>
      <c r="S83" s="2" t="s">
        <v>39</v>
      </c>
      <c r="T83" s="2" t="s">
        <v>39</v>
      </c>
      <c r="U83" s="2" t="s">
        <v>39</v>
      </c>
      <c r="V83" s="2" t="s">
        <v>39</v>
      </c>
      <c r="W83" s="2" t="s">
        <v>39</v>
      </c>
      <c r="X83" s="2" t="s">
        <v>39</v>
      </c>
      <c r="Y83" s="2" t="s">
        <v>39</v>
      </c>
      <c r="Z83" s="2" t="s">
        <v>38</v>
      </c>
      <c r="AA83" s="2" t="s">
        <v>38</v>
      </c>
      <c r="AB83" s="2" t="s">
        <v>39</v>
      </c>
      <c r="AC83" s="2" t="s">
        <v>39</v>
      </c>
      <c r="AD83" s="2" t="s">
        <v>38</v>
      </c>
      <c r="AE83" s="2" t="s">
        <v>38</v>
      </c>
    </row>
    <row r="84" spans="1:31" ht="409.5">
      <c r="A84" s="2">
        <v>2760952</v>
      </c>
      <c r="B84" s="2">
        <f>HYPERLINK("https://platform.v2.vetology.net/cases/2760952/screening-report/18?type=pdf&amp;v=v6&amp;scorecard=1&amp;secret_key=BX%25IJ%24%2F65ieZ%29f6", 2760952)</f>
        <v>2760952</v>
      </c>
      <c r="C84" s="2">
        <f>HYPERLINK("https://platform.v2.vetology.net/report/v/final/"&amp;2760952, 2760952)</f>
        <v>2760952</v>
      </c>
      <c r="D84" s="2" t="s">
        <v>375</v>
      </c>
      <c r="E84" s="2" t="s">
        <v>376</v>
      </c>
      <c r="F84" s="2"/>
      <c r="G84" s="2" t="s">
        <v>268</v>
      </c>
      <c r="H84" s="2" t="s">
        <v>377</v>
      </c>
      <c r="I84" s="2" t="s">
        <v>245</v>
      </c>
      <c r="J84" s="2" t="s">
        <v>246</v>
      </c>
      <c r="K84" s="2" t="s">
        <v>38</v>
      </c>
      <c r="L84" s="2" t="s">
        <v>39</v>
      </c>
      <c r="M84" s="2" t="s">
        <v>39</v>
      </c>
      <c r="N84" s="2" t="s">
        <v>38</v>
      </c>
      <c r="O84" s="2" t="s">
        <v>38</v>
      </c>
      <c r="P84" s="2" t="s">
        <v>39</v>
      </c>
      <c r="Q84" s="2" t="s">
        <v>38</v>
      </c>
      <c r="R84" s="2" t="s">
        <v>38</v>
      </c>
      <c r="S84" s="2" t="s">
        <v>38</v>
      </c>
      <c r="T84" s="2" t="s">
        <v>39</v>
      </c>
      <c r="U84" s="2" t="s">
        <v>38</v>
      </c>
      <c r="V84" s="2" t="s">
        <v>38</v>
      </c>
      <c r="W84" s="2" t="s">
        <v>38</v>
      </c>
      <c r="X84" s="2" t="s">
        <v>39</v>
      </c>
      <c r="Y84" s="2" t="s">
        <v>38</v>
      </c>
      <c r="Z84" s="2" t="s">
        <v>38</v>
      </c>
      <c r="AA84" s="2" t="s">
        <v>38</v>
      </c>
      <c r="AB84" s="2" t="s">
        <v>38</v>
      </c>
      <c r="AC84" s="2" t="s">
        <v>38</v>
      </c>
      <c r="AD84" s="2" t="s">
        <v>38</v>
      </c>
      <c r="AE84" s="2" t="s">
        <v>38</v>
      </c>
    </row>
    <row r="85" spans="1:31" ht="409.5">
      <c r="A85" s="2">
        <v>2760854</v>
      </c>
      <c r="B85" s="2">
        <f>HYPERLINK("https://platform.v2.vetology.net/cases/2760854/screening-report/18?type=pdf&amp;v=v6&amp;scorecard=1&amp;secret_key=BX%25IJ%24%2F65ieZ%29f6", 2760854)</f>
        <v>2760854</v>
      </c>
      <c r="C85" s="2">
        <f>HYPERLINK("https://platform.v2.vetology.net/report/v/final/"&amp;2760854, 2760854)</f>
        <v>2760854</v>
      </c>
      <c r="D85" s="2" t="s">
        <v>378</v>
      </c>
      <c r="E85" s="2" t="s">
        <v>379</v>
      </c>
      <c r="F85" s="2" t="s">
        <v>380</v>
      </c>
      <c r="G85" s="2" t="s">
        <v>58</v>
      </c>
      <c r="H85" s="2" t="s">
        <v>381</v>
      </c>
      <c r="I85" s="2" t="s">
        <v>382</v>
      </c>
      <c r="J85" s="2" t="s">
        <v>66</v>
      </c>
      <c r="K85" s="2" t="s">
        <v>39</v>
      </c>
      <c r="L85" s="2" t="s">
        <v>38</v>
      </c>
      <c r="M85" s="2" t="s">
        <v>39</v>
      </c>
      <c r="N85" s="2" t="s">
        <v>39</v>
      </c>
      <c r="O85" s="2" t="s">
        <v>39</v>
      </c>
      <c r="P85" s="2" t="s">
        <v>39</v>
      </c>
      <c r="Q85" s="2" t="s">
        <v>38</v>
      </c>
      <c r="R85" s="2" t="s">
        <v>38</v>
      </c>
      <c r="S85" s="2" t="s">
        <v>39</v>
      </c>
      <c r="T85" s="2" t="s">
        <v>39</v>
      </c>
      <c r="U85" s="2" t="s">
        <v>39</v>
      </c>
      <c r="V85" s="2" t="s">
        <v>39</v>
      </c>
      <c r="W85" s="2" t="s">
        <v>38</v>
      </c>
      <c r="X85" s="2" t="s">
        <v>39</v>
      </c>
      <c r="Y85" s="2" t="s">
        <v>38</v>
      </c>
      <c r="Z85" s="2" t="s">
        <v>39</v>
      </c>
      <c r="AA85" s="2" t="s">
        <v>38</v>
      </c>
      <c r="AB85" s="2" t="s">
        <v>39</v>
      </c>
      <c r="AC85" s="2" t="s">
        <v>39</v>
      </c>
      <c r="AD85" s="2" t="s">
        <v>38</v>
      </c>
      <c r="AE85" s="2" t="s">
        <v>38</v>
      </c>
    </row>
    <row r="86" spans="1:31" ht="409.5">
      <c r="A86" s="2">
        <v>2760830</v>
      </c>
      <c r="B86" s="2">
        <f>HYPERLINK("https://platform.v2.vetology.net/cases/2760830/screening-report/18?type=pdf&amp;v=v6&amp;scorecard=1&amp;secret_key=BX%25IJ%24%2F65ieZ%29f6", 2760830)</f>
        <v>2760830</v>
      </c>
      <c r="C86" s="2">
        <f>HYPERLINK("https://platform.v2.vetology.net/report/v/final/"&amp;2760830, 2760830)</f>
        <v>2760830</v>
      </c>
      <c r="D86" s="2" t="s">
        <v>383</v>
      </c>
      <c r="E86" s="2" t="s">
        <v>384</v>
      </c>
      <c r="F86" s="2" t="s">
        <v>385</v>
      </c>
      <c r="G86" s="2" t="s">
        <v>34</v>
      </c>
      <c r="H86" s="2" t="s">
        <v>54</v>
      </c>
      <c r="I86" s="2" t="s">
        <v>44</v>
      </c>
      <c r="J86" s="2"/>
      <c r="K86" s="2" t="s">
        <v>38</v>
      </c>
      <c r="L86" s="2" t="s">
        <v>38</v>
      </c>
      <c r="M86" s="2" t="s">
        <v>39</v>
      </c>
      <c r="N86" s="2" t="s">
        <v>38</v>
      </c>
      <c r="O86" s="2" t="s">
        <v>38</v>
      </c>
      <c r="P86" s="2" t="s">
        <v>38</v>
      </c>
      <c r="Q86" s="2" t="s">
        <v>38</v>
      </c>
      <c r="R86" s="2" t="s">
        <v>38</v>
      </c>
      <c r="S86" s="2" t="s">
        <v>38</v>
      </c>
      <c r="T86" s="2" t="s">
        <v>38</v>
      </c>
      <c r="U86" s="2" t="s">
        <v>38</v>
      </c>
      <c r="V86" s="2" t="s">
        <v>38</v>
      </c>
      <c r="W86" s="2" t="s">
        <v>38</v>
      </c>
      <c r="X86" s="2" t="s">
        <v>38</v>
      </c>
      <c r="Y86" s="2" t="s">
        <v>38</v>
      </c>
      <c r="Z86" s="2" t="s">
        <v>38</v>
      </c>
      <c r="AA86" s="2" t="s">
        <v>38</v>
      </c>
      <c r="AB86" s="2" t="s">
        <v>38</v>
      </c>
      <c r="AC86" s="2" t="s">
        <v>38</v>
      </c>
      <c r="AD86" s="2" t="s">
        <v>38</v>
      </c>
      <c r="AE86" s="2" t="s">
        <v>38</v>
      </c>
    </row>
    <row r="87" spans="1:31" ht="409.5">
      <c r="A87" s="2">
        <v>2760696</v>
      </c>
      <c r="B87" s="2">
        <f>HYPERLINK("https://platform.v2.vetology.net/cases/2760696/screening-report/18?type=pdf&amp;v=v6&amp;scorecard=1&amp;secret_key=BX%25IJ%24%2F65ieZ%29f6", 2760696)</f>
        <v>2760696</v>
      </c>
      <c r="C87" s="2">
        <f>HYPERLINK("https://platform.v2.vetology.net/report/v/final/"&amp;2760696, 2760696)</f>
        <v>2760696</v>
      </c>
      <c r="D87" s="2" t="s">
        <v>386</v>
      </c>
      <c r="E87" s="2" t="s">
        <v>387</v>
      </c>
      <c r="F87" s="2" t="s">
        <v>149</v>
      </c>
      <c r="G87" s="2" t="s">
        <v>150</v>
      </c>
      <c r="H87" s="2" t="s">
        <v>388</v>
      </c>
      <c r="I87" s="2" t="s">
        <v>84</v>
      </c>
      <c r="J87" s="2" t="s">
        <v>85</v>
      </c>
      <c r="K87" s="2" t="s">
        <v>38</v>
      </c>
      <c r="L87" s="2" t="s">
        <v>39</v>
      </c>
      <c r="M87" s="2" t="s">
        <v>39</v>
      </c>
      <c r="N87" s="2" t="s">
        <v>38</v>
      </c>
      <c r="O87" s="2" t="s">
        <v>38</v>
      </c>
      <c r="P87" s="2" t="s">
        <v>38</v>
      </c>
      <c r="Q87" s="2" t="s">
        <v>38</v>
      </c>
      <c r="R87" s="2" t="s">
        <v>38</v>
      </c>
      <c r="S87" s="2" t="s">
        <v>38</v>
      </c>
      <c r="T87" s="2" t="s">
        <v>38</v>
      </c>
      <c r="U87" s="2" t="s">
        <v>38</v>
      </c>
      <c r="V87" s="2" t="s">
        <v>38</v>
      </c>
      <c r="W87" s="2" t="s">
        <v>38</v>
      </c>
      <c r="X87" s="2" t="s">
        <v>38</v>
      </c>
      <c r="Y87" s="2" t="s">
        <v>38</v>
      </c>
      <c r="Z87" s="2" t="s">
        <v>38</v>
      </c>
      <c r="AA87" s="2" t="s">
        <v>38</v>
      </c>
      <c r="AB87" s="2" t="s">
        <v>39</v>
      </c>
      <c r="AC87" s="2" t="s">
        <v>39</v>
      </c>
      <c r="AD87" s="2" t="s">
        <v>38</v>
      </c>
      <c r="AE87" s="2" t="s">
        <v>38</v>
      </c>
    </row>
    <row r="88" spans="1:31" ht="409.5">
      <c r="A88" s="2">
        <v>2760494</v>
      </c>
      <c r="B88" s="2">
        <f>HYPERLINK("https://platform.v2.vetology.net/cases/2760494/screening-report/18?type=pdf&amp;v=v6&amp;scorecard=1&amp;secret_key=BX%25IJ%24%2F65ieZ%29f6", 2760494)</f>
        <v>2760494</v>
      </c>
      <c r="C88" s="2">
        <f>HYPERLINK("https://platform.v2.vetology.net/report/v/final/"&amp;2760494, 2760494)</f>
        <v>2760494</v>
      </c>
      <c r="D88" s="2" t="s">
        <v>389</v>
      </c>
      <c r="E88" s="2" t="s">
        <v>390</v>
      </c>
      <c r="F88" s="2" t="s">
        <v>391</v>
      </c>
      <c r="G88" s="2" t="s">
        <v>135</v>
      </c>
      <c r="H88" s="2" t="s">
        <v>392</v>
      </c>
      <c r="I88" s="2" t="s">
        <v>393</v>
      </c>
      <c r="J88" s="2" t="s">
        <v>347</v>
      </c>
      <c r="K88" s="2" t="s">
        <v>38</v>
      </c>
      <c r="L88" s="2" t="s">
        <v>39</v>
      </c>
      <c r="M88" s="2" t="s">
        <v>39</v>
      </c>
      <c r="N88" s="2" t="s">
        <v>39</v>
      </c>
      <c r="O88" s="2" t="s">
        <v>39</v>
      </c>
      <c r="P88" s="2" t="s">
        <v>39</v>
      </c>
      <c r="Q88" s="2" t="s">
        <v>39</v>
      </c>
      <c r="R88" s="2" t="s">
        <v>38</v>
      </c>
      <c r="S88" s="2" t="s">
        <v>39</v>
      </c>
      <c r="T88" s="2" t="s">
        <v>39</v>
      </c>
      <c r="U88" s="2" t="s">
        <v>39</v>
      </c>
      <c r="V88" s="2" t="s">
        <v>39</v>
      </c>
      <c r="W88" s="2" t="s">
        <v>38</v>
      </c>
      <c r="X88" s="2" t="s">
        <v>39</v>
      </c>
      <c r="Y88" s="2" t="s">
        <v>38</v>
      </c>
      <c r="Z88" s="2" t="s">
        <v>39</v>
      </c>
      <c r="AA88" s="2" t="s">
        <v>38</v>
      </c>
      <c r="AB88" s="2" t="s">
        <v>39</v>
      </c>
      <c r="AC88" s="2" t="s">
        <v>39</v>
      </c>
      <c r="AD88" s="2" t="s">
        <v>38</v>
      </c>
      <c r="AE88" s="2" t="s">
        <v>38</v>
      </c>
    </row>
    <row r="89" spans="1:31" ht="409.5">
      <c r="A89" s="2">
        <v>2760375</v>
      </c>
      <c r="B89" s="2">
        <f>HYPERLINK("https://platform.v2.vetology.net/cases/2760375/screening-report/18?type=pdf&amp;v=v6&amp;scorecard=1&amp;secret_key=BX%25IJ%24%2F65ieZ%29f6", 2760375)</f>
        <v>2760375</v>
      </c>
      <c r="C89" s="2">
        <f>HYPERLINK("https://platform.v2.vetology.net/report/v/final/"&amp;2760375, 2760375)</f>
        <v>2760375</v>
      </c>
      <c r="D89" s="2" t="s">
        <v>394</v>
      </c>
      <c r="E89" s="2" t="s">
        <v>395</v>
      </c>
      <c r="F89" s="2"/>
      <c r="G89" s="2" t="s">
        <v>150</v>
      </c>
      <c r="H89" s="2" t="s">
        <v>396</v>
      </c>
      <c r="I89" s="2" t="s">
        <v>290</v>
      </c>
      <c r="J89" s="2" t="s">
        <v>66</v>
      </c>
      <c r="K89" s="2" t="s">
        <v>38</v>
      </c>
      <c r="L89" s="2" t="s">
        <v>39</v>
      </c>
      <c r="M89" s="2" t="s">
        <v>39</v>
      </c>
      <c r="N89" s="2" t="s">
        <v>39</v>
      </c>
      <c r="O89" s="2" t="s">
        <v>38</v>
      </c>
      <c r="P89" s="2" t="s">
        <v>39</v>
      </c>
      <c r="Q89" s="2" t="s">
        <v>38</v>
      </c>
      <c r="R89" s="2" t="s">
        <v>38</v>
      </c>
      <c r="S89" s="2" t="s">
        <v>39</v>
      </c>
      <c r="T89" s="2" t="s">
        <v>38</v>
      </c>
      <c r="U89" s="2" t="s">
        <v>38</v>
      </c>
      <c r="V89" s="2" t="s">
        <v>38</v>
      </c>
      <c r="W89" s="2" t="s">
        <v>38</v>
      </c>
      <c r="X89" s="2" t="s">
        <v>38</v>
      </c>
      <c r="Y89" s="2" t="s">
        <v>38</v>
      </c>
      <c r="Z89" s="2" t="s">
        <v>39</v>
      </c>
      <c r="AA89" s="2" t="s">
        <v>39</v>
      </c>
      <c r="AB89" s="2" t="s">
        <v>39</v>
      </c>
      <c r="AC89" s="2" t="s">
        <v>39</v>
      </c>
      <c r="AD89" s="2" t="s">
        <v>38</v>
      </c>
      <c r="AE89" s="2" t="s">
        <v>38</v>
      </c>
    </row>
    <row r="90" spans="1:31" ht="409.5">
      <c r="A90" s="2">
        <v>2760355</v>
      </c>
      <c r="B90" s="2">
        <f>HYPERLINK("https://platform.v2.vetology.net/cases/2760355/screening-report/18?type=pdf&amp;v=v6&amp;scorecard=1&amp;secret_key=BX%25IJ%24%2F65ieZ%29f6", 2760355)</f>
        <v>2760355</v>
      </c>
      <c r="C90" s="2">
        <f>HYPERLINK("https://platform.v2.vetology.net/report/v/final/"&amp;2760355, 2760355)</f>
        <v>2760355</v>
      </c>
      <c r="D90" s="2" t="s">
        <v>397</v>
      </c>
      <c r="E90" s="2" t="s">
        <v>398</v>
      </c>
      <c r="F90" s="2" t="s">
        <v>399</v>
      </c>
      <c r="G90" s="2" t="s">
        <v>58</v>
      </c>
      <c r="H90" s="2" t="s">
        <v>129</v>
      </c>
      <c r="I90" s="2" t="s">
        <v>44</v>
      </c>
      <c r="J90" s="2"/>
      <c r="K90" s="2" t="s">
        <v>38</v>
      </c>
      <c r="L90" s="2" t="s">
        <v>39</v>
      </c>
      <c r="M90" s="2" t="s">
        <v>39</v>
      </c>
      <c r="N90" s="2" t="s">
        <v>38</v>
      </c>
      <c r="O90" s="2" t="s">
        <v>38</v>
      </c>
      <c r="P90" s="2" t="s">
        <v>38</v>
      </c>
      <c r="Q90" s="2" t="s">
        <v>38</v>
      </c>
      <c r="R90" s="2" t="s">
        <v>38</v>
      </c>
      <c r="S90" s="2" t="s">
        <v>38</v>
      </c>
      <c r="T90" s="2" t="s">
        <v>39</v>
      </c>
      <c r="U90" s="2" t="s">
        <v>38</v>
      </c>
      <c r="V90" s="2" t="s">
        <v>39</v>
      </c>
      <c r="W90" s="2" t="s">
        <v>38</v>
      </c>
      <c r="X90" s="2" t="s">
        <v>39</v>
      </c>
      <c r="Y90" s="2" t="s">
        <v>38</v>
      </c>
      <c r="Z90" s="2" t="s">
        <v>38</v>
      </c>
      <c r="AA90" s="2" t="s">
        <v>38</v>
      </c>
      <c r="AB90" s="2" t="s">
        <v>38</v>
      </c>
      <c r="AC90" s="2" t="s">
        <v>38</v>
      </c>
      <c r="AD90" s="2" t="s">
        <v>38</v>
      </c>
      <c r="AE90" s="2" t="s">
        <v>38</v>
      </c>
    </row>
    <row r="91" spans="1:31" ht="409.5">
      <c r="A91" s="2">
        <v>2760252</v>
      </c>
      <c r="B91" s="2">
        <f>HYPERLINK("https://platform.v2.vetology.net/cases/2760252/screening-report/18?type=pdf&amp;v=v6&amp;scorecard=1&amp;secret_key=BX%25IJ%24%2F65ieZ%29f6", 2760252)</f>
        <v>2760252</v>
      </c>
      <c r="C91" s="2">
        <f>HYPERLINK("https://platform.v2.vetology.net/report/v/final/"&amp;2760252, 2760252)</f>
        <v>2760252</v>
      </c>
      <c r="D91" s="2" t="s">
        <v>400</v>
      </c>
      <c r="E91" s="2" t="s">
        <v>401</v>
      </c>
      <c r="F91" s="2" t="s">
        <v>402</v>
      </c>
      <c r="G91" s="2" t="s">
        <v>150</v>
      </c>
      <c r="H91" s="2" t="s">
        <v>59</v>
      </c>
      <c r="I91" s="2" t="s">
        <v>49</v>
      </c>
      <c r="J91" s="2" t="s">
        <v>50</v>
      </c>
      <c r="K91" s="2" t="s">
        <v>38</v>
      </c>
      <c r="L91" s="2" t="s">
        <v>38</v>
      </c>
      <c r="M91" s="2" t="s">
        <v>38</v>
      </c>
      <c r="N91" s="2" t="s">
        <v>38</v>
      </c>
      <c r="O91" s="2" t="s">
        <v>38</v>
      </c>
      <c r="P91" s="2" t="s">
        <v>38</v>
      </c>
      <c r="Q91" s="2" t="s">
        <v>38</v>
      </c>
      <c r="R91" s="2" t="s">
        <v>38</v>
      </c>
      <c r="S91" s="2" t="s">
        <v>38</v>
      </c>
      <c r="T91" s="2" t="s">
        <v>38</v>
      </c>
      <c r="U91" s="2" t="s">
        <v>38</v>
      </c>
      <c r="V91" s="2" t="s">
        <v>38</v>
      </c>
      <c r="W91" s="2" t="s">
        <v>38</v>
      </c>
      <c r="X91" s="2" t="s">
        <v>38</v>
      </c>
      <c r="Y91" s="2" t="s">
        <v>38</v>
      </c>
      <c r="Z91" s="2" t="s">
        <v>38</v>
      </c>
      <c r="AA91" s="2" t="s">
        <v>38</v>
      </c>
      <c r="AB91" s="2" t="s">
        <v>38</v>
      </c>
      <c r="AC91" s="2" t="s">
        <v>38</v>
      </c>
      <c r="AD91" s="2" t="s">
        <v>38</v>
      </c>
      <c r="AE91" s="2" t="s">
        <v>38</v>
      </c>
    </row>
    <row r="92" spans="1:31" ht="409.5">
      <c r="A92" s="2">
        <v>2759884</v>
      </c>
      <c r="B92" s="2">
        <f>HYPERLINK("https://platform.v2.vetology.net/cases/2759884/screening-report/18?type=pdf&amp;v=v6&amp;scorecard=1&amp;secret_key=BX%25IJ%24%2F65ieZ%29f6", 2759884)</f>
        <v>2759884</v>
      </c>
      <c r="C92" s="2">
        <f>HYPERLINK("https://platform.v2.vetology.net/report/v/final/"&amp;2759884, 2759884)</f>
        <v>2759884</v>
      </c>
      <c r="D92" s="2" t="s">
        <v>403</v>
      </c>
      <c r="E92" s="2" t="s">
        <v>404</v>
      </c>
      <c r="F92" s="2" t="s">
        <v>405</v>
      </c>
      <c r="G92" s="2" t="s">
        <v>135</v>
      </c>
      <c r="H92" s="2" t="s">
        <v>406</v>
      </c>
      <c r="I92" s="2" t="s">
        <v>407</v>
      </c>
      <c r="J92" s="2" t="s">
        <v>66</v>
      </c>
      <c r="K92" s="2" t="s">
        <v>38</v>
      </c>
      <c r="L92" s="2" t="s">
        <v>38</v>
      </c>
      <c r="M92" s="2" t="s">
        <v>39</v>
      </c>
      <c r="N92" s="2" t="s">
        <v>38</v>
      </c>
      <c r="O92" s="2" t="s">
        <v>39</v>
      </c>
      <c r="P92" s="2" t="s">
        <v>39</v>
      </c>
      <c r="Q92" s="2" t="s">
        <v>38</v>
      </c>
      <c r="R92" s="2" t="s">
        <v>38</v>
      </c>
      <c r="S92" s="2" t="s">
        <v>39</v>
      </c>
      <c r="T92" s="2" t="s">
        <v>39</v>
      </c>
      <c r="U92" s="2" t="s">
        <v>39</v>
      </c>
      <c r="V92" s="2" t="s">
        <v>39</v>
      </c>
      <c r="W92" s="2" t="s">
        <v>38</v>
      </c>
      <c r="X92" s="2" t="s">
        <v>39</v>
      </c>
      <c r="Y92" s="2" t="s">
        <v>38</v>
      </c>
      <c r="Z92" s="2" t="s">
        <v>39</v>
      </c>
      <c r="AA92" s="2" t="s">
        <v>38</v>
      </c>
      <c r="AB92" s="2" t="s">
        <v>39</v>
      </c>
      <c r="AC92" s="2" t="s">
        <v>38</v>
      </c>
      <c r="AD92" s="2" t="s">
        <v>38</v>
      </c>
      <c r="AE92" s="2" t="s">
        <v>39</v>
      </c>
    </row>
    <row r="93" spans="1:31" ht="409.5">
      <c r="A93" s="2">
        <v>2759844</v>
      </c>
      <c r="B93" s="2">
        <f>HYPERLINK("https://platform.v2.vetology.net/cases/2759844/screening-report/18?type=pdf&amp;v=v6&amp;scorecard=1&amp;secret_key=BX%25IJ%24%2F65ieZ%29f6", 2759844)</f>
        <v>2759844</v>
      </c>
      <c r="C93" s="2">
        <f>HYPERLINK("https://platform.v2.vetology.net/report/v/final/"&amp;2759844, 2759844)</f>
        <v>2759844</v>
      </c>
      <c r="D93" s="2" t="s">
        <v>408</v>
      </c>
      <c r="E93" s="2" t="s">
        <v>409</v>
      </c>
      <c r="F93" s="2" t="s">
        <v>410</v>
      </c>
      <c r="G93" s="2" t="s">
        <v>82</v>
      </c>
      <c r="H93" s="2" t="s">
        <v>78</v>
      </c>
      <c r="I93" s="2" t="s">
        <v>44</v>
      </c>
      <c r="J93" s="2" t="s">
        <v>106</v>
      </c>
      <c r="K93" s="2" t="s">
        <v>38</v>
      </c>
      <c r="L93" s="2" t="s">
        <v>38</v>
      </c>
      <c r="M93" s="2" t="s">
        <v>39</v>
      </c>
      <c r="N93" s="2" t="s">
        <v>38</v>
      </c>
      <c r="O93" s="2" t="s">
        <v>38</v>
      </c>
      <c r="P93" s="2" t="s">
        <v>38</v>
      </c>
      <c r="Q93" s="2" t="s">
        <v>38</v>
      </c>
      <c r="R93" s="2" t="s">
        <v>38</v>
      </c>
      <c r="S93" s="2" t="s">
        <v>38</v>
      </c>
      <c r="T93" s="2" t="s">
        <v>38</v>
      </c>
      <c r="U93" s="2" t="s">
        <v>38</v>
      </c>
      <c r="V93" s="2" t="s">
        <v>38</v>
      </c>
      <c r="W93" s="2" t="s">
        <v>38</v>
      </c>
      <c r="X93" s="2" t="s">
        <v>38</v>
      </c>
      <c r="Y93" s="2" t="s">
        <v>38</v>
      </c>
      <c r="Z93" s="2" t="s">
        <v>38</v>
      </c>
      <c r="AA93" s="2" t="s">
        <v>38</v>
      </c>
      <c r="AB93" s="2" t="s">
        <v>39</v>
      </c>
      <c r="AC93" s="2" t="s">
        <v>38</v>
      </c>
      <c r="AD93" s="2" t="s">
        <v>38</v>
      </c>
      <c r="AE93" s="2" t="s">
        <v>38</v>
      </c>
    </row>
    <row r="94" spans="1:31" ht="409.5">
      <c r="A94" s="2">
        <v>2759757</v>
      </c>
      <c r="B94" s="2">
        <f>HYPERLINK("https://platform.v2.vetology.net/cases/2759757/screening-report/18?type=pdf&amp;v=v6&amp;scorecard=1&amp;secret_key=BX%25IJ%24%2F65ieZ%29f6", 2759757)</f>
        <v>2759757</v>
      </c>
      <c r="C94" s="2">
        <f>HYPERLINK("https://platform.v2.vetology.net/report/v/final/"&amp;2759757, 2759757)</f>
        <v>2759757</v>
      </c>
      <c r="D94" s="2" t="s">
        <v>411</v>
      </c>
      <c r="E94" s="2" t="s">
        <v>412</v>
      </c>
      <c r="F94" s="2" t="s">
        <v>81</v>
      </c>
      <c r="G94" s="2" t="s">
        <v>150</v>
      </c>
      <c r="H94" s="2" t="s">
        <v>413</v>
      </c>
      <c r="I94" s="2" t="s">
        <v>214</v>
      </c>
      <c r="J94" s="2" t="s">
        <v>50</v>
      </c>
      <c r="K94" s="2" t="s">
        <v>38</v>
      </c>
      <c r="L94" s="2" t="s">
        <v>39</v>
      </c>
      <c r="M94" s="2" t="s">
        <v>39</v>
      </c>
      <c r="N94" s="2" t="s">
        <v>38</v>
      </c>
      <c r="O94" s="2" t="s">
        <v>38</v>
      </c>
      <c r="P94" s="2" t="s">
        <v>38</v>
      </c>
      <c r="Q94" s="2" t="s">
        <v>38</v>
      </c>
      <c r="R94" s="2" t="s">
        <v>38</v>
      </c>
      <c r="S94" s="2" t="s">
        <v>38</v>
      </c>
      <c r="T94" s="2" t="s">
        <v>39</v>
      </c>
      <c r="U94" s="2" t="s">
        <v>39</v>
      </c>
      <c r="V94" s="2" t="s">
        <v>39</v>
      </c>
      <c r="W94" s="2" t="s">
        <v>38</v>
      </c>
      <c r="X94" s="2" t="s">
        <v>39</v>
      </c>
      <c r="Y94" s="2" t="s">
        <v>38</v>
      </c>
      <c r="Z94" s="2" t="s">
        <v>38</v>
      </c>
      <c r="AA94" s="2" t="s">
        <v>38</v>
      </c>
      <c r="AB94" s="2" t="s">
        <v>39</v>
      </c>
      <c r="AC94" s="2" t="s">
        <v>38</v>
      </c>
      <c r="AD94" s="2" t="s">
        <v>38</v>
      </c>
      <c r="AE94" s="2" t="s">
        <v>38</v>
      </c>
    </row>
    <row r="95" spans="1:31" ht="409.5">
      <c r="A95" s="2">
        <v>2759369</v>
      </c>
      <c r="B95" s="2">
        <f>HYPERLINK("https://platform.v2.vetology.net/cases/2759369/screening-report/18?type=pdf&amp;v=v6&amp;scorecard=1&amp;secret_key=BX%25IJ%24%2F65ieZ%29f6", 2759369)</f>
        <v>2759369</v>
      </c>
      <c r="C95" s="2">
        <f>HYPERLINK("https://platform.v2.vetology.net/report/v/final/"&amp;2759369, 2759369)</f>
        <v>2759369</v>
      </c>
      <c r="D95" s="2" t="s">
        <v>414</v>
      </c>
      <c r="E95" s="2" t="s">
        <v>415</v>
      </c>
      <c r="F95" s="2" t="s">
        <v>416</v>
      </c>
      <c r="G95" s="2" t="s">
        <v>135</v>
      </c>
      <c r="H95" s="2" t="s">
        <v>417</v>
      </c>
      <c r="I95" s="2" t="s">
        <v>418</v>
      </c>
      <c r="J95" s="2" t="s">
        <v>419</v>
      </c>
      <c r="K95" s="2" t="s">
        <v>38</v>
      </c>
      <c r="L95" s="2" t="s">
        <v>39</v>
      </c>
      <c r="M95" s="2" t="s">
        <v>39</v>
      </c>
      <c r="N95" s="2" t="s">
        <v>38</v>
      </c>
      <c r="O95" s="2" t="s">
        <v>38</v>
      </c>
      <c r="P95" s="2" t="s">
        <v>39</v>
      </c>
      <c r="Q95" s="2" t="s">
        <v>38</v>
      </c>
      <c r="R95" s="2" t="s">
        <v>38</v>
      </c>
      <c r="S95" s="2" t="s">
        <v>39</v>
      </c>
      <c r="T95" s="2" t="s">
        <v>39</v>
      </c>
      <c r="U95" s="2" t="s">
        <v>38</v>
      </c>
      <c r="V95" s="2" t="s">
        <v>39</v>
      </c>
      <c r="W95" s="2" t="s">
        <v>38</v>
      </c>
      <c r="X95" s="2" t="s">
        <v>39</v>
      </c>
      <c r="Y95" s="2" t="s">
        <v>38</v>
      </c>
      <c r="Z95" s="2" t="s">
        <v>38</v>
      </c>
      <c r="AA95" s="2" t="s">
        <v>38</v>
      </c>
      <c r="AB95" s="2" t="s">
        <v>38</v>
      </c>
      <c r="AC95" s="2" t="s">
        <v>38</v>
      </c>
      <c r="AD95" s="2" t="s">
        <v>38</v>
      </c>
      <c r="AE95" s="2" t="s">
        <v>38</v>
      </c>
    </row>
    <row r="96" spans="1:31" ht="409.5">
      <c r="A96" s="2">
        <v>2759140</v>
      </c>
      <c r="B96" s="2">
        <f>HYPERLINK("https://platform.v2.vetology.net/cases/2759140/screening-report/18?type=pdf&amp;v=v6&amp;scorecard=1&amp;secret_key=BX%25IJ%24%2F65ieZ%29f6", 2759140)</f>
        <v>2759140</v>
      </c>
      <c r="C96" s="2">
        <f>HYPERLINK("https://platform.v2.vetology.net/report/v/final/"&amp;2759140, 2759140)</f>
        <v>2759140</v>
      </c>
      <c r="D96" s="2" t="s">
        <v>420</v>
      </c>
      <c r="E96" s="2" t="s">
        <v>421</v>
      </c>
      <c r="F96" s="2" t="s">
        <v>81</v>
      </c>
      <c r="G96" s="2" t="s">
        <v>82</v>
      </c>
      <c r="H96" s="2" t="s">
        <v>136</v>
      </c>
      <c r="I96" s="2" t="s">
        <v>137</v>
      </c>
      <c r="J96" s="2" t="s">
        <v>66</v>
      </c>
      <c r="K96" s="2" t="s">
        <v>38</v>
      </c>
      <c r="L96" s="2" t="s">
        <v>39</v>
      </c>
      <c r="M96" s="2" t="s">
        <v>38</v>
      </c>
      <c r="N96" s="2" t="s">
        <v>38</v>
      </c>
      <c r="O96" s="2" t="s">
        <v>38</v>
      </c>
      <c r="P96" s="2" t="s">
        <v>38</v>
      </c>
      <c r="Q96" s="2" t="s">
        <v>38</v>
      </c>
      <c r="R96" s="2" t="s">
        <v>38</v>
      </c>
      <c r="S96" s="2" t="s">
        <v>38</v>
      </c>
      <c r="T96" s="2" t="s">
        <v>39</v>
      </c>
      <c r="U96" s="2" t="s">
        <v>38</v>
      </c>
      <c r="V96" s="2" t="s">
        <v>38</v>
      </c>
      <c r="W96" s="2" t="s">
        <v>38</v>
      </c>
      <c r="X96" s="2" t="s">
        <v>38</v>
      </c>
      <c r="Y96" s="2" t="s">
        <v>38</v>
      </c>
      <c r="Z96" s="2" t="s">
        <v>38</v>
      </c>
      <c r="AA96" s="2" t="s">
        <v>38</v>
      </c>
      <c r="AB96" s="2" t="s">
        <v>38</v>
      </c>
      <c r="AC96" s="2" t="s">
        <v>38</v>
      </c>
      <c r="AD96" s="2" t="s">
        <v>38</v>
      </c>
      <c r="AE96" s="2" t="s">
        <v>38</v>
      </c>
    </row>
    <row r="97" spans="1:31" ht="409.5">
      <c r="A97" s="2">
        <v>2758923</v>
      </c>
      <c r="B97" s="2">
        <f>HYPERLINK("https://platform.v2.vetology.net/cases/2758923/screening-report/18?type=pdf&amp;v=v6&amp;scorecard=1&amp;secret_key=BX%25IJ%24%2F65ieZ%29f6", 2758923)</f>
        <v>2758923</v>
      </c>
      <c r="C97" s="2">
        <f>HYPERLINK("https://platform.v2.vetology.net/report/v/final/"&amp;2758923, 2758923)</f>
        <v>2758923</v>
      </c>
      <c r="D97" s="2" t="s">
        <v>422</v>
      </c>
      <c r="E97" s="2" t="s">
        <v>423</v>
      </c>
      <c r="F97" s="2"/>
      <c r="G97" s="2" t="s">
        <v>268</v>
      </c>
      <c r="H97" s="2" t="s">
        <v>424</v>
      </c>
      <c r="I97" s="2" t="s">
        <v>346</v>
      </c>
      <c r="J97" s="2" t="s">
        <v>347</v>
      </c>
      <c r="K97" s="2" t="s">
        <v>38</v>
      </c>
      <c r="L97" s="2" t="s">
        <v>39</v>
      </c>
      <c r="M97" s="2" t="s">
        <v>39</v>
      </c>
      <c r="N97" s="2" t="s">
        <v>39</v>
      </c>
      <c r="O97" s="2" t="s">
        <v>39</v>
      </c>
      <c r="P97" s="2" t="s">
        <v>39</v>
      </c>
      <c r="Q97" s="2" t="s">
        <v>39</v>
      </c>
      <c r="R97" s="2" t="s">
        <v>38</v>
      </c>
      <c r="S97" s="2" t="s">
        <v>39</v>
      </c>
      <c r="T97" s="2" t="s">
        <v>39</v>
      </c>
      <c r="U97" s="2" t="s">
        <v>39</v>
      </c>
      <c r="V97" s="2" t="s">
        <v>39</v>
      </c>
      <c r="W97" s="2" t="s">
        <v>38</v>
      </c>
      <c r="X97" s="2" t="s">
        <v>39</v>
      </c>
      <c r="Y97" s="2" t="s">
        <v>38</v>
      </c>
      <c r="Z97" s="2" t="s">
        <v>39</v>
      </c>
      <c r="AA97" s="2" t="s">
        <v>38</v>
      </c>
      <c r="AB97" s="2" t="s">
        <v>39</v>
      </c>
      <c r="AC97" s="2" t="s">
        <v>39</v>
      </c>
      <c r="AD97" s="2" t="s">
        <v>38</v>
      </c>
      <c r="AE97" s="2" t="s">
        <v>38</v>
      </c>
    </row>
    <row r="98" spans="1:31" ht="409.5">
      <c r="A98" s="2">
        <v>2758836</v>
      </c>
      <c r="B98" s="2">
        <f>HYPERLINK("https://platform.v2.vetology.net/cases/2758836/screening-report/18?type=pdf&amp;v=v6&amp;scorecard=1&amp;secret_key=BX%25IJ%24%2F65ieZ%29f6", 2758836)</f>
        <v>2758836</v>
      </c>
      <c r="C98" s="2">
        <f>HYPERLINK("https://platform.v2.vetology.net/report/v/final/"&amp;2758836, 2758836)</f>
        <v>2758836</v>
      </c>
      <c r="D98" s="2" t="s">
        <v>425</v>
      </c>
      <c r="E98" s="2" t="s">
        <v>426</v>
      </c>
      <c r="F98" s="2" t="s">
        <v>427</v>
      </c>
      <c r="G98" s="2" t="s">
        <v>58</v>
      </c>
      <c r="H98" s="2" t="s">
        <v>43</v>
      </c>
      <c r="I98" s="2" t="s">
        <v>44</v>
      </c>
      <c r="J98" s="2" t="s">
        <v>106</v>
      </c>
      <c r="K98" s="2" t="s">
        <v>38</v>
      </c>
      <c r="L98" s="2" t="s">
        <v>39</v>
      </c>
      <c r="M98" s="2" t="s">
        <v>38</v>
      </c>
      <c r="N98" s="2" t="s">
        <v>38</v>
      </c>
      <c r="O98" s="2" t="s">
        <v>38</v>
      </c>
      <c r="P98" s="2" t="s">
        <v>38</v>
      </c>
      <c r="Q98" s="2" t="s">
        <v>38</v>
      </c>
      <c r="R98" s="2" t="s">
        <v>38</v>
      </c>
      <c r="S98" s="2" t="s">
        <v>38</v>
      </c>
      <c r="T98" s="2" t="s">
        <v>38</v>
      </c>
      <c r="U98" s="2" t="s">
        <v>38</v>
      </c>
      <c r="V98" s="2" t="s">
        <v>38</v>
      </c>
      <c r="W98" s="2" t="s">
        <v>38</v>
      </c>
      <c r="X98" s="2" t="s">
        <v>38</v>
      </c>
      <c r="Y98" s="2" t="s">
        <v>38</v>
      </c>
      <c r="Z98" s="2" t="s">
        <v>38</v>
      </c>
      <c r="AA98" s="2" t="s">
        <v>38</v>
      </c>
      <c r="AB98" s="2" t="s">
        <v>38</v>
      </c>
      <c r="AC98" s="2" t="s">
        <v>38</v>
      </c>
      <c r="AD98" s="2" t="s">
        <v>38</v>
      </c>
      <c r="AE98" s="2" t="s">
        <v>38</v>
      </c>
    </row>
    <row r="99" spans="1:31" ht="409.5">
      <c r="A99" s="2">
        <v>2758799</v>
      </c>
      <c r="B99" s="2">
        <f>HYPERLINK("https://platform.v2.vetology.net/cases/2758799/screening-report/18?type=pdf&amp;v=v6&amp;scorecard=1&amp;secret_key=BX%25IJ%24%2F65ieZ%29f6", 2758799)</f>
        <v>2758799</v>
      </c>
      <c r="C99" s="2">
        <f>HYPERLINK("https://platform.v2.vetology.net/report/v/final/"&amp;2758799, 2758799)</f>
        <v>2758799</v>
      </c>
      <c r="D99" s="2" t="s">
        <v>428</v>
      </c>
      <c r="E99" s="2" t="s">
        <v>429</v>
      </c>
      <c r="F99" s="2" t="s">
        <v>81</v>
      </c>
      <c r="G99" s="2" t="s">
        <v>82</v>
      </c>
      <c r="H99" s="2" t="s">
        <v>430</v>
      </c>
      <c r="I99" s="2" t="s">
        <v>89</v>
      </c>
      <c r="J99" s="2" t="s">
        <v>66</v>
      </c>
      <c r="K99" s="2" t="s">
        <v>38</v>
      </c>
      <c r="L99" s="2" t="s">
        <v>39</v>
      </c>
      <c r="M99" s="2" t="s">
        <v>38</v>
      </c>
      <c r="N99" s="2" t="s">
        <v>38</v>
      </c>
      <c r="O99" s="2" t="s">
        <v>38</v>
      </c>
      <c r="P99" s="2" t="s">
        <v>38</v>
      </c>
      <c r="Q99" s="2" t="s">
        <v>38</v>
      </c>
      <c r="R99" s="2" t="s">
        <v>38</v>
      </c>
      <c r="S99" s="2" t="s">
        <v>38</v>
      </c>
      <c r="T99" s="2" t="s">
        <v>38</v>
      </c>
      <c r="U99" s="2" t="s">
        <v>38</v>
      </c>
      <c r="V99" s="2" t="s">
        <v>38</v>
      </c>
      <c r="W99" s="2" t="s">
        <v>38</v>
      </c>
      <c r="X99" s="2" t="s">
        <v>38</v>
      </c>
      <c r="Y99" s="2" t="s">
        <v>38</v>
      </c>
      <c r="Z99" s="2" t="s">
        <v>38</v>
      </c>
      <c r="AA99" s="2" t="s">
        <v>38</v>
      </c>
      <c r="AB99" s="2" t="s">
        <v>38</v>
      </c>
      <c r="AC99" s="2" t="s">
        <v>38</v>
      </c>
      <c r="AD99" s="2" t="s">
        <v>38</v>
      </c>
      <c r="AE99" s="2" t="s">
        <v>39</v>
      </c>
    </row>
    <row r="100" spans="1:31" ht="409.5">
      <c r="A100" s="2">
        <v>2758341</v>
      </c>
      <c r="B100" s="2">
        <f>HYPERLINK("https://platform.v2.vetology.net/cases/2758341/screening-report/18?type=pdf&amp;v=v6&amp;scorecard=1&amp;secret_key=BX%25IJ%24%2F65ieZ%29f6", 2758341)</f>
        <v>2758341</v>
      </c>
      <c r="C100" s="2">
        <f>HYPERLINK("https://platform.v2.vetology.net/report/v/final/"&amp;2758341, 2758341)</f>
        <v>2758341</v>
      </c>
      <c r="D100" s="2" t="s">
        <v>431</v>
      </c>
      <c r="E100" s="2" t="s">
        <v>432</v>
      </c>
      <c r="F100" s="2" t="s">
        <v>433</v>
      </c>
      <c r="G100" s="2" t="s">
        <v>58</v>
      </c>
      <c r="H100" s="2" t="s">
        <v>434</v>
      </c>
      <c r="I100" s="2" t="s">
        <v>435</v>
      </c>
      <c r="J100" s="2" t="s">
        <v>436</v>
      </c>
      <c r="K100" s="2" t="s">
        <v>38</v>
      </c>
      <c r="L100" s="2" t="s">
        <v>39</v>
      </c>
      <c r="M100" s="2" t="s">
        <v>39</v>
      </c>
      <c r="N100" s="2" t="s">
        <v>38</v>
      </c>
      <c r="O100" s="2" t="s">
        <v>39</v>
      </c>
      <c r="P100" s="2" t="s">
        <v>39</v>
      </c>
      <c r="Q100" s="2" t="s">
        <v>38</v>
      </c>
      <c r="R100" s="2" t="s">
        <v>38</v>
      </c>
      <c r="S100" s="2" t="s">
        <v>39</v>
      </c>
      <c r="T100" s="2" t="s">
        <v>39</v>
      </c>
      <c r="U100" s="2" t="s">
        <v>38</v>
      </c>
      <c r="V100" s="2" t="s">
        <v>38</v>
      </c>
      <c r="W100" s="2" t="s">
        <v>38</v>
      </c>
      <c r="X100" s="2" t="s">
        <v>39</v>
      </c>
      <c r="Y100" s="2" t="s">
        <v>38</v>
      </c>
      <c r="Z100" s="2" t="s">
        <v>39</v>
      </c>
      <c r="AA100" s="2" t="s">
        <v>38</v>
      </c>
      <c r="AB100" s="2" t="s">
        <v>39</v>
      </c>
      <c r="AC100" s="2" t="s">
        <v>39</v>
      </c>
      <c r="AD100" s="2" t="s">
        <v>38</v>
      </c>
      <c r="AE100" s="2" t="s">
        <v>39</v>
      </c>
    </row>
    <row r="101" spans="1:31" ht="409.5">
      <c r="A101" s="2">
        <v>2758095</v>
      </c>
      <c r="B101" s="2">
        <f>HYPERLINK("https://platform.v2.vetology.net/cases/2758095/screening-report/18?type=pdf&amp;v=v6&amp;scorecard=1&amp;secret_key=BX%25IJ%24%2F65ieZ%29f6", 2758095)</f>
        <v>2758095</v>
      </c>
      <c r="C101" s="2">
        <f>HYPERLINK("https://platform.v2.vetology.net/report/v/final/"&amp;2758095, 2758095)</f>
        <v>2758095</v>
      </c>
      <c r="D101" s="2" t="s">
        <v>437</v>
      </c>
      <c r="E101" s="2" t="s">
        <v>438</v>
      </c>
      <c r="F101" s="2" t="s">
        <v>439</v>
      </c>
      <c r="G101" s="2" t="s">
        <v>34</v>
      </c>
      <c r="H101" s="2" t="s">
        <v>43</v>
      </c>
      <c r="I101" s="2" t="s">
        <v>44</v>
      </c>
      <c r="J101" s="2"/>
      <c r="K101" s="2" t="s">
        <v>38</v>
      </c>
      <c r="L101" s="2" t="s">
        <v>38</v>
      </c>
      <c r="M101" s="2" t="s">
        <v>38</v>
      </c>
      <c r="N101" s="2" t="s">
        <v>38</v>
      </c>
      <c r="O101" s="2" t="s">
        <v>38</v>
      </c>
      <c r="P101" s="2" t="s">
        <v>38</v>
      </c>
      <c r="Q101" s="2" t="s">
        <v>38</v>
      </c>
      <c r="R101" s="2" t="s">
        <v>38</v>
      </c>
      <c r="S101" s="2" t="s">
        <v>38</v>
      </c>
      <c r="T101" s="2" t="s">
        <v>39</v>
      </c>
      <c r="U101" s="2" t="s">
        <v>38</v>
      </c>
      <c r="V101" s="2" t="s">
        <v>39</v>
      </c>
      <c r="W101" s="2" t="s">
        <v>38</v>
      </c>
      <c r="X101" s="2" t="s">
        <v>39</v>
      </c>
      <c r="Y101" s="2" t="s">
        <v>38</v>
      </c>
      <c r="Z101" s="2" t="s">
        <v>38</v>
      </c>
      <c r="AA101" s="2" t="s">
        <v>38</v>
      </c>
      <c r="AB101" s="2" t="s">
        <v>38</v>
      </c>
      <c r="AC101" s="2" t="s">
        <v>38</v>
      </c>
      <c r="AD101" s="2" t="s">
        <v>38</v>
      </c>
      <c r="AE101" s="2" t="s">
        <v>38</v>
      </c>
    </row>
    <row r="102" spans="1:31" ht="409.5">
      <c r="A102" s="2">
        <v>2758018</v>
      </c>
      <c r="B102" s="2">
        <f>HYPERLINK("https://platform.v2.vetology.net/cases/2758018/screening-report/18?type=pdf&amp;v=v6&amp;scorecard=1&amp;secret_key=BX%25IJ%24%2F65ieZ%29f6", 2758018)</f>
        <v>2758018</v>
      </c>
      <c r="C102" s="2">
        <f>HYPERLINK("https://platform.v2.vetology.net/report/v/final/"&amp;2758018, 2758018)</f>
        <v>2758018</v>
      </c>
      <c r="D102" s="2" t="s">
        <v>440</v>
      </c>
      <c r="E102" s="2" t="s">
        <v>441</v>
      </c>
      <c r="F102" s="2"/>
      <c r="G102" s="2" t="s">
        <v>150</v>
      </c>
      <c r="H102" s="2" t="s">
        <v>442</v>
      </c>
      <c r="I102" s="2" t="s">
        <v>36</v>
      </c>
      <c r="J102" s="2" t="s">
        <v>37</v>
      </c>
      <c r="K102" s="2" t="s">
        <v>38</v>
      </c>
      <c r="L102" s="2" t="s">
        <v>39</v>
      </c>
      <c r="M102" s="2" t="s">
        <v>39</v>
      </c>
      <c r="N102" s="2" t="s">
        <v>38</v>
      </c>
      <c r="O102" s="2" t="s">
        <v>38</v>
      </c>
      <c r="P102" s="2" t="s">
        <v>38</v>
      </c>
      <c r="Q102" s="2" t="s">
        <v>38</v>
      </c>
      <c r="R102" s="2" t="s">
        <v>38</v>
      </c>
      <c r="S102" s="2" t="s">
        <v>38</v>
      </c>
      <c r="T102" s="2" t="s">
        <v>39</v>
      </c>
      <c r="U102" s="2" t="s">
        <v>38</v>
      </c>
      <c r="V102" s="2" t="s">
        <v>39</v>
      </c>
      <c r="W102" s="2" t="s">
        <v>38</v>
      </c>
      <c r="X102" s="2" t="s">
        <v>39</v>
      </c>
      <c r="Y102" s="2" t="s">
        <v>38</v>
      </c>
      <c r="Z102" s="2" t="s">
        <v>38</v>
      </c>
      <c r="AA102" s="2" t="s">
        <v>38</v>
      </c>
      <c r="AB102" s="2" t="s">
        <v>38</v>
      </c>
      <c r="AC102" s="2" t="s">
        <v>38</v>
      </c>
      <c r="AD102" s="2" t="s">
        <v>38</v>
      </c>
      <c r="AE102" s="2" t="s">
        <v>38</v>
      </c>
    </row>
    <row r="103" spans="1:31" ht="409.5">
      <c r="A103" s="2">
        <v>2757910</v>
      </c>
      <c r="B103" s="2">
        <f>HYPERLINK("https://platform.v2.vetology.net/cases/2757910/screening-report/18?type=pdf&amp;v=v6&amp;scorecard=1&amp;secret_key=BX%25IJ%24%2F65ieZ%29f6", 2757910)</f>
        <v>2757910</v>
      </c>
      <c r="C103" s="2">
        <f>HYPERLINK("https://platform.v2.vetology.net/report/v/final/"&amp;2757910, 2757910)</f>
        <v>2757910</v>
      </c>
      <c r="D103" s="2" t="s">
        <v>443</v>
      </c>
      <c r="E103" s="2" t="s">
        <v>444</v>
      </c>
      <c r="F103" s="2" t="s">
        <v>445</v>
      </c>
      <c r="G103" s="2" t="s">
        <v>58</v>
      </c>
      <c r="H103" s="2" t="s">
        <v>446</v>
      </c>
      <c r="I103" s="2" t="s">
        <v>321</v>
      </c>
      <c r="J103" s="2" t="s">
        <v>66</v>
      </c>
      <c r="K103" s="2" t="s">
        <v>38</v>
      </c>
      <c r="L103" s="2" t="s">
        <v>39</v>
      </c>
      <c r="M103" s="2" t="s">
        <v>39</v>
      </c>
      <c r="N103" s="2" t="s">
        <v>39</v>
      </c>
      <c r="O103" s="2" t="s">
        <v>39</v>
      </c>
      <c r="P103" s="2" t="s">
        <v>39</v>
      </c>
      <c r="Q103" s="2" t="s">
        <v>38</v>
      </c>
      <c r="R103" s="2" t="s">
        <v>38</v>
      </c>
      <c r="S103" s="2" t="s">
        <v>39</v>
      </c>
      <c r="T103" s="2" t="s">
        <v>39</v>
      </c>
      <c r="U103" s="2" t="s">
        <v>39</v>
      </c>
      <c r="V103" s="2" t="s">
        <v>39</v>
      </c>
      <c r="W103" s="2" t="s">
        <v>38</v>
      </c>
      <c r="X103" s="2" t="s">
        <v>39</v>
      </c>
      <c r="Y103" s="2" t="s">
        <v>38</v>
      </c>
      <c r="Z103" s="2" t="s">
        <v>39</v>
      </c>
      <c r="AA103" s="2" t="s">
        <v>38</v>
      </c>
      <c r="AB103" s="2" t="s">
        <v>39</v>
      </c>
      <c r="AC103" s="2" t="s">
        <v>39</v>
      </c>
      <c r="AD103" s="2" t="s">
        <v>38</v>
      </c>
      <c r="AE103" s="2" t="s">
        <v>38</v>
      </c>
    </row>
    <row r="104" spans="1:31" ht="409.5">
      <c r="A104" s="2">
        <v>2757565</v>
      </c>
      <c r="B104" s="2">
        <f>HYPERLINK("https://platform.v2.vetology.net/cases/2757565/screening-report/18?type=pdf&amp;v=v6&amp;scorecard=1&amp;secret_key=BX%25IJ%24%2F65ieZ%29f6", 2757565)</f>
        <v>2757565</v>
      </c>
      <c r="C104" s="2">
        <f>HYPERLINK("https://platform.v2.vetology.net/report/v/final/"&amp;2757565, 2757565)</f>
        <v>2757565</v>
      </c>
      <c r="D104" s="2" t="s">
        <v>447</v>
      </c>
      <c r="E104" s="2" t="s">
        <v>448</v>
      </c>
      <c r="F104" s="2" t="s">
        <v>449</v>
      </c>
      <c r="G104" s="2" t="s">
        <v>141</v>
      </c>
      <c r="H104" s="2" t="s">
        <v>54</v>
      </c>
      <c r="I104" s="2" t="s">
        <v>44</v>
      </c>
      <c r="J104" s="2"/>
      <c r="K104" s="2" t="s">
        <v>38</v>
      </c>
      <c r="L104" s="2" t="s">
        <v>38</v>
      </c>
      <c r="M104" s="2" t="s">
        <v>38</v>
      </c>
      <c r="N104" s="2" t="s">
        <v>38</v>
      </c>
      <c r="O104" s="2" t="s">
        <v>38</v>
      </c>
      <c r="P104" s="2" t="s">
        <v>38</v>
      </c>
      <c r="Q104" s="2" t="s">
        <v>38</v>
      </c>
      <c r="R104" s="2" t="s">
        <v>38</v>
      </c>
      <c r="S104" s="2" t="s">
        <v>38</v>
      </c>
      <c r="T104" s="2" t="s">
        <v>39</v>
      </c>
      <c r="U104" s="2" t="s">
        <v>38</v>
      </c>
      <c r="V104" s="2" t="s">
        <v>39</v>
      </c>
      <c r="W104" s="2" t="s">
        <v>38</v>
      </c>
      <c r="X104" s="2" t="s">
        <v>39</v>
      </c>
      <c r="Y104" s="2" t="s">
        <v>38</v>
      </c>
      <c r="Z104" s="2" t="s">
        <v>38</v>
      </c>
      <c r="AA104" s="2" t="s">
        <v>38</v>
      </c>
      <c r="AB104" s="2" t="s">
        <v>38</v>
      </c>
      <c r="AC104" s="2" t="s">
        <v>38</v>
      </c>
      <c r="AD104" s="2" t="s">
        <v>38</v>
      </c>
      <c r="AE104" s="2" t="s">
        <v>38</v>
      </c>
    </row>
    <row r="105" spans="1:31" ht="409.5">
      <c r="A105" s="2">
        <v>2757398</v>
      </c>
      <c r="B105" s="2">
        <f>HYPERLINK("https://platform.v2.vetology.net/cases/2757398/screening-report/18?type=pdf&amp;v=v6&amp;scorecard=1&amp;secret_key=BX%25IJ%24%2F65ieZ%29f6", 2757398)</f>
        <v>2757398</v>
      </c>
      <c r="C105" s="2">
        <f>HYPERLINK("https://platform.v2.vetology.net/report/v/final/"&amp;2757398, 2757398)</f>
        <v>2757398</v>
      </c>
      <c r="D105" s="2" t="s">
        <v>450</v>
      </c>
      <c r="E105" s="2" t="s">
        <v>451</v>
      </c>
      <c r="F105" s="2" t="s">
        <v>452</v>
      </c>
      <c r="G105" s="2" t="s">
        <v>34</v>
      </c>
      <c r="H105" s="2" t="s">
        <v>180</v>
      </c>
      <c r="I105" s="2" t="s">
        <v>124</v>
      </c>
      <c r="J105" s="2" t="s">
        <v>125</v>
      </c>
      <c r="K105" s="2" t="s">
        <v>38</v>
      </c>
      <c r="L105" s="2" t="s">
        <v>38</v>
      </c>
      <c r="M105" s="2" t="s">
        <v>39</v>
      </c>
      <c r="N105" s="2" t="s">
        <v>38</v>
      </c>
      <c r="O105" s="2" t="s">
        <v>38</v>
      </c>
      <c r="P105" s="2" t="s">
        <v>38</v>
      </c>
      <c r="Q105" s="2" t="s">
        <v>38</v>
      </c>
      <c r="R105" s="2" t="s">
        <v>38</v>
      </c>
      <c r="S105" s="2" t="s">
        <v>38</v>
      </c>
      <c r="T105" s="2" t="s">
        <v>39</v>
      </c>
      <c r="U105" s="2" t="s">
        <v>38</v>
      </c>
      <c r="V105" s="2" t="s">
        <v>39</v>
      </c>
      <c r="W105" s="2" t="s">
        <v>38</v>
      </c>
      <c r="X105" s="2" t="s">
        <v>39</v>
      </c>
      <c r="Y105" s="2" t="s">
        <v>38</v>
      </c>
      <c r="Z105" s="2" t="s">
        <v>38</v>
      </c>
      <c r="AA105" s="2" t="s">
        <v>38</v>
      </c>
      <c r="AB105" s="2" t="s">
        <v>39</v>
      </c>
      <c r="AC105" s="2" t="s">
        <v>39</v>
      </c>
      <c r="AD105" s="2" t="s">
        <v>38</v>
      </c>
      <c r="AE105" s="2" t="s">
        <v>38</v>
      </c>
    </row>
    <row r="106" spans="1:31" ht="409.5">
      <c r="A106" s="2">
        <v>2757149</v>
      </c>
      <c r="B106" s="2">
        <f>HYPERLINK("https://platform.v2.vetology.net/cases/2757149/screening-report/18?type=pdf&amp;v=v6&amp;scorecard=1&amp;secret_key=BX%25IJ%24%2F65ieZ%29f6", 2757149)</f>
        <v>2757149</v>
      </c>
      <c r="C106" s="2">
        <f>HYPERLINK("https://platform.v2.vetology.net/report/v/final/"&amp;2757149, 2757149)</f>
        <v>2757149</v>
      </c>
      <c r="D106" s="2" t="s">
        <v>453</v>
      </c>
      <c r="E106" s="2" t="s">
        <v>454</v>
      </c>
      <c r="F106" s="2" t="s">
        <v>455</v>
      </c>
      <c r="G106" s="2" t="s">
        <v>58</v>
      </c>
      <c r="H106" s="2" t="s">
        <v>456</v>
      </c>
      <c r="I106" s="2" t="s">
        <v>284</v>
      </c>
      <c r="J106" s="2" t="s">
        <v>285</v>
      </c>
      <c r="K106" s="2" t="s">
        <v>38</v>
      </c>
      <c r="L106" s="2" t="s">
        <v>38</v>
      </c>
      <c r="M106" s="2" t="s">
        <v>39</v>
      </c>
      <c r="N106" s="2" t="s">
        <v>38</v>
      </c>
      <c r="O106" s="2" t="s">
        <v>38</v>
      </c>
      <c r="P106" s="2" t="s">
        <v>38</v>
      </c>
      <c r="Q106" s="2" t="s">
        <v>38</v>
      </c>
      <c r="R106" s="2" t="s">
        <v>38</v>
      </c>
      <c r="S106" s="2" t="s">
        <v>38</v>
      </c>
      <c r="T106" s="2" t="s">
        <v>39</v>
      </c>
      <c r="U106" s="2" t="s">
        <v>38</v>
      </c>
      <c r="V106" s="2" t="s">
        <v>38</v>
      </c>
      <c r="W106" s="2" t="s">
        <v>38</v>
      </c>
      <c r="X106" s="2" t="s">
        <v>39</v>
      </c>
      <c r="Y106" s="2" t="s">
        <v>38</v>
      </c>
      <c r="Z106" s="2" t="s">
        <v>38</v>
      </c>
      <c r="AA106" s="2" t="s">
        <v>38</v>
      </c>
      <c r="AB106" s="2" t="s">
        <v>38</v>
      </c>
      <c r="AC106" s="2" t="s">
        <v>38</v>
      </c>
      <c r="AD106" s="2" t="s">
        <v>38</v>
      </c>
      <c r="AE106" s="2" t="s">
        <v>38</v>
      </c>
    </row>
    <row r="107" spans="1:31" ht="409.5">
      <c r="A107" s="2">
        <v>2756604</v>
      </c>
      <c r="B107" s="2">
        <f>HYPERLINK("https://platform.v2.vetology.net/cases/2756604/screening-report/18?type=pdf&amp;v=v6&amp;scorecard=1&amp;secret_key=BX%25IJ%24%2F65ieZ%29f6", 2756604)</f>
        <v>2756604</v>
      </c>
      <c r="C107" s="2">
        <f>HYPERLINK("https://platform.v2.vetology.net/report/v/final/"&amp;2756604, 2756604)</f>
        <v>2756604</v>
      </c>
      <c r="D107" s="2" t="s">
        <v>457</v>
      </c>
      <c r="E107" s="2" t="s">
        <v>458</v>
      </c>
      <c r="F107" s="2" t="s">
        <v>81</v>
      </c>
      <c r="G107" s="2" t="s">
        <v>82</v>
      </c>
      <c r="H107" s="2" t="s">
        <v>459</v>
      </c>
      <c r="I107" s="2" t="s">
        <v>460</v>
      </c>
      <c r="J107" s="2" t="s">
        <v>66</v>
      </c>
      <c r="K107" s="2" t="s">
        <v>38</v>
      </c>
      <c r="L107" s="2" t="s">
        <v>38</v>
      </c>
      <c r="M107" s="2" t="s">
        <v>39</v>
      </c>
      <c r="N107" s="2" t="s">
        <v>38</v>
      </c>
      <c r="O107" s="2" t="s">
        <v>38</v>
      </c>
      <c r="P107" s="2" t="s">
        <v>39</v>
      </c>
      <c r="Q107" s="2" t="s">
        <v>38</v>
      </c>
      <c r="R107" s="2" t="s">
        <v>38</v>
      </c>
      <c r="S107" s="2" t="s">
        <v>39</v>
      </c>
      <c r="T107" s="2" t="s">
        <v>38</v>
      </c>
      <c r="U107" s="2" t="s">
        <v>38</v>
      </c>
      <c r="V107" s="2" t="s">
        <v>38</v>
      </c>
      <c r="W107" s="2" t="s">
        <v>38</v>
      </c>
      <c r="X107" s="2" t="s">
        <v>38</v>
      </c>
      <c r="Y107" s="2" t="s">
        <v>38</v>
      </c>
      <c r="Z107" s="2" t="s">
        <v>38</v>
      </c>
      <c r="AA107" s="2" t="s">
        <v>38</v>
      </c>
      <c r="AB107" s="2" t="s">
        <v>39</v>
      </c>
      <c r="AC107" s="2" t="s">
        <v>39</v>
      </c>
      <c r="AD107" s="2" t="s">
        <v>38</v>
      </c>
      <c r="AE107" s="2" t="s">
        <v>38</v>
      </c>
    </row>
    <row r="108" spans="1:31" ht="409.5">
      <c r="A108" s="2">
        <v>2756536</v>
      </c>
      <c r="B108" s="2">
        <f>HYPERLINK("https://platform.v2.vetology.net/cases/2756536/screening-report/18?type=pdf&amp;v=v6&amp;scorecard=1&amp;secret_key=BX%25IJ%24%2F65ieZ%29f6", 2756536)</f>
        <v>2756536</v>
      </c>
      <c r="C108" s="2">
        <f>HYPERLINK("https://platform.v2.vetology.net/report/v/final/"&amp;2756536, 2756536)</f>
        <v>2756536</v>
      </c>
      <c r="D108" s="2" t="s">
        <v>461</v>
      </c>
      <c r="E108" s="2" t="s">
        <v>462</v>
      </c>
      <c r="F108" s="2" t="s">
        <v>463</v>
      </c>
      <c r="G108" s="2" t="s">
        <v>464</v>
      </c>
      <c r="H108" s="2" t="s">
        <v>54</v>
      </c>
      <c r="I108" s="2" t="s">
        <v>44</v>
      </c>
      <c r="J108" s="2"/>
      <c r="K108" s="2" t="s">
        <v>38</v>
      </c>
      <c r="L108" s="2" t="s">
        <v>39</v>
      </c>
      <c r="M108" s="2" t="s">
        <v>39</v>
      </c>
      <c r="N108" s="2" t="s">
        <v>38</v>
      </c>
      <c r="O108" s="2" t="s">
        <v>38</v>
      </c>
      <c r="P108" s="2" t="s">
        <v>39</v>
      </c>
      <c r="Q108" s="2" t="s">
        <v>38</v>
      </c>
      <c r="R108" s="2" t="s">
        <v>38</v>
      </c>
      <c r="S108" s="2" t="s">
        <v>38</v>
      </c>
      <c r="T108" s="2" t="s">
        <v>38</v>
      </c>
      <c r="U108" s="2" t="s">
        <v>38</v>
      </c>
      <c r="V108" s="2" t="s">
        <v>38</v>
      </c>
      <c r="W108" s="2" t="s">
        <v>38</v>
      </c>
      <c r="X108" s="2" t="s">
        <v>38</v>
      </c>
      <c r="Y108" s="2" t="s">
        <v>38</v>
      </c>
      <c r="Z108" s="2" t="s">
        <v>38</v>
      </c>
      <c r="AA108" s="2" t="s">
        <v>38</v>
      </c>
      <c r="AB108" s="2" t="s">
        <v>39</v>
      </c>
      <c r="AC108" s="2" t="s">
        <v>39</v>
      </c>
      <c r="AD108" s="2" t="s">
        <v>38</v>
      </c>
      <c r="AE108" s="2" t="s">
        <v>38</v>
      </c>
    </row>
    <row r="109" spans="1:31" ht="409.5">
      <c r="A109" s="2">
        <v>2756505</v>
      </c>
      <c r="B109" s="2">
        <f>HYPERLINK("https://platform.v2.vetology.net/cases/2756505/screening-report/18?type=pdf&amp;v=v6&amp;scorecard=1&amp;secret_key=BX%25IJ%24%2F65ieZ%29f6", 2756505)</f>
        <v>2756505</v>
      </c>
      <c r="C109" s="2">
        <f>HYPERLINK("https://platform.v2.vetology.net/report/v/final/"&amp;2756505, 2756505)</f>
        <v>2756505</v>
      </c>
      <c r="D109" s="2" t="s">
        <v>465</v>
      </c>
      <c r="E109" s="2" t="s">
        <v>466</v>
      </c>
      <c r="F109" s="2" t="s">
        <v>467</v>
      </c>
      <c r="G109" s="2" t="s">
        <v>150</v>
      </c>
      <c r="H109" s="2" t="s">
        <v>468</v>
      </c>
      <c r="I109" s="2" t="s">
        <v>245</v>
      </c>
      <c r="J109" s="2" t="s">
        <v>246</v>
      </c>
      <c r="K109" s="2" t="s">
        <v>38</v>
      </c>
      <c r="L109" s="2" t="s">
        <v>39</v>
      </c>
      <c r="M109" s="2" t="s">
        <v>39</v>
      </c>
      <c r="N109" s="2" t="s">
        <v>39</v>
      </c>
      <c r="O109" s="2" t="s">
        <v>38</v>
      </c>
      <c r="P109" s="2" t="s">
        <v>38</v>
      </c>
      <c r="Q109" s="2" t="s">
        <v>38</v>
      </c>
      <c r="R109" s="2" t="s">
        <v>38</v>
      </c>
      <c r="S109" s="2" t="s">
        <v>39</v>
      </c>
      <c r="T109" s="2" t="s">
        <v>39</v>
      </c>
      <c r="U109" s="2" t="s">
        <v>38</v>
      </c>
      <c r="V109" s="2" t="s">
        <v>39</v>
      </c>
      <c r="W109" s="2" t="s">
        <v>38</v>
      </c>
      <c r="X109" s="2" t="s">
        <v>39</v>
      </c>
      <c r="Y109" s="2" t="s">
        <v>38</v>
      </c>
      <c r="Z109" s="2" t="s">
        <v>38</v>
      </c>
      <c r="AA109" s="2" t="s">
        <v>38</v>
      </c>
      <c r="AB109" s="2" t="s">
        <v>39</v>
      </c>
      <c r="AC109" s="2" t="s">
        <v>39</v>
      </c>
      <c r="AD109" s="2" t="s">
        <v>38</v>
      </c>
      <c r="AE109" s="2" t="s">
        <v>38</v>
      </c>
    </row>
    <row r="110" spans="1:31" ht="409.5">
      <c r="A110" s="2">
        <v>2756277</v>
      </c>
      <c r="B110" s="2">
        <f>HYPERLINK("https://platform.v2.vetology.net/cases/2756277/screening-report/18?type=pdf&amp;v=v6&amp;scorecard=1&amp;secret_key=BX%25IJ%24%2F65ieZ%29f6", 2756277)</f>
        <v>2756277</v>
      </c>
      <c r="C110" s="2">
        <f>HYPERLINK("https://platform.v2.vetology.net/report/v/final/"&amp;2756277, 2756277)</f>
        <v>2756277</v>
      </c>
      <c r="D110" s="2" t="s">
        <v>469</v>
      </c>
      <c r="E110" s="2" t="s">
        <v>470</v>
      </c>
      <c r="F110" s="2" t="s">
        <v>81</v>
      </c>
      <c r="G110" s="2" t="s">
        <v>268</v>
      </c>
      <c r="H110" s="2" t="s">
        <v>471</v>
      </c>
      <c r="I110" s="2" t="s">
        <v>158</v>
      </c>
      <c r="J110" s="2" t="s">
        <v>50</v>
      </c>
      <c r="K110" s="2" t="s">
        <v>38</v>
      </c>
      <c r="L110" s="2" t="s">
        <v>38</v>
      </c>
      <c r="M110" s="2" t="s">
        <v>38</v>
      </c>
      <c r="N110" s="2" t="s">
        <v>38</v>
      </c>
      <c r="O110" s="2" t="s">
        <v>38</v>
      </c>
      <c r="P110" s="2" t="s">
        <v>39</v>
      </c>
      <c r="Q110" s="2" t="s">
        <v>38</v>
      </c>
      <c r="R110" s="2" t="s">
        <v>38</v>
      </c>
      <c r="S110" s="2" t="s">
        <v>38</v>
      </c>
      <c r="T110" s="2" t="s">
        <v>38</v>
      </c>
      <c r="U110" s="2" t="s">
        <v>38</v>
      </c>
      <c r="V110" s="2" t="s">
        <v>38</v>
      </c>
      <c r="W110" s="2" t="s">
        <v>38</v>
      </c>
      <c r="X110" s="2" t="s">
        <v>38</v>
      </c>
      <c r="Y110" s="2" t="s">
        <v>38</v>
      </c>
      <c r="Z110" s="2" t="s">
        <v>38</v>
      </c>
      <c r="AA110" s="2" t="s">
        <v>38</v>
      </c>
      <c r="AB110" s="2" t="s">
        <v>39</v>
      </c>
      <c r="AC110" s="2" t="s">
        <v>39</v>
      </c>
      <c r="AD110" s="2" t="s">
        <v>38</v>
      </c>
      <c r="AE110" s="2" t="s">
        <v>38</v>
      </c>
    </row>
    <row r="111" spans="1:31" ht="409.5">
      <c r="A111" s="2">
        <v>2756266</v>
      </c>
      <c r="B111" s="2">
        <f>HYPERLINK("https://platform.v2.vetology.net/cases/2756266/screening-report/18?type=pdf&amp;v=v6&amp;scorecard=1&amp;secret_key=BX%25IJ%24%2F65ieZ%29f6", 2756266)</f>
        <v>2756266</v>
      </c>
      <c r="C111" s="2">
        <f>HYPERLINK("https://platform.v2.vetology.net/report/v/final/"&amp;2756266, 2756266)</f>
        <v>2756266</v>
      </c>
      <c r="D111" s="2" t="s">
        <v>472</v>
      </c>
      <c r="E111" s="2" t="s">
        <v>473</v>
      </c>
      <c r="F111" s="2" t="s">
        <v>81</v>
      </c>
      <c r="G111" s="2" t="s">
        <v>150</v>
      </c>
      <c r="H111" s="2" t="s">
        <v>105</v>
      </c>
      <c r="I111" s="2" t="s">
        <v>44</v>
      </c>
      <c r="J111" s="2" t="s">
        <v>106</v>
      </c>
      <c r="K111" s="2" t="s">
        <v>38</v>
      </c>
      <c r="L111" s="2" t="s">
        <v>39</v>
      </c>
      <c r="M111" s="2" t="s">
        <v>39</v>
      </c>
      <c r="N111" s="2" t="s">
        <v>38</v>
      </c>
      <c r="O111" s="2" t="s">
        <v>38</v>
      </c>
      <c r="P111" s="2" t="s">
        <v>38</v>
      </c>
      <c r="Q111" s="2" t="s">
        <v>38</v>
      </c>
      <c r="R111" s="2" t="s">
        <v>38</v>
      </c>
      <c r="S111" s="2" t="s">
        <v>38</v>
      </c>
      <c r="T111" s="2" t="s">
        <v>38</v>
      </c>
      <c r="U111" s="2" t="s">
        <v>38</v>
      </c>
      <c r="V111" s="2" t="s">
        <v>38</v>
      </c>
      <c r="W111" s="2" t="s">
        <v>38</v>
      </c>
      <c r="X111" s="2" t="s">
        <v>38</v>
      </c>
      <c r="Y111" s="2" t="s">
        <v>38</v>
      </c>
      <c r="Z111" s="2" t="s">
        <v>38</v>
      </c>
      <c r="AA111" s="2" t="s">
        <v>38</v>
      </c>
      <c r="AB111" s="2" t="s">
        <v>38</v>
      </c>
      <c r="AC111" s="2" t="s">
        <v>39</v>
      </c>
      <c r="AD111" s="2" t="s">
        <v>38</v>
      </c>
      <c r="AE111" s="2" t="s">
        <v>38</v>
      </c>
    </row>
    <row r="112" spans="1:31" ht="409.5">
      <c r="A112" s="2">
        <v>2756090</v>
      </c>
      <c r="B112" s="2">
        <f>HYPERLINK("https://platform.v2.vetology.net/cases/2756090/screening-report/18?type=pdf&amp;v=v6&amp;scorecard=1&amp;secret_key=BX%25IJ%24%2F65ieZ%29f6", 2756090)</f>
        <v>2756090</v>
      </c>
      <c r="C112" s="2">
        <f>HYPERLINK("https://platform.v2.vetology.net/report/v/final/"&amp;2756090, 2756090)</f>
        <v>2756090</v>
      </c>
      <c r="D112" s="2" t="s">
        <v>474</v>
      </c>
      <c r="E112" s="2" t="s">
        <v>475</v>
      </c>
      <c r="F112" s="2" t="s">
        <v>476</v>
      </c>
      <c r="G112" s="2" t="s">
        <v>135</v>
      </c>
      <c r="H112" s="2" t="s">
        <v>477</v>
      </c>
      <c r="I112" s="2" t="s">
        <v>478</v>
      </c>
      <c r="J112" s="2" t="s">
        <v>479</v>
      </c>
      <c r="K112" s="2" t="s">
        <v>38</v>
      </c>
      <c r="L112" s="2" t="s">
        <v>39</v>
      </c>
      <c r="M112" s="2" t="s">
        <v>39</v>
      </c>
      <c r="N112" s="2" t="s">
        <v>38</v>
      </c>
      <c r="O112" s="2" t="s">
        <v>39</v>
      </c>
      <c r="P112" s="2" t="s">
        <v>39</v>
      </c>
      <c r="Q112" s="2" t="s">
        <v>38</v>
      </c>
      <c r="R112" s="2" t="s">
        <v>38</v>
      </c>
      <c r="S112" s="2" t="s">
        <v>39</v>
      </c>
      <c r="T112" s="2" t="s">
        <v>39</v>
      </c>
      <c r="U112" s="2" t="s">
        <v>38</v>
      </c>
      <c r="V112" s="2" t="s">
        <v>38</v>
      </c>
      <c r="W112" s="2" t="s">
        <v>38</v>
      </c>
      <c r="X112" s="2" t="s">
        <v>39</v>
      </c>
      <c r="Y112" s="2" t="s">
        <v>39</v>
      </c>
      <c r="Z112" s="2" t="s">
        <v>39</v>
      </c>
      <c r="AA112" s="2" t="s">
        <v>39</v>
      </c>
      <c r="AB112" s="2" t="s">
        <v>39</v>
      </c>
      <c r="AC112" s="2" t="s">
        <v>39</v>
      </c>
      <c r="AD112" s="2" t="s">
        <v>38</v>
      </c>
      <c r="AE112" s="2" t="s">
        <v>39</v>
      </c>
    </row>
    <row r="113" spans="1:31" ht="409.5">
      <c r="A113" s="2">
        <v>2755551</v>
      </c>
      <c r="B113" s="2">
        <f>HYPERLINK("https://platform.v2.vetology.net/cases/2755551/screening-report/18?type=pdf&amp;v=v6&amp;scorecard=1&amp;secret_key=BX%25IJ%24%2F65ieZ%29f6", 2755551)</f>
        <v>2755551</v>
      </c>
      <c r="C113" s="2">
        <f>HYPERLINK("https://platform.v2.vetology.net/report/v/final/"&amp;2755551, 2755551)</f>
        <v>2755551</v>
      </c>
      <c r="D113" s="2" t="s">
        <v>480</v>
      </c>
      <c r="E113" s="2" t="s">
        <v>481</v>
      </c>
      <c r="F113" s="2" t="s">
        <v>482</v>
      </c>
      <c r="G113" s="2" t="s">
        <v>34</v>
      </c>
      <c r="H113" s="2" t="s">
        <v>54</v>
      </c>
      <c r="I113" s="2" t="s">
        <v>44</v>
      </c>
      <c r="J113" s="2"/>
      <c r="K113" s="2" t="s">
        <v>38</v>
      </c>
      <c r="L113" s="2" t="s">
        <v>39</v>
      </c>
      <c r="M113" s="2" t="s">
        <v>38</v>
      </c>
      <c r="N113" s="2" t="s">
        <v>38</v>
      </c>
      <c r="O113" s="2" t="s">
        <v>38</v>
      </c>
      <c r="P113" s="2" t="s">
        <v>38</v>
      </c>
      <c r="Q113" s="2" t="s">
        <v>38</v>
      </c>
      <c r="R113" s="2" t="s">
        <v>38</v>
      </c>
      <c r="S113" s="2" t="s">
        <v>38</v>
      </c>
      <c r="T113" s="2" t="s">
        <v>39</v>
      </c>
      <c r="U113" s="2" t="s">
        <v>38</v>
      </c>
      <c r="V113" s="2" t="s">
        <v>38</v>
      </c>
      <c r="W113" s="2" t="s">
        <v>38</v>
      </c>
      <c r="X113" s="2" t="s">
        <v>39</v>
      </c>
      <c r="Y113" s="2" t="s">
        <v>38</v>
      </c>
      <c r="Z113" s="2" t="s">
        <v>38</v>
      </c>
      <c r="AA113" s="2" t="s">
        <v>38</v>
      </c>
      <c r="AB113" s="2" t="s">
        <v>38</v>
      </c>
      <c r="AC113" s="2" t="s">
        <v>38</v>
      </c>
      <c r="AD113" s="2" t="s">
        <v>38</v>
      </c>
      <c r="AE113" s="2" t="s">
        <v>38</v>
      </c>
    </row>
    <row r="114" spans="1:31" ht="409.5">
      <c r="A114" s="2">
        <v>2755223</v>
      </c>
      <c r="B114" s="2">
        <f>HYPERLINK("https://platform.v2.vetology.net/cases/2755223/screening-report/18?type=pdf&amp;v=v6&amp;scorecard=1&amp;secret_key=BX%25IJ%24%2F65ieZ%29f6", 2755223)</f>
        <v>2755223</v>
      </c>
      <c r="C114" s="2">
        <f>HYPERLINK("https://platform.v2.vetology.net/report/v/final/"&amp;2755223, 2755223)</f>
        <v>2755223</v>
      </c>
      <c r="D114" s="2" t="s">
        <v>483</v>
      </c>
      <c r="E114" s="2" t="s">
        <v>484</v>
      </c>
      <c r="F114" s="2" t="s">
        <v>485</v>
      </c>
      <c r="G114" s="2" t="s">
        <v>58</v>
      </c>
      <c r="H114" s="2" t="s">
        <v>43</v>
      </c>
      <c r="I114" s="2" t="s">
        <v>44</v>
      </c>
      <c r="J114" s="2" t="s">
        <v>106</v>
      </c>
      <c r="K114" s="2" t="s">
        <v>38</v>
      </c>
      <c r="L114" s="2" t="s">
        <v>38</v>
      </c>
      <c r="M114" s="2" t="s">
        <v>39</v>
      </c>
      <c r="N114" s="2" t="s">
        <v>38</v>
      </c>
      <c r="O114" s="2" t="s">
        <v>38</v>
      </c>
      <c r="P114" s="2" t="s">
        <v>38</v>
      </c>
      <c r="Q114" s="2" t="s">
        <v>38</v>
      </c>
      <c r="R114" s="2" t="s">
        <v>38</v>
      </c>
      <c r="S114" s="2" t="s">
        <v>38</v>
      </c>
      <c r="T114" s="2" t="s">
        <v>39</v>
      </c>
      <c r="U114" s="2" t="s">
        <v>38</v>
      </c>
      <c r="V114" s="2" t="s">
        <v>38</v>
      </c>
      <c r="W114" s="2" t="s">
        <v>38</v>
      </c>
      <c r="X114" s="2" t="s">
        <v>39</v>
      </c>
      <c r="Y114" s="2" t="s">
        <v>38</v>
      </c>
      <c r="Z114" s="2" t="s">
        <v>39</v>
      </c>
      <c r="AA114" s="2" t="s">
        <v>38</v>
      </c>
      <c r="AB114" s="2" t="s">
        <v>38</v>
      </c>
      <c r="AC114" s="2" t="s">
        <v>38</v>
      </c>
      <c r="AD114" s="2" t="s">
        <v>38</v>
      </c>
      <c r="AE114" s="2" t="s">
        <v>38</v>
      </c>
    </row>
    <row r="115" spans="1:31" ht="409.5">
      <c r="A115" s="2">
        <v>2755220</v>
      </c>
      <c r="B115" s="2">
        <f>HYPERLINK("https://platform.v2.vetology.net/cases/2755220/screening-report/18?type=pdf&amp;v=v6&amp;scorecard=1&amp;secret_key=BX%25IJ%24%2F65ieZ%29f6", 2755220)</f>
        <v>2755220</v>
      </c>
      <c r="C115" s="2">
        <f>HYPERLINK("https://platform.v2.vetology.net/report/v/final/"&amp;2755220, 2755220)</f>
        <v>2755220</v>
      </c>
      <c r="D115" s="2" t="s">
        <v>486</v>
      </c>
      <c r="E115" s="2" t="s">
        <v>487</v>
      </c>
      <c r="F115" s="2" t="s">
        <v>81</v>
      </c>
      <c r="G115" s="2" t="s">
        <v>268</v>
      </c>
      <c r="H115" s="2" t="s">
        <v>488</v>
      </c>
      <c r="I115" s="2" t="s">
        <v>89</v>
      </c>
      <c r="J115" s="2" t="s">
        <v>66</v>
      </c>
      <c r="K115" s="2" t="s">
        <v>38</v>
      </c>
      <c r="L115" s="2" t="s">
        <v>39</v>
      </c>
      <c r="M115" s="2" t="s">
        <v>38</v>
      </c>
      <c r="N115" s="2" t="s">
        <v>38</v>
      </c>
      <c r="O115" s="2" t="s">
        <v>38</v>
      </c>
      <c r="P115" s="2" t="s">
        <v>39</v>
      </c>
      <c r="Q115" s="2" t="s">
        <v>38</v>
      </c>
      <c r="R115" s="2" t="s">
        <v>38</v>
      </c>
      <c r="S115" s="2" t="s">
        <v>38</v>
      </c>
      <c r="T115" s="2" t="s">
        <v>38</v>
      </c>
      <c r="U115" s="2" t="s">
        <v>38</v>
      </c>
      <c r="V115" s="2" t="s">
        <v>38</v>
      </c>
      <c r="W115" s="2" t="s">
        <v>38</v>
      </c>
      <c r="X115" s="2" t="s">
        <v>38</v>
      </c>
      <c r="Y115" s="2" t="s">
        <v>38</v>
      </c>
      <c r="Z115" s="2" t="s">
        <v>38</v>
      </c>
      <c r="AA115" s="2" t="s">
        <v>38</v>
      </c>
      <c r="AB115" s="2" t="s">
        <v>38</v>
      </c>
      <c r="AC115" s="2" t="s">
        <v>38</v>
      </c>
      <c r="AD115" s="2" t="s">
        <v>38</v>
      </c>
      <c r="AE115" s="2" t="s">
        <v>39</v>
      </c>
    </row>
    <row r="116" spans="1:31" ht="409.5">
      <c r="A116" s="2">
        <v>2755071</v>
      </c>
      <c r="B116" s="2">
        <f>HYPERLINK("https://platform.v2.vetology.net/cases/2755071/screening-report/18?type=pdf&amp;v=v6&amp;scorecard=1&amp;secret_key=BX%25IJ%24%2F65ieZ%29f6", 2755071)</f>
        <v>2755071</v>
      </c>
      <c r="C116" s="2">
        <f>HYPERLINK("https://platform.v2.vetology.net/report/v/final/"&amp;2755071, 2755071)</f>
        <v>2755071</v>
      </c>
      <c r="D116" s="2" t="s">
        <v>489</v>
      </c>
      <c r="E116" s="2" t="s">
        <v>490</v>
      </c>
      <c r="F116" s="2" t="s">
        <v>491</v>
      </c>
      <c r="G116" s="2" t="s">
        <v>58</v>
      </c>
      <c r="H116" s="2" t="s">
        <v>78</v>
      </c>
      <c r="I116" s="2" t="s">
        <v>44</v>
      </c>
      <c r="J116" s="2" t="s">
        <v>106</v>
      </c>
      <c r="K116" s="2" t="s">
        <v>38</v>
      </c>
      <c r="L116" s="2" t="s">
        <v>38</v>
      </c>
      <c r="M116" s="2" t="s">
        <v>38</v>
      </c>
      <c r="N116" s="2" t="s">
        <v>38</v>
      </c>
      <c r="O116" s="2" t="s">
        <v>38</v>
      </c>
      <c r="P116" s="2" t="s">
        <v>38</v>
      </c>
      <c r="Q116" s="2" t="s">
        <v>38</v>
      </c>
      <c r="R116" s="2" t="s">
        <v>38</v>
      </c>
      <c r="S116" s="2" t="s">
        <v>38</v>
      </c>
      <c r="T116" s="2" t="s">
        <v>39</v>
      </c>
      <c r="U116" s="2" t="s">
        <v>38</v>
      </c>
      <c r="V116" s="2" t="s">
        <v>39</v>
      </c>
      <c r="W116" s="2" t="s">
        <v>38</v>
      </c>
      <c r="X116" s="2" t="s">
        <v>39</v>
      </c>
      <c r="Y116" s="2" t="s">
        <v>38</v>
      </c>
      <c r="Z116" s="2" t="s">
        <v>38</v>
      </c>
      <c r="AA116" s="2" t="s">
        <v>38</v>
      </c>
      <c r="AB116" s="2" t="s">
        <v>38</v>
      </c>
      <c r="AC116" s="2" t="s">
        <v>38</v>
      </c>
      <c r="AD116" s="2" t="s">
        <v>38</v>
      </c>
      <c r="AE116" s="2" t="s">
        <v>39</v>
      </c>
    </row>
    <row r="117" spans="1:31" ht="409.5">
      <c r="A117" s="2">
        <v>2755057</v>
      </c>
      <c r="B117" s="2">
        <f>HYPERLINK("https://platform.v2.vetology.net/cases/2755057/screening-report/18?type=pdf&amp;v=v6&amp;scorecard=1&amp;secret_key=BX%25IJ%24%2F65ieZ%29f6", 2755057)</f>
        <v>2755057</v>
      </c>
      <c r="C117" s="2">
        <f>HYPERLINK("https://platform.v2.vetology.net/report/v/final/"&amp;2755057, 2755057)</f>
        <v>2755057</v>
      </c>
      <c r="D117" s="2" t="s">
        <v>492</v>
      </c>
      <c r="E117" s="2" t="s">
        <v>493</v>
      </c>
      <c r="F117" s="2" t="s">
        <v>81</v>
      </c>
      <c r="G117" s="2" t="s">
        <v>268</v>
      </c>
      <c r="H117" s="2" t="s">
        <v>328</v>
      </c>
      <c r="I117" s="2" t="s">
        <v>227</v>
      </c>
      <c r="J117" s="2" t="s">
        <v>228</v>
      </c>
      <c r="K117" s="2" t="s">
        <v>38</v>
      </c>
      <c r="L117" s="2" t="s">
        <v>39</v>
      </c>
      <c r="M117" s="2" t="s">
        <v>39</v>
      </c>
      <c r="N117" s="2" t="s">
        <v>39</v>
      </c>
      <c r="O117" s="2" t="s">
        <v>38</v>
      </c>
      <c r="P117" s="2" t="s">
        <v>39</v>
      </c>
      <c r="Q117" s="2" t="s">
        <v>38</v>
      </c>
      <c r="R117" s="2" t="s">
        <v>38</v>
      </c>
      <c r="S117" s="2" t="s">
        <v>39</v>
      </c>
      <c r="T117" s="2" t="s">
        <v>38</v>
      </c>
      <c r="U117" s="2" t="s">
        <v>38</v>
      </c>
      <c r="V117" s="2" t="s">
        <v>38</v>
      </c>
      <c r="W117" s="2" t="s">
        <v>38</v>
      </c>
      <c r="X117" s="2" t="s">
        <v>39</v>
      </c>
      <c r="Y117" s="2" t="s">
        <v>38</v>
      </c>
      <c r="Z117" s="2" t="s">
        <v>39</v>
      </c>
      <c r="AA117" s="2" t="s">
        <v>38</v>
      </c>
      <c r="AB117" s="2" t="s">
        <v>39</v>
      </c>
      <c r="AC117" s="2" t="s">
        <v>39</v>
      </c>
      <c r="AD117" s="2" t="s">
        <v>38</v>
      </c>
      <c r="AE117" s="2" t="s">
        <v>39</v>
      </c>
    </row>
    <row r="118" spans="1:31" ht="409.5">
      <c r="A118" s="2">
        <v>2755031</v>
      </c>
      <c r="B118" s="2">
        <f>HYPERLINK("https://platform.v2.vetology.net/cases/2755031/screening-report/18?type=pdf&amp;v=v6&amp;scorecard=1&amp;secret_key=BX%25IJ%24%2F65ieZ%29f6", 2755031)</f>
        <v>2755031</v>
      </c>
      <c r="C118" s="2">
        <f>HYPERLINK("https://platform.v2.vetology.net/report/v/final/"&amp;2755031, 2755031)</f>
        <v>2755031</v>
      </c>
      <c r="D118" s="2" t="s">
        <v>494</v>
      </c>
      <c r="E118" s="2" t="s">
        <v>495</v>
      </c>
      <c r="F118" s="2" t="s">
        <v>496</v>
      </c>
      <c r="G118" s="2" t="s">
        <v>58</v>
      </c>
      <c r="H118" s="2" t="s">
        <v>497</v>
      </c>
      <c r="I118" s="2" t="s">
        <v>137</v>
      </c>
      <c r="J118" s="2" t="s">
        <v>66</v>
      </c>
      <c r="K118" s="2" t="s">
        <v>38</v>
      </c>
      <c r="L118" s="2" t="s">
        <v>38</v>
      </c>
      <c r="M118" s="2" t="s">
        <v>39</v>
      </c>
      <c r="N118" s="2" t="s">
        <v>38</v>
      </c>
      <c r="O118" s="2" t="s">
        <v>38</v>
      </c>
      <c r="P118" s="2" t="s">
        <v>38</v>
      </c>
      <c r="Q118" s="2" t="s">
        <v>38</v>
      </c>
      <c r="R118" s="2" t="s">
        <v>38</v>
      </c>
      <c r="S118" s="2" t="s">
        <v>38</v>
      </c>
      <c r="T118" s="2" t="s">
        <v>39</v>
      </c>
      <c r="U118" s="2" t="s">
        <v>38</v>
      </c>
      <c r="V118" s="2" t="s">
        <v>38</v>
      </c>
      <c r="W118" s="2" t="s">
        <v>38</v>
      </c>
      <c r="X118" s="2" t="s">
        <v>38</v>
      </c>
      <c r="Y118" s="2" t="s">
        <v>38</v>
      </c>
      <c r="Z118" s="2" t="s">
        <v>38</v>
      </c>
      <c r="AA118" s="2" t="s">
        <v>38</v>
      </c>
      <c r="AB118" s="2" t="s">
        <v>39</v>
      </c>
      <c r="AC118" s="2" t="s">
        <v>38</v>
      </c>
      <c r="AD118" s="2" t="s">
        <v>38</v>
      </c>
      <c r="AE118" s="2" t="s">
        <v>39</v>
      </c>
    </row>
    <row r="119" spans="1:31" ht="409.5">
      <c r="A119" s="2">
        <v>2754925</v>
      </c>
      <c r="B119" s="2">
        <f>HYPERLINK("https://platform.v2.vetology.net/cases/2754925/screening-report/18?type=pdf&amp;v=v6&amp;scorecard=1&amp;secret_key=BX%25IJ%24%2F65ieZ%29f6", 2754925)</f>
        <v>2754925</v>
      </c>
      <c r="C119" s="2">
        <f>HYPERLINK("https://platform.v2.vetology.net/report/v/final/"&amp;2754925, 2754925)</f>
        <v>2754925</v>
      </c>
      <c r="D119" s="2" t="s">
        <v>498</v>
      </c>
      <c r="E119" s="2" t="s">
        <v>499</v>
      </c>
      <c r="F119" s="2"/>
      <c r="G119" s="2" t="s">
        <v>141</v>
      </c>
      <c r="H119" s="2" t="s">
        <v>71</v>
      </c>
      <c r="I119" s="2" t="s">
        <v>44</v>
      </c>
      <c r="J119" s="2"/>
      <c r="K119" s="2" t="s">
        <v>38</v>
      </c>
      <c r="L119" s="2" t="s">
        <v>39</v>
      </c>
      <c r="M119" s="2" t="s">
        <v>39</v>
      </c>
      <c r="N119" s="2" t="s">
        <v>38</v>
      </c>
      <c r="O119" s="2" t="s">
        <v>38</v>
      </c>
      <c r="P119" s="2" t="s">
        <v>38</v>
      </c>
      <c r="Q119" s="2" t="s">
        <v>38</v>
      </c>
      <c r="R119" s="2" t="s">
        <v>38</v>
      </c>
      <c r="S119" s="2" t="s">
        <v>39</v>
      </c>
      <c r="T119" s="2" t="s">
        <v>39</v>
      </c>
      <c r="U119" s="2" t="s">
        <v>38</v>
      </c>
      <c r="V119" s="2" t="s">
        <v>39</v>
      </c>
      <c r="W119" s="2" t="s">
        <v>38</v>
      </c>
      <c r="X119" s="2" t="s">
        <v>39</v>
      </c>
      <c r="Y119" s="2" t="s">
        <v>38</v>
      </c>
      <c r="Z119" s="2" t="s">
        <v>39</v>
      </c>
      <c r="AA119" s="2" t="s">
        <v>38</v>
      </c>
      <c r="AB119" s="2" t="s">
        <v>39</v>
      </c>
      <c r="AC119" s="2" t="s">
        <v>39</v>
      </c>
      <c r="AD119" s="2" t="s">
        <v>38</v>
      </c>
      <c r="AE119" s="2" t="s">
        <v>38</v>
      </c>
    </row>
    <row r="120" spans="1:31" ht="409.5">
      <c r="A120" s="2">
        <v>2754682</v>
      </c>
      <c r="B120" s="2">
        <f>HYPERLINK("https://platform.v2.vetology.net/cases/2754682/screening-report/18?type=pdf&amp;v=v6&amp;scorecard=1&amp;secret_key=BX%25IJ%24%2F65ieZ%29f6", 2754682)</f>
        <v>2754682</v>
      </c>
      <c r="C120" s="2">
        <f>HYPERLINK("https://platform.v2.vetology.net/report/v/final/"&amp;2754682, 2754682)</f>
        <v>2754682</v>
      </c>
      <c r="D120" s="2" t="s">
        <v>500</v>
      </c>
      <c r="E120" s="2" t="s">
        <v>501</v>
      </c>
      <c r="F120" s="2"/>
      <c r="G120" s="2" t="s">
        <v>141</v>
      </c>
      <c r="H120" s="2" t="s">
        <v>502</v>
      </c>
      <c r="I120" s="2" t="s">
        <v>503</v>
      </c>
      <c r="J120" s="2" t="s">
        <v>66</v>
      </c>
      <c r="K120" s="2" t="s">
        <v>39</v>
      </c>
      <c r="L120" s="2" t="s">
        <v>39</v>
      </c>
      <c r="M120" s="2" t="s">
        <v>39</v>
      </c>
      <c r="N120" s="2" t="s">
        <v>39</v>
      </c>
      <c r="O120" s="2" t="s">
        <v>38</v>
      </c>
      <c r="P120" s="2" t="s">
        <v>38</v>
      </c>
      <c r="Q120" s="2" t="s">
        <v>38</v>
      </c>
      <c r="R120" s="2" t="s">
        <v>38</v>
      </c>
      <c r="S120" s="2" t="s">
        <v>39</v>
      </c>
      <c r="T120" s="2" t="s">
        <v>38</v>
      </c>
      <c r="U120" s="2" t="s">
        <v>39</v>
      </c>
      <c r="V120" s="2" t="s">
        <v>38</v>
      </c>
      <c r="W120" s="2" t="s">
        <v>38</v>
      </c>
      <c r="X120" s="2" t="s">
        <v>38</v>
      </c>
      <c r="Y120" s="2" t="s">
        <v>38</v>
      </c>
      <c r="Z120" s="2" t="s">
        <v>39</v>
      </c>
      <c r="AA120" s="2" t="s">
        <v>38</v>
      </c>
      <c r="AB120" s="2" t="s">
        <v>39</v>
      </c>
      <c r="AC120" s="2" t="s">
        <v>39</v>
      </c>
      <c r="AD120" s="2" t="s">
        <v>38</v>
      </c>
      <c r="AE120" s="2" t="s">
        <v>38</v>
      </c>
    </row>
    <row r="121" spans="1:31" ht="409.5">
      <c r="A121" s="2">
        <v>2754396</v>
      </c>
      <c r="B121" s="2">
        <f>HYPERLINK("https://platform.v2.vetology.net/cases/2754396/screening-report/18?type=pdf&amp;v=v6&amp;scorecard=1&amp;secret_key=BX%25IJ%24%2F65ieZ%29f6", 2754396)</f>
        <v>2754396</v>
      </c>
      <c r="C121" s="2">
        <f>HYPERLINK("https://platform.v2.vetology.net/report/v/final/"&amp;2754396, 2754396)</f>
        <v>2754396</v>
      </c>
      <c r="D121" s="2" t="s">
        <v>504</v>
      </c>
      <c r="E121" s="2" t="s">
        <v>505</v>
      </c>
      <c r="F121" s="2" t="s">
        <v>506</v>
      </c>
      <c r="G121" s="2" t="s">
        <v>268</v>
      </c>
      <c r="H121" s="2" t="s">
        <v>54</v>
      </c>
      <c r="I121" s="2" t="s">
        <v>44</v>
      </c>
      <c r="J121" s="2"/>
      <c r="K121" s="2" t="s">
        <v>38</v>
      </c>
      <c r="L121" s="2" t="s">
        <v>39</v>
      </c>
      <c r="M121" s="2" t="s">
        <v>38</v>
      </c>
      <c r="N121" s="2" t="s">
        <v>38</v>
      </c>
      <c r="O121" s="2" t="s">
        <v>38</v>
      </c>
      <c r="P121" s="2" t="s">
        <v>39</v>
      </c>
      <c r="Q121" s="2" t="s">
        <v>38</v>
      </c>
      <c r="R121" s="2" t="s">
        <v>38</v>
      </c>
      <c r="S121" s="2" t="s">
        <v>38</v>
      </c>
      <c r="T121" s="2" t="s">
        <v>39</v>
      </c>
      <c r="U121" s="2" t="s">
        <v>38</v>
      </c>
      <c r="V121" s="2" t="s">
        <v>38</v>
      </c>
      <c r="W121" s="2" t="s">
        <v>38</v>
      </c>
      <c r="X121" s="2" t="s">
        <v>39</v>
      </c>
      <c r="Y121" s="2" t="s">
        <v>38</v>
      </c>
      <c r="Z121" s="2" t="s">
        <v>38</v>
      </c>
      <c r="AA121" s="2" t="s">
        <v>38</v>
      </c>
      <c r="AB121" s="2" t="s">
        <v>38</v>
      </c>
      <c r="AC121" s="2" t="s">
        <v>38</v>
      </c>
      <c r="AD121" s="2" t="s">
        <v>38</v>
      </c>
      <c r="AE121" s="2" t="s">
        <v>38</v>
      </c>
    </row>
    <row r="122" spans="1:31" ht="409.5">
      <c r="A122" s="2">
        <v>2753813</v>
      </c>
      <c r="B122" s="2">
        <f>HYPERLINK("https://platform.v2.vetology.net/cases/2753813/screening-report/18?type=pdf&amp;v=v6&amp;scorecard=1&amp;secret_key=BX%25IJ%24%2F65ieZ%29f6", 2753813)</f>
        <v>2753813</v>
      </c>
      <c r="C122" s="2">
        <f>HYPERLINK("https://platform.v2.vetology.net/report/v/final/"&amp;2753813, 2753813)</f>
        <v>2753813</v>
      </c>
      <c r="D122" s="2" t="s">
        <v>507</v>
      </c>
      <c r="E122" s="2" t="s">
        <v>508</v>
      </c>
      <c r="F122" s="2" t="s">
        <v>81</v>
      </c>
      <c r="G122" s="2" t="s">
        <v>150</v>
      </c>
      <c r="H122" s="2" t="s">
        <v>509</v>
      </c>
      <c r="I122" s="2" t="s">
        <v>36</v>
      </c>
      <c r="J122" s="2" t="s">
        <v>37</v>
      </c>
      <c r="K122" s="2" t="s">
        <v>38</v>
      </c>
      <c r="L122" s="2" t="s">
        <v>39</v>
      </c>
      <c r="M122" s="2" t="s">
        <v>38</v>
      </c>
      <c r="N122" s="2" t="s">
        <v>38</v>
      </c>
      <c r="O122" s="2" t="s">
        <v>38</v>
      </c>
      <c r="P122" s="2" t="s">
        <v>38</v>
      </c>
      <c r="Q122" s="2" t="s">
        <v>39</v>
      </c>
      <c r="R122" s="2" t="s">
        <v>38</v>
      </c>
      <c r="S122" s="2" t="s">
        <v>38</v>
      </c>
      <c r="T122" s="2" t="s">
        <v>38</v>
      </c>
      <c r="U122" s="2" t="s">
        <v>38</v>
      </c>
      <c r="V122" s="2" t="s">
        <v>38</v>
      </c>
      <c r="W122" s="2" t="s">
        <v>38</v>
      </c>
      <c r="X122" s="2" t="s">
        <v>38</v>
      </c>
      <c r="Y122" s="2" t="s">
        <v>38</v>
      </c>
      <c r="Z122" s="2" t="s">
        <v>38</v>
      </c>
      <c r="AA122" s="2" t="s">
        <v>38</v>
      </c>
      <c r="AB122" s="2" t="s">
        <v>38</v>
      </c>
      <c r="AC122" s="2" t="s">
        <v>38</v>
      </c>
      <c r="AD122" s="2" t="s">
        <v>38</v>
      </c>
      <c r="AE122" s="2" t="s">
        <v>38</v>
      </c>
    </row>
    <row r="123" spans="1:31" ht="409.5">
      <c r="A123" s="2">
        <v>2753720</v>
      </c>
      <c r="B123" s="2">
        <f>HYPERLINK("https://platform.v2.vetology.net/cases/2753720/screening-report/18?type=pdf&amp;v=v6&amp;scorecard=1&amp;secret_key=BX%25IJ%24%2F65ieZ%29f6", 2753720)</f>
        <v>2753720</v>
      </c>
      <c r="C123" s="2">
        <f>HYPERLINK("https://platform.v2.vetology.net/report/v/final/"&amp;2753720, 2753720)</f>
        <v>2753720</v>
      </c>
      <c r="D123" s="2" t="s">
        <v>510</v>
      </c>
      <c r="E123" s="2" t="s">
        <v>511</v>
      </c>
      <c r="F123" s="2" t="s">
        <v>512</v>
      </c>
      <c r="G123" s="2" t="s">
        <v>58</v>
      </c>
      <c r="H123" s="2" t="s">
        <v>157</v>
      </c>
      <c r="I123" s="2" t="s">
        <v>158</v>
      </c>
      <c r="J123" s="2" t="s">
        <v>50</v>
      </c>
      <c r="K123" s="2" t="s">
        <v>38</v>
      </c>
      <c r="L123" s="2" t="s">
        <v>38</v>
      </c>
      <c r="M123" s="2" t="s">
        <v>38</v>
      </c>
      <c r="N123" s="2" t="s">
        <v>38</v>
      </c>
      <c r="O123" s="2" t="s">
        <v>38</v>
      </c>
      <c r="P123" s="2" t="s">
        <v>38</v>
      </c>
      <c r="Q123" s="2" t="s">
        <v>38</v>
      </c>
      <c r="R123" s="2" t="s">
        <v>38</v>
      </c>
      <c r="S123" s="2" t="s">
        <v>38</v>
      </c>
      <c r="T123" s="2" t="s">
        <v>38</v>
      </c>
      <c r="U123" s="2" t="s">
        <v>38</v>
      </c>
      <c r="V123" s="2" t="s">
        <v>38</v>
      </c>
      <c r="W123" s="2" t="s">
        <v>38</v>
      </c>
      <c r="X123" s="2" t="s">
        <v>38</v>
      </c>
      <c r="Y123" s="2" t="s">
        <v>38</v>
      </c>
      <c r="Z123" s="2" t="s">
        <v>38</v>
      </c>
      <c r="AA123" s="2" t="s">
        <v>38</v>
      </c>
      <c r="AB123" s="2" t="s">
        <v>38</v>
      </c>
      <c r="AC123" s="2" t="s">
        <v>38</v>
      </c>
      <c r="AD123" s="2" t="s">
        <v>38</v>
      </c>
      <c r="AE123" s="2" t="s">
        <v>38</v>
      </c>
    </row>
    <row r="124" spans="1:31" ht="409.5">
      <c r="A124" s="2">
        <v>2753699</v>
      </c>
      <c r="B124" s="2">
        <f>HYPERLINK("https://platform.v2.vetology.net/cases/2753699/screening-report/18?type=pdf&amp;v=v6&amp;scorecard=1&amp;secret_key=BX%25IJ%24%2F65ieZ%29f6", 2753699)</f>
        <v>2753699</v>
      </c>
      <c r="C124" s="2">
        <f>HYPERLINK("https://platform.v2.vetology.net/report/v/final/"&amp;2753699, 2753699)</f>
        <v>2753699</v>
      </c>
      <c r="D124" s="2" t="s">
        <v>513</v>
      </c>
      <c r="E124" s="2" t="s">
        <v>514</v>
      </c>
      <c r="F124" s="2" t="s">
        <v>515</v>
      </c>
      <c r="G124" s="2" t="s">
        <v>268</v>
      </c>
      <c r="H124" s="2" t="s">
        <v>516</v>
      </c>
      <c r="I124" s="2" t="s">
        <v>517</v>
      </c>
      <c r="J124" s="2" t="s">
        <v>518</v>
      </c>
      <c r="K124" s="2" t="s">
        <v>38</v>
      </c>
      <c r="L124" s="2" t="s">
        <v>39</v>
      </c>
      <c r="M124" s="2" t="s">
        <v>39</v>
      </c>
      <c r="N124" s="2" t="s">
        <v>39</v>
      </c>
      <c r="O124" s="2" t="s">
        <v>39</v>
      </c>
      <c r="P124" s="2" t="s">
        <v>39</v>
      </c>
      <c r="Q124" s="2" t="s">
        <v>39</v>
      </c>
      <c r="R124" s="2" t="s">
        <v>38</v>
      </c>
      <c r="S124" s="2" t="s">
        <v>39</v>
      </c>
      <c r="T124" s="2" t="s">
        <v>39</v>
      </c>
      <c r="U124" s="2" t="s">
        <v>38</v>
      </c>
      <c r="V124" s="2" t="s">
        <v>39</v>
      </c>
      <c r="W124" s="2" t="s">
        <v>38</v>
      </c>
      <c r="X124" s="2" t="s">
        <v>39</v>
      </c>
      <c r="Y124" s="2" t="s">
        <v>39</v>
      </c>
      <c r="Z124" s="2" t="s">
        <v>39</v>
      </c>
      <c r="AA124" s="2" t="s">
        <v>38</v>
      </c>
      <c r="AB124" s="2" t="s">
        <v>39</v>
      </c>
      <c r="AC124" s="2" t="s">
        <v>39</v>
      </c>
      <c r="AD124" s="2" t="s">
        <v>38</v>
      </c>
      <c r="AE124" s="2" t="s">
        <v>39</v>
      </c>
    </row>
    <row r="125" spans="1:31" ht="409.5">
      <c r="A125" s="2">
        <v>2753595</v>
      </c>
      <c r="B125" s="2">
        <f>HYPERLINK("https://platform.v2.vetology.net/cases/2753595/screening-report/18?type=pdf&amp;v=v6&amp;scorecard=1&amp;secret_key=BX%25IJ%24%2F65ieZ%29f6", 2753595)</f>
        <v>2753595</v>
      </c>
      <c r="C125" s="2">
        <f>HYPERLINK("https://platform.v2.vetology.net/report/v/final/"&amp;2753595, 2753595)</f>
        <v>2753595</v>
      </c>
      <c r="D125" s="2" t="s">
        <v>519</v>
      </c>
      <c r="E125" s="2" t="s">
        <v>520</v>
      </c>
      <c r="F125" s="2" t="s">
        <v>81</v>
      </c>
      <c r="G125" s="2" t="s">
        <v>82</v>
      </c>
      <c r="H125" s="2" t="s">
        <v>54</v>
      </c>
      <c r="I125" s="2" t="s">
        <v>44</v>
      </c>
      <c r="J125" s="2" t="s">
        <v>106</v>
      </c>
      <c r="K125" s="2" t="s">
        <v>38</v>
      </c>
      <c r="L125" s="2" t="s">
        <v>38</v>
      </c>
      <c r="M125" s="2" t="s">
        <v>39</v>
      </c>
      <c r="N125" s="2" t="s">
        <v>38</v>
      </c>
      <c r="O125" s="2" t="s">
        <v>38</v>
      </c>
      <c r="P125" s="2" t="s">
        <v>38</v>
      </c>
      <c r="Q125" s="2" t="s">
        <v>38</v>
      </c>
      <c r="R125" s="2" t="s">
        <v>38</v>
      </c>
      <c r="S125" s="2" t="s">
        <v>38</v>
      </c>
      <c r="T125" s="2" t="s">
        <v>39</v>
      </c>
      <c r="U125" s="2" t="s">
        <v>38</v>
      </c>
      <c r="V125" s="2" t="s">
        <v>38</v>
      </c>
      <c r="W125" s="2" t="s">
        <v>38</v>
      </c>
      <c r="X125" s="2" t="s">
        <v>39</v>
      </c>
      <c r="Y125" s="2" t="s">
        <v>38</v>
      </c>
      <c r="Z125" s="2" t="s">
        <v>38</v>
      </c>
      <c r="AA125" s="2" t="s">
        <v>38</v>
      </c>
      <c r="AB125" s="2" t="s">
        <v>38</v>
      </c>
      <c r="AC125" s="2" t="s">
        <v>38</v>
      </c>
      <c r="AD125" s="2" t="s">
        <v>38</v>
      </c>
      <c r="AE125" s="2" t="s">
        <v>39</v>
      </c>
    </row>
    <row r="126" spans="1:31" ht="409.5">
      <c r="A126" s="2">
        <v>2752902</v>
      </c>
      <c r="B126" s="2">
        <f>HYPERLINK("https://platform.v2.vetology.net/cases/2752902/screening-report/18?type=pdf&amp;v=v6&amp;scorecard=1&amp;secret_key=BX%25IJ%24%2F65ieZ%29f6", 2752902)</f>
        <v>2752902</v>
      </c>
      <c r="C126" s="2">
        <f>HYPERLINK("https://platform.v2.vetology.net/report/v/final/"&amp;2752902, 2752902)</f>
        <v>2752902</v>
      </c>
      <c r="D126" s="2" t="s">
        <v>521</v>
      </c>
      <c r="E126" s="2" t="s">
        <v>522</v>
      </c>
      <c r="F126" s="2" t="s">
        <v>523</v>
      </c>
      <c r="G126" s="2" t="s">
        <v>141</v>
      </c>
      <c r="H126" s="2" t="s">
        <v>43</v>
      </c>
      <c r="I126" s="2" t="s">
        <v>44</v>
      </c>
      <c r="J126" s="2"/>
      <c r="K126" s="2" t="s">
        <v>38</v>
      </c>
      <c r="L126" s="2" t="s">
        <v>38</v>
      </c>
      <c r="M126" s="2" t="s">
        <v>38</v>
      </c>
      <c r="N126" s="2" t="s">
        <v>38</v>
      </c>
      <c r="O126" s="2" t="s">
        <v>38</v>
      </c>
      <c r="P126" s="2" t="s">
        <v>38</v>
      </c>
      <c r="Q126" s="2" t="s">
        <v>38</v>
      </c>
      <c r="R126" s="2" t="s">
        <v>38</v>
      </c>
      <c r="S126" s="2" t="s">
        <v>38</v>
      </c>
      <c r="T126" s="2" t="s">
        <v>39</v>
      </c>
      <c r="U126" s="2" t="s">
        <v>38</v>
      </c>
      <c r="V126" s="2" t="s">
        <v>38</v>
      </c>
      <c r="W126" s="2" t="s">
        <v>38</v>
      </c>
      <c r="X126" s="2" t="s">
        <v>38</v>
      </c>
      <c r="Y126" s="2" t="s">
        <v>38</v>
      </c>
      <c r="Z126" s="2" t="s">
        <v>38</v>
      </c>
      <c r="AA126" s="2" t="s">
        <v>38</v>
      </c>
      <c r="AB126" s="2" t="s">
        <v>38</v>
      </c>
      <c r="AC126" s="2" t="s">
        <v>38</v>
      </c>
      <c r="AD126" s="2" t="s">
        <v>38</v>
      </c>
      <c r="AE126" s="2" t="s">
        <v>38</v>
      </c>
    </row>
    <row r="127" spans="1:31" ht="409.5">
      <c r="A127" s="2">
        <v>2752817</v>
      </c>
      <c r="B127" s="2">
        <f>HYPERLINK("https://platform.v2.vetology.net/cases/2752817/screening-report/18?type=pdf&amp;v=v6&amp;scorecard=1&amp;secret_key=BX%25IJ%24%2F65ieZ%29f6", 2752817)</f>
        <v>2752817</v>
      </c>
      <c r="C127" s="2">
        <f>HYPERLINK("https://platform.v2.vetology.net/report/v/final/"&amp;2752817, 2752817)</f>
        <v>2752817</v>
      </c>
      <c r="D127" s="2" t="s">
        <v>524</v>
      </c>
      <c r="E127" s="2" t="s">
        <v>525</v>
      </c>
      <c r="F127" s="2" t="s">
        <v>81</v>
      </c>
      <c r="G127" s="2" t="s">
        <v>150</v>
      </c>
      <c r="H127" s="2" t="s">
        <v>283</v>
      </c>
      <c r="I127" s="2" t="s">
        <v>284</v>
      </c>
      <c r="J127" s="2" t="s">
        <v>285</v>
      </c>
      <c r="K127" s="2" t="s">
        <v>38</v>
      </c>
      <c r="L127" s="2" t="s">
        <v>38</v>
      </c>
      <c r="M127" s="2" t="s">
        <v>38</v>
      </c>
      <c r="N127" s="2" t="s">
        <v>38</v>
      </c>
      <c r="O127" s="2" t="s">
        <v>38</v>
      </c>
      <c r="P127" s="2" t="s">
        <v>38</v>
      </c>
      <c r="Q127" s="2" t="s">
        <v>38</v>
      </c>
      <c r="R127" s="2" t="s">
        <v>38</v>
      </c>
      <c r="S127" s="2" t="s">
        <v>38</v>
      </c>
      <c r="T127" s="2" t="s">
        <v>38</v>
      </c>
      <c r="U127" s="2" t="s">
        <v>38</v>
      </c>
      <c r="V127" s="2" t="s">
        <v>38</v>
      </c>
      <c r="W127" s="2" t="s">
        <v>38</v>
      </c>
      <c r="X127" s="2" t="s">
        <v>38</v>
      </c>
      <c r="Y127" s="2" t="s">
        <v>38</v>
      </c>
      <c r="Z127" s="2" t="s">
        <v>38</v>
      </c>
      <c r="AA127" s="2" t="s">
        <v>38</v>
      </c>
      <c r="AB127" s="2" t="s">
        <v>38</v>
      </c>
      <c r="AC127" s="2" t="s">
        <v>38</v>
      </c>
      <c r="AD127" s="2" t="s">
        <v>38</v>
      </c>
      <c r="AE127" s="2" t="s">
        <v>38</v>
      </c>
    </row>
    <row r="128" spans="1:31" ht="409.5">
      <c r="A128" s="2">
        <v>2752691</v>
      </c>
      <c r="B128" s="2">
        <f>HYPERLINK("https://platform.v2.vetology.net/cases/2752691/screening-report/18?type=pdf&amp;v=v6&amp;scorecard=1&amp;secret_key=BX%25IJ%24%2F65ieZ%29f6", 2752691)</f>
        <v>2752691</v>
      </c>
      <c r="C128" s="2">
        <f>HYPERLINK("https://platform.v2.vetology.net/report/v/final/"&amp;2752691, 2752691)</f>
        <v>2752691</v>
      </c>
      <c r="D128" s="2" t="s">
        <v>526</v>
      </c>
      <c r="E128" s="2" t="s">
        <v>527</v>
      </c>
      <c r="F128" s="2" t="s">
        <v>528</v>
      </c>
      <c r="G128" s="2" t="s">
        <v>58</v>
      </c>
      <c r="H128" s="2" t="s">
        <v>88</v>
      </c>
      <c r="I128" s="2" t="s">
        <v>89</v>
      </c>
      <c r="J128" s="2" t="s">
        <v>66</v>
      </c>
      <c r="K128" s="2" t="s">
        <v>38</v>
      </c>
      <c r="L128" s="2" t="s">
        <v>38</v>
      </c>
      <c r="M128" s="2" t="s">
        <v>38</v>
      </c>
      <c r="N128" s="2" t="s">
        <v>38</v>
      </c>
      <c r="O128" s="2" t="s">
        <v>38</v>
      </c>
      <c r="P128" s="2" t="s">
        <v>38</v>
      </c>
      <c r="Q128" s="2" t="s">
        <v>39</v>
      </c>
      <c r="R128" s="2" t="s">
        <v>38</v>
      </c>
      <c r="S128" s="2" t="s">
        <v>38</v>
      </c>
      <c r="T128" s="2" t="s">
        <v>38</v>
      </c>
      <c r="U128" s="2" t="s">
        <v>39</v>
      </c>
      <c r="V128" s="2" t="s">
        <v>38</v>
      </c>
      <c r="W128" s="2" t="s">
        <v>38</v>
      </c>
      <c r="X128" s="2" t="s">
        <v>38</v>
      </c>
      <c r="Y128" s="2" t="s">
        <v>38</v>
      </c>
      <c r="Z128" s="2" t="s">
        <v>38</v>
      </c>
      <c r="AA128" s="2" t="s">
        <v>38</v>
      </c>
      <c r="AB128" s="2" t="s">
        <v>39</v>
      </c>
      <c r="AC128" s="2" t="s">
        <v>39</v>
      </c>
      <c r="AD128" s="2" t="s">
        <v>38</v>
      </c>
      <c r="AE128" s="2" t="s">
        <v>39</v>
      </c>
    </row>
    <row r="129" spans="1:31" ht="409.5">
      <c r="A129" s="2">
        <v>2752652</v>
      </c>
      <c r="B129" s="2">
        <f>HYPERLINK("https://platform.v2.vetology.net/cases/2752652/screening-report/18?type=pdf&amp;v=v6&amp;scorecard=1&amp;secret_key=BX%25IJ%24%2F65ieZ%29f6", 2752652)</f>
        <v>2752652</v>
      </c>
      <c r="C129" s="2">
        <f>HYPERLINK("https://platform.v2.vetology.net/report/v/final/"&amp;2752652, 2752652)</f>
        <v>2752652</v>
      </c>
      <c r="D129" s="2" t="s">
        <v>529</v>
      </c>
      <c r="E129" s="2" t="s">
        <v>530</v>
      </c>
      <c r="F129" s="2" t="s">
        <v>455</v>
      </c>
      <c r="G129" s="2" t="s">
        <v>58</v>
      </c>
      <c r="H129" s="2" t="s">
        <v>71</v>
      </c>
      <c r="I129" s="2" t="s">
        <v>44</v>
      </c>
      <c r="J129" s="2"/>
      <c r="K129" s="2" t="s">
        <v>38</v>
      </c>
      <c r="L129" s="2" t="s">
        <v>38</v>
      </c>
      <c r="M129" s="2" t="s">
        <v>38</v>
      </c>
      <c r="N129" s="2" t="s">
        <v>38</v>
      </c>
      <c r="O129" s="2" t="s">
        <v>38</v>
      </c>
      <c r="P129" s="2" t="s">
        <v>38</v>
      </c>
      <c r="Q129" s="2" t="s">
        <v>38</v>
      </c>
      <c r="R129" s="2" t="s">
        <v>38</v>
      </c>
      <c r="S129" s="2" t="s">
        <v>38</v>
      </c>
      <c r="T129" s="2" t="s">
        <v>38</v>
      </c>
      <c r="U129" s="2" t="s">
        <v>38</v>
      </c>
      <c r="V129" s="2" t="s">
        <v>38</v>
      </c>
      <c r="W129" s="2" t="s">
        <v>38</v>
      </c>
      <c r="X129" s="2" t="s">
        <v>38</v>
      </c>
      <c r="Y129" s="2" t="s">
        <v>38</v>
      </c>
      <c r="Z129" s="2" t="s">
        <v>38</v>
      </c>
      <c r="AA129" s="2" t="s">
        <v>38</v>
      </c>
      <c r="AB129" s="2" t="s">
        <v>38</v>
      </c>
      <c r="AC129" s="2" t="s">
        <v>38</v>
      </c>
      <c r="AD129" s="2" t="s">
        <v>38</v>
      </c>
      <c r="AE129" s="2" t="s">
        <v>38</v>
      </c>
    </row>
    <row r="130" spans="1:31" ht="409.5">
      <c r="A130" s="2">
        <v>2751729</v>
      </c>
      <c r="B130" s="2">
        <f>HYPERLINK("https://platform.v2.vetology.net/cases/2751729/screening-report/18?type=pdf&amp;v=v6&amp;scorecard=1&amp;secret_key=BX%25IJ%24%2F65ieZ%29f6", 2751729)</f>
        <v>2751729</v>
      </c>
      <c r="C130" s="2">
        <f>HYPERLINK("https://platform.v2.vetology.net/report/v/final/"&amp;2751729, 2751729)</f>
        <v>2751729</v>
      </c>
      <c r="D130" s="2" t="s">
        <v>531</v>
      </c>
      <c r="E130" s="2" t="s">
        <v>532</v>
      </c>
      <c r="F130" s="2" t="s">
        <v>533</v>
      </c>
      <c r="G130" s="2" t="s">
        <v>58</v>
      </c>
      <c r="H130" s="2" t="s">
        <v>129</v>
      </c>
      <c r="I130" s="2" t="s">
        <v>44</v>
      </c>
      <c r="J130" s="2"/>
      <c r="K130" s="2" t="s">
        <v>38</v>
      </c>
      <c r="L130" s="2" t="s">
        <v>39</v>
      </c>
      <c r="M130" s="2" t="s">
        <v>38</v>
      </c>
      <c r="N130" s="2" t="s">
        <v>38</v>
      </c>
      <c r="O130" s="2" t="s">
        <v>38</v>
      </c>
      <c r="P130" s="2" t="s">
        <v>39</v>
      </c>
      <c r="Q130" s="2" t="s">
        <v>38</v>
      </c>
      <c r="R130" s="2" t="s">
        <v>38</v>
      </c>
      <c r="S130" s="2" t="s">
        <v>38</v>
      </c>
      <c r="T130" s="2" t="s">
        <v>38</v>
      </c>
      <c r="U130" s="2" t="s">
        <v>38</v>
      </c>
      <c r="V130" s="2" t="s">
        <v>38</v>
      </c>
      <c r="W130" s="2" t="s">
        <v>38</v>
      </c>
      <c r="X130" s="2" t="s">
        <v>38</v>
      </c>
      <c r="Y130" s="2" t="s">
        <v>38</v>
      </c>
      <c r="Z130" s="2" t="s">
        <v>38</v>
      </c>
      <c r="AA130" s="2" t="s">
        <v>38</v>
      </c>
      <c r="AB130" s="2" t="s">
        <v>38</v>
      </c>
      <c r="AC130" s="2" t="s">
        <v>38</v>
      </c>
      <c r="AD130" s="2" t="s">
        <v>38</v>
      </c>
      <c r="AE130" s="2" t="s">
        <v>38</v>
      </c>
    </row>
    <row r="131" spans="1:31" ht="409.5">
      <c r="A131" s="2">
        <v>2751611</v>
      </c>
      <c r="B131" s="2">
        <f>HYPERLINK("https://platform.v2.vetology.net/cases/2751611/screening-report/18?type=pdf&amp;v=v6&amp;scorecard=1&amp;secret_key=BX%25IJ%24%2F65ieZ%29f6", 2751611)</f>
        <v>2751611</v>
      </c>
      <c r="C131" s="2">
        <f>HYPERLINK("https://platform.v2.vetology.net/report/v/final/"&amp;2751611, 2751611)</f>
        <v>2751611</v>
      </c>
      <c r="D131" s="2" t="s">
        <v>534</v>
      </c>
      <c r="E131" s="2" t="s">
        <v>535</v>
      </c>
      <c r="F131" s="2" t="s">
        <v>81</v>
      </c>
      <c r="G131" s="2" t="s">
        <v>82</v>
      </c>
      <c r="H131" s="2" t="s">
        <v>54</v>
      </c>
      <c r="I131" s="2" t="s">
        <v>44</v>
      </c>
      <c r="J131" s="2"/>
      <c r="K131" s="2" t="s">
        <v>38</v>
      </c>
      <c r="L131" s="2" t="s">
        <v>39</v>
      </c>
      <c r="M131" s="2" t="s">
        <v>38</v>
      </c>
      <c r="N131" s="2" t="s">
        <v>38</v>
      </c>
      <c r="O131" s="2" t="s">
        <v>38</v>
      </c>
      <c r="P131" s="2" t="s">
        <v>38</v>
      </c>
      <c r="Q131" s="2" t="s">
        <v>38</v>
      </c>
      <c r="R131" s="2" t="s">
        <v>38</v>
      </c>
      <c r="S131" s="2" t="s">
        <v>39</v>
      </c>
      <c r="T131" s="2" t="s">
        <v>39</v>
      </c>
      <c r="U131" s="2" t="s">
        <v>39</v>
      </c>
      <c r="V131" s="2" t="s">
        <v>38</v>
      </c>
      <c r="W131" s="2" t="s">
        <v>38</v>
      </c>
      <c r="X131" s="2" t="s">
        <v>39</v>
      </c>
      <c r="Y131" s="2" t="s">
        <v>38</v>
      </c>
      <c r="Z131" s="2" t="s">
        <v>38</v>
      </c>
      <c r="AA131" s="2" t="s">
        <v>38</v>
      </c>
      <c r="AB131" s="2" t="s">
        <v>38</v>
      </c>
      <c r="AC131" s="2" t="s">
        <v>38</v>
      </c>
      <c r="AD131" s="2" t="s">
        <v>38</v>
      </c>
      <c r="AE131" s="2" t="s">
        <v>38</v>
      </c>
    </row>
    <row r="132" spans="1:31" ht="409.5">
      <c r="A132" s="2">
        <v>2751597</v>
      </c>
      <c r="B132" s="2">
        <f>HYPERLINK("https://platform.v2.vetology.net/cases/2751597/screening-report/18?type=pdf&amp;v=v6&amp;scorecard=1&amp;secret_key=BX%25IJ%24%2F65ieZ%29f6", 2751597)</f>
        <v>2751597</v>
      </c>
      <c r="C132" s="2">
        <f>HYPERLINK("https://platform.v2.vetology.net/report/v/final/"&amp;2751597, 2751597)</f>
        <v>2751597</v>
      </c>
      <c r="D132" s="2" t="s">
        <v>536</v>
      </c>
      <c r="E132" s="2" t="s">
        <v>537</v>
      </c>
      <c r="F132" s="2" t="s">
        <v>538</v>
      </c>
      <c r="G132" s="2" t="s">
        <v>135</v>
      </c>
      <c r="H132" s="2" t="s">
        <v>539</v>
      </c>
      <c r="I132" s="2" t="s">
        <v>207</v>
      </c>
      <c r="J132" s="2" t="s">
        <v>208</v>
      </c>
      <c r="K132" s="2" t="s">
        <v>38</v>
      </c>
      <c r="L132" s="2" t="s">
        <v>38</v>
      </c>
      <c r="M132" s="2" t="s">
        <v>38</v>
      </c>
      <c r="N132" s="2" t="s">
        <v>38</v>
      </c>
      <c r="O132" s="2" t="s">
        <v>38</v>
      </c>
      <c r="P132" s="2" t="s">
        <v>38</v>
      </c>
      <c r="Q132" s="2" t="s">
        <v>38</v>
      </c>
      <c r="R132" s="2" t="s">
        <v>38</v>
      </c>
      <c r="S132" s="2" t="s">
        <v>38</v>
      </c>
      <c r="T132" s="2" t="s">
        <v>39</v>
      </c>
      <c r="U132" s="2" t="s">
        <v>38</v>
      </c>
      <c r="V132" s="2" t="s">
        <v>39</v>
      </c>
      <c r="W132" s="2" t="s">
        <v>38</v>
      </c>
      <c r="X132" s="2" t="s">
        <v>39</v>
      </c>
      <c r="Y132" s="2" t="s">
        <v>38</v>
      </c>
      <c r="Z132" s="2" t="s">
        <v>38</v>
      </c>
      <c r="AA132" s="2" t="s">
        <v>38</v>
      </c>
      <c r="AB132" s="2" t="s">
        <v>38</v>
      </c>
      <c r="AC132" s="2" t="s">
        <v>38</v>
      </c>
      <c r="AD132" s="2" t="s">
        <v>38</v>
      </c>
      <c r="AE132" s="2" t="s">
        <v>38</v>
      </c>
    </row>
    <row r="133" spans="1:31" ht="409.5">
      <c r="A133" s="2">
        <v>2751591</v>
      </c>
      <c r="B133" s="2">
        <f>HYPERLINK("https://platform.v2.vetology.net/cases/2751591/screening-report/18?type=pdf&amp;v=v6&amp;scorecard=1&amp;secret_key=BX%25IJ%24%2F65ieZ%29f6", 2751591)</f>
        <v>2751591</v>
      </c>
      <c r="C133" s="2">
        <f>HYPERLINK("https://platform.v2.vetology.net/report/v/final/"&amp;2751591, 2751591)</f>
        <v>2751591</v>
      </c>
      <c r="D133" s="2" t="s">
        <v>540</v>
      </c>
      <c r="E133" s="2" t="s">
        <v>541</v>
      </c>
      <c r="F133" s="2" t="s">
        <v>81</v>
      </c>
      <c r="G133" s="2" t="s">
        <v>82</v>
      </c>
      <c r="H133" s="2" t="s">
        <v>542</v>
      </c>
      <c r="I133" s="2" t="s">
        <v>543</v>
      </c>
      <c r="J133" s="2" t="s">
        <v>544</v>
      </c>
      <c r="K133" s="2" t="s">
        <v>39</v>
      </c>
      <c r="L133" s="2" t="s">
        <v>39</v>
      </c>
      <c r="M133" s="2" t="s">
        <v>39</v>
      </c>
      <c r="N133" s="2" t="s">
        <v>39</v>
      </c>
      <c r="O133" s="2" t="s">
        <v>39</v>
      </c>
      <c r="P133" s="2" t="s">
        <v>39</v>
      </c>
      <c r="Q133" s="2" t="s">
        <v>39</v>
      </c>
      <c r="R133" s="2" t="s">
        <v>38</v>
      </c>
      <c r="S133" s="2" t="s">
        <v>39</v>
      </c>
      <c r="T133" s="2" t="s">
        <v>39</v>
      </c>
      <c r="U133" s="2" t="s">
        <v>39</v>
      </c>
      <c r="V133" s="2" t="s">
        <v>39</v>
      </c>
      <c r="W133" s="2" t="s">
        <v>39</v>
      </c>
      <c r="X133" s="2" t="s">
        <v>39</v>
      </c>
      <c r="Y133" s="2" t="s">
        <v>38</v>
      </c>
      <c r="Z133" s="2" t="s">
        <v>39</v>
      </c>
      <c r="AA133" s="2" t="s">
        <v>39</v>
      </c>
      <c r="AB133" s="2" t="s">
        <v>39</v>
      </c>
      <c r="AC133" s="2" t="s">
        <v>39</v>
      </c>
      <c r="AD133" s="2" t="s">
        <v>38</v>
      </c>
      <c r="AE133" s="2" t="s">
        <v>38</v>
      </c>
    </row>
    <row r="134" spans="1:31" ht="409.5">
      <c r="A134" s="2">
        <v>2751406</v>
      </c>
      <c r="B134" s="2">
        <f>HYPERLINK("https://platform.v2.vetology.net/cases/2751406/screening-report/18?type=pdf&amp;v=v6&amp;scorecard=1&amp;secret_key=BX%25IJ%24%2F65ieZ%29f6", 2751406)</f>
        <v>2751406</v>
      </c>
      <c r="C134" s="2">
        <f>HYPERLINK("https://platform.v2.vetology.net/report/v/final/"&amp;2751406, 2751406)</f>
        <v>2751406</v>
      </c>
      <c r="D134" s="2" t="s">
        <v>545</v>
      </c>
      <c r="E134" s="2" t="s">
        <v>546</v>
      </c>
      <c r="F134" s="2" t="s">
        <v>547</v>
      </c>
      <c r="G134" s="2" t="s">
        <v>58</v>
      </c>
      <c r="H134" s="2" t="s">
        <v>54</v>
      </c>
      <c r="I134" s="2" t="s">
        <v>44</v>
      </c>
      <c r="J134" s="2" t="s">
        <v>106</v>
      </c>
      <c r="K134" s="2" t="s">
        <v>38</v>
      </c>
      <c r="L134" s="2" t="s">
        <v>38</v>
      </c>
      <c r="M134" s="2" t="s">
        <v>38</v>
      </c>
      <c r="N134" s="2" t="s">
        <v>38</v>
      </c>
      <c r="O134" s="2" t="s">
        <v>38</v>
      </c>
      <c r="P134" s="2" t="s">
        <v>38</v>
      </c>
      <c r="Q134" s="2" t="s">
        <v>38</v>
      </c>
      <c r="R134" s="2" t="s">
        <v>38</v>
      </c>
      <c r="S134" s="2" t="s">
        <v>38</v>
      </c>
      <c r="T134" s="2" t="s">
        <v>38</v>
      </c>
      <c r="U134" s="2" t="s">
        <v>38</v>
      </c>
      <c r="V134" s="2" t="s">
        <v>38</v>
      </c>
      <c r="W134" s="2" t="s">
        <v>38</v>
      </c>
      <c r="X134" s="2" t="s">
        <v>38</v>
      </c>
      <c r="Y134" s="2" t="s">
        <v>38</v>
      </c>
      <c r="Z134" s="2" t="s">
        <v>38</v>
      </c>
      <c r="AA134" s="2" t="s">
        <v>38</v>
      </c>
      <c r="AB134" s="2" t="s">
        <v>38</v>
      </c>
      <c r="AC134" s="2" t="s">
        <v>38</v>
      </c>
      <c r="AD134" s="2" t="s">
        <v>38</v>
      </c>
      <c r="AE134" s="2" t="s">
        <v>38</v>
      </c>
    </row>
    <row r="135" spans="1:31" ht="409.5">
      <c r="A135" s="2">
        <v>2751219</v>
      </c>
      <c r="B135" s="2">
        <f>HYPERLINK("https://platform.v2.vetology.net/cases/2751219/screening-report/18?type=pdf&amp;v=v6&amp;scorecard=1&amp;secret_key=BX%25IJ%24%2F65ieZ%29f6", 2751219)</f>
        <v>2751219</v>
      </c>
      <c r="C135" s="2">
        <f>HYPERLINK("https://platform.v2.vetology.net/report/v/final/"&amp;2751219, 2751219)</f>
        <v>2751219</v>
      </c>
      <c r="D135" s="2" t="s">
        <v>548</v>
      </c>
      <c r="E135" s="2" t="s">
        <v>549</v>
      </c>
      <c r="F135" s="2"/>
      <c r="G135" s="2" t="s">
        <v>550</v>
      </c>
      <c r="H135" s="2" t="s">
        <v>162</v>
      </c>
      <c r="I135" s="2" t="s">
        <v>124</v>
      </c>
      <c r="J135" s="2" t="s">
        <v>125</v>
      </c>
      <c r="K135" s="2" t="s">
        <v>38</v>
      </c>
      <c r="L135" s="2" t="s">
        <v>39</v>
      </c>
      <c r="M135" s="2" t="s">
        <v>39</v>
      </c>
      <c r="N135" s="2" t="s">
        <v>38</v>
      </c>
      <c r="O135" s="2" t="s">
        <v>38</v>
      </c>
      <c r="P135" s="2" t="s">
        <v>38</v>
      </c>
      <c r="Q135" s="2" t="s">
        <v>38</v>
      </c>
      <c r="R135" s="2" t="s">
        <v>38</v>
      </c>
      <c r="S135" s="2" t="s">
        <v>38</v>
      </c>
      <c r="T135" s="2" t="s">
        <v>39</v>
      </c>
      <c r="U135" s="2" t="s">
        <v>38</v>
      </c>
      <c r="V135" s="2" t="s">
        <v>39</v>
      </c>
      <c r="W135" s="2" t="s">
        <v>38</v>
      </c>
      <c r="X135" s="2" t="s">
        <v>39</v>
      </c>
      <c r="Y135" s="2" t="s">
        <v>38</v>
      </c>
      <c r="Z135" s="2" t="s">
        <v>38</v>
      </c>
      <c r="AA135" s="2" t="s">
        <v>38</v>
      </c>
      <c r="AB135" s="2" t="s">
        <v>38</v>
      </c>
      <c r="AC135" s="2" t="s">
        <v>38</v>
      </c>
      <c r="AD135" s="2" t="s">
        <v>38</v>
      </c>
      <c r="AE135" s="2" t="s">
        <v>38</v>
      </c>
    </row>
    <row r="136" spans="1:31" ht="409.5">
      <c r="A136" s="2">
        <v>2751128</v>
      </c>
      <c r="B136" s="2">
        <f>HYPERLINK("https://platform.v2.vetology.net/cases/2751128/screening-report/18?type=pdf&amp;v=v6&amp;scorecard=1&amp;secret_key=BX%25IJ%24%2F65ieZ%29f6", 2751128)</f>
        <v>2751128</v>
      </c>
      <c r="C136" s="2">
        <f>HYPERLINK("https://platform.v2.vetology.net/report/v/final/"&amp;2751128, 2751128)</f>
        <v>2751128</v>
      </c>
      <c r="D136" s="2" t="s">
        <v>551</v>
      </c>
      <c r="E136" s="2" t="s">
        <v>552</v>
      </c>
      <c r="F136" s="2" t="s">
        <v>553</v>
      </c>
      <c r="G136" s="2" t="s">
        <v>135</v>
      </c>
      <c r="H136" s="2" t="s">
        <v>94</v>
      </c>
      <c r="I136" s="2" t="s">
        <v>89</v>
      </c>
      <c r="J136" s="2" t="s">
        <v>66</v>
      </c>
      <c r="K136" s="2" t="s">
        <v>38</v>
      </c>
      <c r="L136" s="2" t="s">
        <v>39</v>
      </c>
      <c r="M136" s="2" t="s">
        <v>38</v>
      </c>
      <c r="N136" s="2" t="s">
        <v>38</v>
      </c>
      <c r="O136" s="2" t="s">
        <v>38</v>
      </c>
      <c r="P136" s="2" t="s">
        <v>38</v>
      </c>
      <c r="Q136" s="2" t="s">
        <v>38</v>
      </c>
      <c r="R136" s="2" t="s">
        <v>38</v>
      </c>
      <c r="S136" s="2" t="s">
        <v>38</v>
      </c>
      <c r="T136" s="2" t="s">
        <v>39</v>
      </c>
      <c r="U136" s="2" t="s">
        <v>38</v>
      </c>
      <c r="V136" s="2" t="s">
        <v>38</v>
      </c>
      <c r="W136" s="2" t="s">
        <v>38</v>
      </c>
      <c r="X136" s="2" t="s">
        <v>38</v>
      </c>
      <c r="Y136" s="2" t="s">
        <v>38</v>
      </c>
      <c r="Z136" s="2" t="s">
        <v>38</v>
      </c>
      <c r="AA136" s="2" t="s">
        <v>38</v>
      </c>
      <c r="AB136" s="2" t="s">
        <v>38</v>
      </c>
      <c r="AC136" s="2" t="s">
        <v>38</v>
      </c>
      <c r="AD136" s="2" t="s">
        <v>38</v>
      </c>
      <c r="AE136" s="2" t="s">
        <v>38</v>
      </c>
    </row>
    <row r="137" spans="1:31" ht="409.5">
      <c r="A137" s="2">
        <v>2751091</v>
      </c>
      <c r="B137" s="2">
        <f>HYPERLINK("https://platform.v2.vetology.net/cases/2751091/screening-report/18?type=pdf&amp;v=v6&amp;scorecard=1&amp;secret_key=BX%25IJ%24%2F65ieZ%29f6", 2751091)</f>
        <v>2751091</v>
      </c>
      <c r="C137" s="2">
        <f>HYPERLINK("https://platform.v2.vetology.net/report/v/final/"&amp;2751091, 2751091)</f>
        <v>2751091</v>
      </c>
      <c r="D137" s="2" t="s">
        <v>554</v>
      </c>
      <c r="E137" s="2" t="s">
        <v>555</v>
      </c>
      <c r="F137" s="2" t="s">
        <v>556</v>
      </c>
      <c r="G137" s="2" t="s">
        <v>550</v>
      </c>
      <c r="H137" s="2" t="s">
        <v>557</v>
      </c>
      <c r="I137" s="2" t="s">
        <v>382</v>
      </c>
      <c r="J137" s="2" t="s">
        <v>66</v>
      </c>
      <c r="K137" s="2" t="s">
        <v>38</v>
      </c>
      <c r="L137" s="2" t="s">
        <v>39</v>
      </c>
      <c r="M137" s="2" t="s">
        <v>39</v>
      </c>
      <c r="N137" s="2" t="s">
        <v>39</v>
      </c>
      <c r="O137" s="2" t="s">
        <v>38</v>
      </c>
      <c r="P137" s="2" t="s">
        <v>38</v>
      </c>
      <c r="Q137" s="2" t="s">
        <v>38</v>
      </c>
      <c r="R137" s="2" t="s">
        <v>38</v>
      </c>
      <c r="S137" s="2" t="s">
        <v>39</v>
      </c>
      <c r="T137" s="2" t="s">
        <v>38</v>
      </c>
      <c r="U137" s="2" t="s">
        <v>38</v>
      </c>
      <c r="V137" s="2" t="s">
        <v>39</v>
      </c>
      <c r="W137" s="2" t="s">
        <v>38</v>
      </c>
      <c r="X137" s="2" t="s">
        <v>39</v>
      </c>
      <c r="Y137" s="2" t="s">
        <v>38</v>
      </c>
      <c r="Z137" s="2" t="s">
        <v>39</v>
      </c>
      <c r="AA137" s="2" t="s">
        <v>38</v>
      </c>
      <c r="AB137" s="2" t="s">
        <v>39</v>
      </c>
      <c r="AC137" s="2" t="s">
        <v>38</v>
      </c>
      <c r="AD137" s="2" t="s">
        <v>38</v>
      </c>
      <c r="AE137" s="2" t="s">
        <v>38</v>
      </c>
    </row>
    <row r="138" spans="1:31" ht="409.5">
      <c r="A138" s="2">
        <v>2751004</v>
      </c>
      <c r="B138" s="2">
        <f>HYPERLINK("https://platform.v2.vetology.net/cases/2751004/screening-report/18?type=pdf&amp;v=v6&amp;scorecard=1&amp;secret_key=BX%25IJ%24%2F65ieZ%29f6", 2751004)</f>
        <v>2751004</v>
      </c>
      <c r="C138" s="2">
        <f>HYPERLINK("https://platform.v2.vetology.net/report/v/final/"&amp;2751004, 2751004)</f>
        <v>2751004</v>
      </c>
      <c r="D138" s="2" t="s">
        <v>558</v>
      </c>
      <c r="E138" s="2" t="s">
        <v>559</v>
      </c>
      <c r="F138" s="2" t="s">
        <v>455</v>
      </c>
      <c r="G138" s="2" t="s">
        <v>58</v>
      </c>
      <c r="H138" s="2" t="s">
        <v>71</v>
      </c>
      <c r="I138" s="2" t="s">
        <v>44</v>
      </c>
      <c r="J138" s="2"/>
      <c r="K138" s="2" t="s">
        <v>38</v>
      </c>
      <c r="L138" s="2" t="s">
        <v>38</v>
      </c>
      <c r="M138" s="2" t="s">
        <v>39</v>
      </c>
      <c r="N138" s="2" t="s">
        <v>38</v>
      </c>
      <c r="O138" s="2" t="s">
        <v>39</v>
      </c>
      <c r="P138" s="2" t="s">
        <v>38</v>
      </c>
      <c r="Q138" s="2" t="s">
        <v>38</v>
      </c>
      <c r="R138" s="2" t="s">
        <v>38</v>
      </c>
      <c r="S138" s="2" t="s">
        <v>39</v>
      </c>
      <c r="T138" s="2" t="s">
        <v>39</v>
      </c>
      <c r="U138" s="2" t="s">
        <v>38</v>
      </c>
      <c r="V138" s="2" t="s">
        <v>39</v>
      </c>
      <c r="W138" s="2" t="s">
        <v>38</v>
      </c>
      <c r="X138" s="2" t="s">
        <v>39</v>
      </c>
      <c r="Y138" s="2" t="s">
        <v>38</v>
      </c>
      <c r="Z138" s="2" t="s">
        <v>39</v>
      </c>
      <c r="AA138" s="2" t="s">
        <v>38</v>
      </c>
      <c r="AB138" s="2" t="s">
        <v>38</v>
      </c>
      <c r="AC138" s="2" t="s">
        <v>38</v>
      </c>
      <c r="AD138" s="2" t="s">
        <v>38</v>
      </c>
      <c r="AE138" s="2" t="s">
        <v>38</v>
      </c>
    </row>
    <row r="139" spans="1:31" ht="409.5">
      <c r="A139" s="2">
        <v>2750984</v>
      </c>
      <c r="B139" s="2">
        <f>HYPERLINK("https://platform.v2.vetology.net/cases/2750984/screening-report/18?type=pdf&amp;v=v6&amp;scorecard=1&amp;secret_key=BX%25IJ%24%2F65ieZ%29f6", 2750984)</f>
        <v>2750984</v>
      </c>
      <c r="C139" s="2">
        <f>HYPERLINK("https://platform.v2.vetology.net/report/v/final/"&amp;2750984, 2750984)</f>
        <v>2750984</v>
      </c>
      <c r="D139" s="2" t="s">
        <v>560</v>
      </c>
      <c r="E139" s="2" t="s">
        <v>561</v>
      </c>
      <c r="F139" s="2" t="s">
        <v>562</v>
      </c>
      <c r="G139" s="2" t="s">
        <v>550</v>
      </c>
      <c r="H139" s="2" t="s">
        <v>78</v>
      </c>
      <c r="I139" s="2" t="s">
        <v>44</v>
      </c>
      <c r="J139" s="2"/>
      <c r="K139" s="2" t="s">
        <v>38</v>
      </c>
      <c r="L139" s="2" t="s">
        <v>38</v>
      </c>
      <c r="M139" s="2" t="s">
        <v>39</v>
      </c>
      <c r="N139" s="2" t="s">
        <v>38</v>
      </c>
      <c r="O139" s="2" t="s">
        <v>38</v>
      </c>
      <c r="P139" s="2" t="s">
        <v>38</v>
      </c>
      <c r="Q139" s="2" t="s">
        <v>38</v>
      </c>
      <c r="R139" s="2" t="s">
        <v>38</v>
      </c>
      <c r="S139" s="2" t="s">
        <v>38</v>
      </c>
      <c r="T139" s="2" t="s">
        <v>38</v>
      </c>
      <c r="U139" s="2" t="s">
        <v>38</v>
      </c>
      <c r="V139" s="2" t="s">
        <v>38</v>
      </c>
      <c r="W139" s="2" t="s">
        <v>38</v>
      </c>
      <c r="X139" s="2" t="s">
        <v>38</v>
      </c>
      <c r="Y139" s="2" t="s">
        <v>38</v>
      </c>
      <c r="Z139" s="2" t="s">
        <v>38</v>
      </c>
      <c r="AA139" s="2" t="s">
        <v>38</v>
      </c>
      <c r="AB139" s="2" t="s">
        <v>38</v>
      </c>
      <c r="AC139" s="2" t="s">
        <v>38</v>
      </c>
      <c r="AD139" s="2" t="s">
        <v>38</v>
      </c>
      <c r="AE139" s="2" t="s">
        <v>38</v>
      </c>
    </row>
    <row r="140" spans="1:31" ht="409.5">
      <c r="A140" s="2">
        <v>2750966</v>
      </c>
      <c r="B140" s="2">
        <f>HYPERLINK("https://platform.v2.vetology.net/cases/2750966/screening-report/18?type=pdf&amp;v=v6&amp;scorecard=1&amp;secret_key=BX%25IJ%24%2F65ieZ%29f6", 2750966)</f>
        <v>2750966</v>
      </c>
      <c r="C140" s="2">
        <f>HYPERLINK("https://platform.v2.vetology.net/report/v/final/"&amp;2750966, 2750966)</f>
        <v>2750966</v>
      </c>
      <c r="D140" s="2" t="s">
        <v>563</v>
      </c>
      <c r="E140" s="2" t="s">
        <v>564</v>
      </c>
      <c r="F140" s="2"/>
      <c r="G140" s="2" t="s">
        <v>150</v>
      </c>
      <c r="H140" s="2" t="s">
        <v>54</v>
      </c>
      <c r="I140" s="2" t="s">
        <v>44</v>
      </c>
      <c r="J140" s="2"/>
      <c r="K140" s="2" t="s">
        <v>38</v>
      </c>
      <c r="L140" s="2" t="s">
        <v>39</v>
      </c>
      <c r="M140" s="2" t="s">
        <v>38</v>
      </c>
      <c r="N140" s="2" t="s">
        <v>38</v>
      </c>
      <c r="O140" s="2" t="s">
        <v>38</v>
      </c>
      <c r="P140" s="2" t="s">
        <v>38</v>
      </c>
      <c r="Q140" s="2" t="s">
        <v>38</v>
      </c>
      <c r="R140" s="2" t="s">
        <v>38</v>
      </c>
      <c r="S140" s="2" t="s">
        <v>39</v>
      </c>
      <c r="T140" s="2" t="s">
        <v>38</v>
      </c>
      <c r="U140" s="2" t="s">
        <v>38</v>
      </c>
      <c r="V140" s="2" t="s">
        <v>38</v>
      </c>
      <c r="W140" s="2" t="s">
        <v>38</v>
      </c>
      <c r="X140" s="2" t="s">
        <v>38</v>
      </c>
      <c r="Y140" s="2" t="s">
        <v>38</v>
      </c>
      <c r="Z140" s="2" t="s">
        <v>39</v>
      </c>
      <c r="AA140" s="2" t="s">
        <v>38</v>
      </c>
      <c r="AB140" s="2" t="s">
        <v>39</v>
      </c>
      <c r="AC140" s="2" t="s">
        <v>38</v>
      </c>
      <c r="AD140" s="2" t="s">
        <v>38</v>
      </c>
      <c r="AE140" s="2" t="s">
        <v>38</v>
      </c>
    </row>
    <row r="141" spans="1:31" ht="409.5">
      <c r="A141" s="2">
        <v>2750938</v>
      </c>
      <c r="B141" s="2">
        <f>HYPERLINK("https://platform.v2.vetology.net/cases/2750938/screening-report/18?type=pdf&amp;v=v6&amp;scorecard=1&amp;secret_key=BX%25IJ%24%2F65ieZ%29f6", 2750938)</f>
        <v>2750938</v>
      </c>
      <c r="C141" s="2">
        <f>HYPERLINK("https://platform.v2.vetology.net/report/v/final/"&amp;2750938, 2750938)</f>
        <v>2750938</v>
      </c>
      <c r="D141" s="2" t="s">
        <v>565</v>
      </c>
      <c r="E141" s="2" t="s">
        <v>566</v>
      </c>
      <c r="F141" s="2" t="s">
        <v>567</v>
      </c>
      <c r="G141" s="2" t="s">
        <v>58</v>
      </c>
      <c r="H141" s="2" t="s">
        <v>71</v>
      </c>
      <c r="I141" s="2" t="s">
        <v>44</v>
      </c>
      <c r="J141" s="2"/>
      <c r="K141" s="2" t="s">
        <v>38</v>
      </c>
      <c r="L141" s="2" t="s">
        <v>38</v>
      </c>
      <c r="M141" s="2" t="s">
        <v>39</v>
      </c>
      <c r="N141" s="2" t="s">
        <v>38</v>
      </c>
      <c r="O141" s="2" t="s">
        <v>38</v>
      </c>
      <c r="P141" s="2" t="s">
        <v>38</v>
      </c>
      <c r="Q141" s="2" t="s">
        <v>38</v>
      </c>
      <c r="R141" s="2" t="s">
        <v>38</v>
      </c>
      <c r="S141" s="2" t="s">
        <v>38</v>
      </c>
      <c r="T141" s="2" t="s">
        <v>39</v>
      </c>
      <c r="U141" s="2" t="s">
        <v>38</v>
      </c>
      <c r="V141" s="2" t="s">
        <v>39</v>
      </c>
      <c r="W141" s="2" t="s">
        <v>38</v>
      </c>
      <c r="X141" s="2" t="s">
        <v>38</v>
      </c>
      <c r="Y141" s="2" t="s">
        <v>38</v>
      </c>
      <c r="Z141" s="2" t="s">
        <v>38</v>
      </c>
      <c r="AA141" s="2" t="s">
        <v>38</v>
      </c>
      <c r="AB141" s="2" t="s">
        <v>39</v>
      </c>
      <c r="AC141" s="2" t="s">
        <v>38</v>
      </c>
      <c r="AD141" s="2" t="s">
        <v>38</v>
      </c>
      <c r="AE141" s="2" t="s">
        <v>39</v>
      </c>
    </row>
    <row r="142" spans="1:31" ht="409.5">
      <c r="A142" s="2">
        <v>2750870</v>
      </c>
      <c r="B142" s="2">
        <f>HYPERLINK("https://platform.v2.vetology.net/cases/2750870/screening-report/18?type=pdf&amp;v=v6&amp;scorecard=1&amp;secret_key=BX%25IJ%24%2F65ieZ%29f6", 2750870)</f>
        <v>2750870</v>
      </c>
      <c r="C142" s="2">
        <f>HYPERLINK("https://platform.v2.vetology.net/report/v/final/"&amp;2750870, 2750870)</f>
        <v>2750870</v>
      </c>
      <c r="D142" s="2" t="s">
        <v>568</v>
      </c>
      <c r="E142" s="2" t="s">
        <v>304</v>
      </c>
      <c r="F142" s="2"/>
      <c r="G142" s="2" t="s">
        <v>150</v>
      </c>
      <c r="H142" s="2" t="s">
        <v>129</v>
      </c>
      <c r="I142" s="2" t="s">
        <v>44</v>
      </c>
      <c r="J142" s="2"/>
      <c r="K142" s="2" t="s">
        <v>38</v>
      </c>
      <c r="L142" s="2" t="s">
        <v>39</v>
      </c>
      <c r="M142" s="2" t="s">
        <v>38</v>
      </c>
      <c r="N142" s="2" t="s">
        <v>38</v>
      </c>
      <c r="O142" s="2" t="s">
        <v>38</v>
      </c>
      <c r="P142" s="2" t="s">
        <v>39</v>
      </c>
      <c r="Q142" s="2" t="s">
        <v>38</v>
      </c>
      <c r="R142" s="2" t="s">
        <v>38</v>
      </c>
      <c r="S142" s="2" t="s">
        <v>38</v>
      </c>
      <c r="T142" s="2" t="s">
        <v>39</v>
      </c>
      <c r="U142" s="2" t="s">
        <v>38</v>
      </c>
      <c r="V142" s="2" t="s">
        <v>38</v>
      </c>
      <c r="W142" s="2" t="s">
        <v>38</v>
      </c>
      <c r="X142" s="2" t="s">
        <v>39</v>
      </c>
      <c r="Y142" s="2" t="s">
        <v>38</v>
      </c>
      <c r="Z142" s="2" t="s">
        <v>38</v>
      </c>
      <c r="AA142" s="2" t="s">
        <v>38</v>
      </c>
      <c r="AB142" s="2" t="s">
        <v>38</v>
      </c>
      <c r="AC142" s="2" t="s">
        <v>38</v>
      </c>
      <c r="AD142" s="2" t="s">
        <v>38</v>
      </c>
      <c r="AE142" s="2" t="s">
        <v>39</v>
      </c>
    </row>
    <row r="143" spans="1:31" ht="409.5">
      <c r="A143" s="2">
        <v>2750804</v>
      </c>
      <c r="B143" s="2">
        <f>HYPERLINK("https://platform.v2.vetology.net/cases/2750804/screening-report/18?type=pdf&amp;v=v6&amp;scorecard=1&amp;secret_key=BX%25IJ%24%2F65ieZ%29f6", 2750804)</f>
        <v>2750804</v>
      </c>
      <c r="C143" s="2">
        <f>HYPERLINK("https://platform.v2.vetology.net/report/v/final/"&amp;2750804, 2750804)</f>
        <v>2750804</v>
      </c>
      <c r="D143" s="2" t="s">
        <v>569</v>
      </c>
      <c r="E143" s="2" t="s">
        <v>570</v>
      </c>
      <c r="F143" s="2" t="s">
        <v>571</v>
      </c>
      <c r="G143" s="2" t="s">
        <v>82</v>
      </c>
      <c r="H143" s="2" t="s">
        <v>54</v>
      </c>
      <c r="I143" s="2" t="s">
        <v>44</v>
      </c>
      <c r="J143" s="2"/>
      <c r="K143" s="2" t="s">
        <v>38</v>
      </c>
      <c r="L143" s="2" t="s">
        <v>38</v>
      </c>
      <c r="M143" s="2" t="s">
        <v>39</v>
      </c>
      <c r="N143" s="2" t="s">
        <v>38</v>
      </c>
      <c r="O143" s="2" t="s">
        <v>39</v>
      </c>
      <c r="P143" s="2" t="s">
        <v>39</v>
      </c>
      <c r="Q143" s="2" t="s">
        <v>38</v>
      </c>
      <c r="R143" s="2" t="s">
        <v>38</v>
      </c>
      <c r="S143" s="2" t="s">
        <v>38</v>
      </c>
      <c r="T143" s="2" t="s">
        <v>38</v>
      </c>
      <c r="U143" s="2" t="s">
        <v>39</v>
      </c>
      <c r="V143" s="2" t="s">
        <v>38</v>
      </c>
      <c r="W143" s="2" t="s">
        <v>38</v>
      </c>
      <c r="X143" s="2" t="s">
        <v>38</v>
      </c>
      <c r="Y143" s="2" t="s">
        <v>38</v>
      </c>
      <c r="Z143" s="2" t="s">
        <v>38</v>
      </c>
      <c r="AA143" s="2" t="s">
        <v>38</v>
      </c>
      <c r="AB143" s="2" t="s">
        <v>39</v>
      </c>
      <c r="AC143" s="2" t="s">
        <v>38</v>
      </c>
      <c r="AD143" s="2" t="s">
        <v>38</v>
      </c>
      <c r="AE143" s="2" t="s">
        <v>38</v>
      </c>
    </row>
    <row r="144" spans="1:31" ht="409.5">
      <c r="A144" s="2">
        <v>2750755</v>
      </c>
      <c r="B144" s="2">
        <f>HYPERLINK("https://platform.v2.vetology.net/cases/2750755/screening-report/18?type=pdf&amp;v=v6&amp;scorecard=1&amp;secret_key=BX%25IJ%24%2F65ieZ%29f6", 2750755)</f>
        <v>2750755</v>
      </c>
      <c r="C144" s="2">
        <f>HYPERLINK("https://platform.v2.vetology.net/report/v/final/"&amp;2750755, 2750755)</f>
        <v>2750755</v>
      </c>
      <c r="D144" s="2" t="s">
        <v>572</v>
      </c>
      <c r="E144" s="2" t="s">
        <v>573</v>
      </c>
      <c r="F144" s="2" t="s">
        <v>574</v>
      </c>
      <c r="G144" s="2" t="s">
        <v>575</v>
      </c>
      <c r="H144" s="2" t="s">
        <v>54</v>
      </c>
      <c r="I144" s="2" t="s">
        <v>44</v>
      </c>
      <c r="J144" s="2"/>
      <c r="K144" s="2" t="s">
        <v>38</v>
      </c>
      <c r="L144" s="2" t="s">
        <v>38</v>
      </c>
      <c r="M144" s="2" t="s">
        <v>39</v>
      </c>
      <c r="N144" s="2" t="s">
        <v>38</v>
      </c>
      <c r="O144" s="2" t="s">
        <v>38</v>
      </c>
      <c r="P144" s="2" t="s">
        <v>38</v>
      </c>
      <c r="Q144" s="2" t="s">
        <v>38</v>
      </c>
      <c r="R144" s="2" t="s">
        <v>38</v>
      </c>
      <c r="S144" s="2" t="s">
        <v>39</v>
      </c>
      <c r="T144" s="2" t="s">
        <v>39</v>
      </c>
      <c r="U144" s="2" t="s">
        <v>38</v>
      </c>
      <c r="V144" s="2" t="s">
        <v>39</v>
      </c>
      <c r="W144" s="2" t="s">
        <v>38</v>
      </c>
      <c r="X144" s="2" t="s">
        <v>38</v>
      </c>
      <c r="Y144" s="2" t="s">
        <v>38</v>
      </c>
      <c r="Z144" s="2" t="s">
        <v>38</v>
      </c>
      <c r="AA144" s="2" t="s">
        <v>38</v>
      </c>
      <c r="AB144" s="2" t="s">
        <v>39</v>
      </c>
      <c r="AC144" s="2" t="s">
        <v>38</v>
      </c>
      <c r="AD144" s="2" t="s">
        <v>38</v>
      </c>
      <c r="AE144" s="2" t="s">
        <v>38</v>
      </c>
    </row>
    <row r="145" spans="1:31" ht="409.5">
      <c r="A145" s="2">
        <v>2750616</v>
      </c>
      <c r="B145" s="2">
        <f>HYPERLINK("https://platform.v2.vetology.net/cases/2750616/screening-report/18?type=pdf&amp;v=v6&amp;scorecard=1&amp;secret_key=BX%25IJ%24%2F65ieZ%29f6", 2750616)</f>
        <v>2750616</v>
      </c>
      <c r="C145" s="2">
        <f>HYPERLINK("https://platform.v2.vetology.net/report/v/final/"&amp;2750616, 2750616)</f>
        <v>2750616</v>
      </c>
      <c r="D145" s="2" t="s">
        <v>576</v>
      </c>
      <c r="E145" s="2" t="s">
        <v>577</v>
      </c>
      <c r="F145" s="2" t="s">
        <v>578</v>
      </c>
      <c r="G145" s="2" t="s">
        <v>212</v>
      </c>
      <c r="H145" s="2" t="s">
        <v>579</v>
      </c>
      <c r="I145" s="2" t="s">
        <v>137</v>
      </c>
      <c r="J145" s="2" t="s">
        <v>66</v>
      </c>
      <c r="K145" s="2" t="s">
        <v>38</v>
      </c>
      <c r="L145" s="2" t="s">
        <v>39</v>
      </c>
      <c r="M145" s="2" t="s">
        <v>38</v>
      </c>
      <c r="N145" s="2" t="s">
        <v>39</v>
      </c>
      <c r="O145" s="2" t="s">
        <v>38</v>
      </c>
      <c r="P145" s="2" t="s">
        <v>38</v>
      </c>
      <c r="Q145" s="2" t="s">
        <v>38</v>
      </c>
      <c r="R145" s="2" t="s">
        <v>38</v>
      </c>
      <c r="S145" s="2" t="s">
        <v>38</v>
      </c>
      <c r="T145" s="2" t="s">
        <v>38</v>
      </c>
      <c r="U145" s="2" t="s">
        <v>38</v>
      </c>
      <c r="V145" s="2" t="s">
        <v>38</v>
      </c>
      <c r="W145" s="2" t="s">
        <v>38</v>
      </c>
      <c r="X145" s="2" t="s">
        <v>38</v>
      </c>
      <c r="Y145" s="2" t="s">
        <v>38</v>
      </c>
      <c r="Z145" s="2" t="s">
        <v>39</v>
      </c>
      <c r="AA145" s="2" t="s">
        <v>38</v>
      </c>
      <c r="AB145" s="2" t="s">
        <v>39</v>
      </c>
      <c r="AC145" s="2" t="s">
        <v>39</v>
      </c>
      <c r="AD145" s="2" t="s">
        <v>38</v>
      </c>
      <c r="AE145" s="2" t="s">
        <v>39</v>
      </c>
    </row>
    <row r="146" spans="1:31" ht="409.5">
      <c r="A146" s="2">
        <v>2750476</v>
      </c>
      <c r="B146" s="2">
        <f>HYPERLINK("https://platform.v2.vetology.net/cases/2750476/screening-report/18?type=pdf&amp;v=v6&amp;scorecard=1&amp;secret_key=BX%25IJ%24%2F65ieZ%29f6", 2750476)</f>
        <v>2750476</v>
      </c>
      <c r="C146" s="2">
        <f>HYPERLINK("https://platform.v2.vetology.net/report/v/final/"&amp;2750476, 2750476)</f>
        <v>2750476</v>
      </c>
      <c r="D146" s="2" t="s">
        <v>580</v>
      </c>
      <c r="E146" s="2" t="s">
        <v>581</v>
      </c>
      <c r="F146" s="2" t="s">
        <v>582</v>
      </c>
      <c r="G146" s="2" t="s">
        <v>34</v>
      </c>
      <c r="H146" s="2" t="s">
        <v>583</v>
      </c>
      <c r="I146" s="2" t="s">
        <v>584</v>
      </c>
      <c r="J146" s="2" t="s">
        <v>585</v>
      </c>
      <c r="K146" s="2" t="s">
        <v>38</v>
      </c>
      <c r="L146" s="2" t="s">
        <v>39</v>
      </c>
      <c r="M146" s="2" t="s">
        <v>39</v>
      </c>
      <c r="N146" s="2" t="s">
        <v>38</v>
      </c>
      <c r="O146" s="2" t="s">
        <v>39</v>
      </c>
      <c r="P146" s="2" t="s">
        <v>39</v>
      </c>
      <c r="Q146" s="2" t="s">
        <v>38</v>
      </c>
      <c r="R146" s="2" t="s">
        <v>39</v>
      </c>
      <c r="S146" s="2" t="s">
        <v>39</v>
      </c>
      <c r="T146" s="2" t="s">
        <v>39</v>
      </c>
      <c r="U146" s="2" t="s">
        <v>39</v>
      </c>
      <c r="V146" s="2" t="s">
        <v>39</v>
      </c>
      <c r="W146" s="2" t="s">
        <v>39</v>
      </c>
      <c r="X146" s="2" t="s">
        <v>39</v>
      </c>
      <c r="Y146" s="2" t="s">
        <v>38</v>
      </c>
      <c r="Z146" s="2" t="s">
        <v>39</v>
      </c>
      <c r="AA146" s="2" t="s">
        <v>38</v>
      </c>
      <c r="AB146" s="2" t="s">
        <v>39</v>
      </c>
      <c r="AC146" s="2" t="s">
        <v>39</v>
      </c>
      <c r="AD146" s="2" t="s">
        <v>38</v>
      </c>
      <c r="AE146" s="2" t="s">
        <v>39</v>
      </c>
    </row>
    <row r="147" spans="1:31" ht="409.5">
      <c r="A147" s="2">
        <v>2750330</v>
      </c>
      <c r="B147" s="2">
        <f>HYPERLINK("https://platform.v2.vetology.net/cases/2750330/screening-report/18?type=pdf&amp;v=v6&amp;scorecard=1&amp;secret_key=BX%25IJ%24%2F65ieZ%29f6", 2750330)</f>
        <v>2750330</v>
      </c>
      <c r="C147" s="2">
        <f>HYPERLINK("https://platform.v2.vetology.net/report/v/final/"&amp;2750330, 2750330)</f>
        <v>2750330</v>
      </c>
      <c r="D147" s="2" t="s">
        <v>586</v>
      </c>
      <c r="E147" s="2" t="s">
        <v>587</v>
      </c>
      <c r="F147" s="2" t="s">
        <v>588</v>
      </c>
      <c r="G147" s="2" t="s">
        <v>464</v>
      </c>
      <c r="H147" s="2" t="s">
        <v>54</v>
      </c>
      <c r="I147" s="2" t="s">
        <v>44</v>
      </c>
      <c r="J147" s="2"/>
      <c r="K147" s="2" t="s">
        <v>38</v>
      </c>
      <c r="L147" s="2" t="s">
        <v>39</v>
      </c>
      <c r="M147" s="2" t="s">
        <v>39</v>
      </c>
      <c r="N147" s="2" t="s">
        <v>38</v>
      </c>
      <c r="O147" s="2" t="s">
        <v>38</v>
      </c>
      <c r="P147" s="2" t="s">
        <v>38</v>
      </c>
      <c r="Q147" s="2" t="s">
        <v>38</v>
      </c>
      <c r="R147" s="2" t="s">
        <v>38</v>
      </c>
      <c r="S147" s="2" t="s">
        <v>39</v>
      </c>
      <c r="T147" s="2" t="s">
        <v>38</v>
      </c>
      <c r="U147" s="2" t="s">
        <v>38</v>
      </c>
      <c r="V147" s="2" t="s">
        <v>38</v>
      </c>
      <c r="W147" s="2" t="s">
        <v>38</v>
      </c>
      <c r="X147" s="2" t="s">
        <v>38</v>
      </c>
      <c r="Y147" s="2" t="s">
        <v>38</v>
      </c>
      <c r="Z147" s="2" t="s">
        <v>38</v>
      </c>
      <c r="AA147" s="2" t="s">
        <v>38</v>
      </c>
      <c r="AB147" s="2" t="s">
        <v>39</v>
      </c>
      <c r="AC147" s="2" t="s">
        <v>39</v>
      </c>
      <c r="AD147" s="2" t="s">
        <v>38</v>
      </c>
      <c r="AE147" s="2" t="s">
        <v>38</v>
      </c>
    </row>
    <row r="148" spans="1:31" ht="409.5">
      <c r="A148" s="2">
        <v>2749935</v>
      </c>
      <c r="B148" s="2">
        <f>HYPERLINK("https://platform.v2.vetology.net/cases/2749935/screening-report/18?type=pdf&amp;v=v6&amp;scorecard=1&amp;secret_key=BX%25IJ%24%2F65ieZ%29f6", 2749935)</f>
        <v>2749935</v>
      </c>
      <c r="C148" s="2">
        <f>HYPERLINK("https://platform.v2.vetology.net/report/v/final/"&amp;2749935, 2749935)</f>
        <v>2749935</v>
      </c>
      <c r="D148" s="2" t="s">
        <v>589</v>
      </c>
      <c r="E148" s="2" t="s">
        <v>590</v>
      </c>
      <c r="F148" s="2" t="s">
        <v>81</v>
      </c>
      <c r="G148" s="2" t="s">
        <v>82</v>
      </c>
      <c r="H148" s="2" t="s">
        <v>591</v>
      </c>
      <c r="I148" s="2" t="s">
        <v>407</v>
      </c>
      <c r="J148" s="2" t="s">
        <v>66</v>
      </c>
      <c r="K148" s="2" t="s">
        <v>38</v>
      </c>
      <c r="L148" s="2" t="s">
        <v>38</v>
      </c>
      <c r="M148" s="2" t="s">
        <v>39</v>
      </c>
      <c r="N148" s="2" t="s">
        <v>39</v>
      </c>
      <c r="O148" s="2" t="s">
        <v>39</v>
      </c>
      <c r="P148" s="2" t="s">
        <v>38</v>
      </c>
      <c r="Q148" s="2" t="s">
        <v>39</v>
      </c>
      <c r="R148" s="2" t="s">
        <v>38</v>
      </c>
      <c r="S148" s="2" t="s">
        <v>38</v>
      </c>
      <c r="T148" s="2" t="s">
        <v>38</v>
      </c>
      <c r="U148" s="2" t="s">
        <v>38</v>
      </c>
      <c r="V148" s="2" t="s">
        <v>38</v>
      </c>
      <c r="W148" s="2" t="s">
        <v>38</v>
      </c>
      <c r="X148" s="2" t="s">
        <v>38</v>
      </c>
      <c r="Y148" s="2" t="s">
        <v>38</v>
      </c>
      <c r="Z148" s="2" t="s">
        <v>39</v>
      </c>
      <c r="AA148" s="2" t="s">
        <v>38</v>
      </c>
      <c r="AB148" s="2" t="s">
        <v>39</v>
      </c>
      <c r="AC148" s="2" t="s">
        <v>38</v>
      </c>
      <c r="AD148" s="2" t="s">
        <v>38</v>
      </c>
      <c r="AE148" s="2" t="s">
        <v>39</v>
      </c>
    </row>
    <row r="149" spans="1:31" ht="409.5">
      <c r="A149" s="2">
        <v>2749330</v>
      </c>
      <c r="B149" s="2">
        <f>HYPERLINK("https://platform.v2.vetology.net/cases/2749330/screening-report/18?type=pdf&amp;v=v6&amp;scorecard=1&amp;secret_key=BX%25IJ%24%2F65ieZ%29f6", 2749330)</f>
        <v>2749330</v>
      </c>
      <c r="C149" s="2">
        <f>HYPERLINK("https://platform.v2.vetology.net/report/v/final/"&amp;2749330, 2749330)</f>
        <v>2749330</v>
      </c>
      <c r="D149" s="2" t="s">
        <v>592</v>
      </c>
      <c r="E149" s="2" t="s">
        <v>593</v>
      </c>
      <c r="F149" s="2" t="s">
        <v>594</v>
      </c>
      <c r="G149" s="2" t="s">
        <v>34</v>
      </c>
      <c r="H149" s="2" t="s">
        <v>129</v>
      </c>
      <c r="I149" s="2" t="s">
        <v>44</v>
      </c>
      <c r="J149" s="2" t="s">
        <v>106</v>
      </c>
      <c r="K149" s="2" t="s">
        <v>38</v>
      </c>
      <c r="L149" s="2" t="s">
        <v>39</v>
      </c>
      <c r="M149" s="2" t="s">
        <v>38</v>
      </c>
      <c r="N149" s="2" t="s">
        <v>38</v>
      </c>
      <c r="O149" s="2" t="s">
        <v>38</v>
      </c>
      <c r="P149" s="2" t="s">
        <v>38</v>
      </c>
      <c r="Q149" s="2" t="s">
        <v>38</v>
      </c>
      <c r="R149" s="2" t="s">
        <v>38</v>
      </c>
      <c r="S149" s="2" t="s">
        <v>38</v>
      </c>
      <c r="T149" s="2" t="s">
        <v>38</v>
      </c>
      <c r="U149" s="2" t="s">
        <v>38</v>
      </c>
      <c r="V149" s="2" t="s">
        <v>38</v>
      </c>
      <c r="W149" s="2" t="s">
        <v>38</v>
      </c>
      <c r="X149" s="2" t="s">
        <v>38</v>
      </c>
      <c r="Y149" s="2" t="s">
        <v>38</v>
      </c>
      <c r="Z149" s="2" t="s">
        <v>38</v>
      </c>
      <c r="AA149" s="2" t="s">
        <v>38</v>
      </c>
      <c r="AB149" s="2" t="s">
        <v>38</v>
      </c>
      <c r="AC149" s="2" t="s">
        <v>38</v>
      </c>
      <c r="AD149" s="2" t="s">
        <v>38</v>
      </c>
      <c r="AE149" s="2" t="s">
        <v>38</v>
      </c>
    </row>
    <row r="150" spans="1:31" ht="409.5">
      <c r="A150" s="2">
        <v>2749224</v>
      </c>
      <c r="B150" s="2">
        <f>HYPERLINK("https://platform.v2.vetology.net/cases/2749224/screening-report/18?type=pdf&amp;v=v6&amp;scorecard=1&amp;secret_key=BX%25IJ%24%2F65ieZ%29f6", 2749224)</f>
        <v>2749224</v>
      </c>
      <c r="C150" s="2">
        <f>HYPERLINK("https://platform.v2.vetology.net/report/v/final/"&amp;2749224, 2749224)</f>
        <v>2749224</v>
      </c>
      <c r="D150" s="2" t="s">
        <v>595</v>
      </c>
      <c r="E150" s="2" t="s">
        <v>148</v>
      </c>
      <c r="F150" s="2" t="s">
        <v>596</v>
      </c>
      <c r="G150" s="2" t="s">
        <v>150</v>
      </c>
      <c r="H150" s="2" t="s">
        <v>88</v>
      </c>
      <c r="I150" s="2" t="s">
        <v>89</v>
      </c>
      <c r="J150" s="2" t="s">
        <v>66</v>
      </c>
      <c r="K150" s="2" t="s">
        <v>38</v>
      </c>
      <c r="L150" s="2" t="s">
        <v>38</v>
      </c>
      <c r="M150" s="2" t="s">
        <v>39</v>
      </c>
      <c r="N150" s="2" t="s">
        <v>38</v>
      </c>
      <c r="O150" s="2" t="s">
        <v>38</v>
      </c>
      <c r="P150" s="2" t="s">
        <v>38</v>
      </c>
      <c r="Q150" s="2" t="s">
        <v>38</v>
      </c>
      <c r="R150" s="2" t="s">
        <v>38</v>
      </c>
      <c r="S150" s="2" t="s">
        <v>38</v>
      </c>
      <c r="T150" s="2" t="s">
        <v>38</v>
      </c>
      <c r="U150" s="2" t="s">
        <v>38</v>
      </c>
      <c r="V150" s="2" t="s">
        <v>39</v>
      </c>
      <c r="W150" s="2" t="s">
        <v>38</v>
      </c>
      <c r="X150" s="2" t="s">
        <v>38</v>
      </c>
      <c r="Y150" s="2" t="s">
        <v>38</v>
      </c>
      <c r="Z150" s="2" t="s">
        <v>38</v>
      </c>
      <c r="AA150" s="2" t="s">
        <v>38</v>
      </c>
      <c r="AB150" s="2" t="s">
        <v>39</v>
      </c>
      <c r="AC150" s="2" t="s">
        <v>38</v>
      </c>
      <c r="AD150" s="2" t="s">
        <v>38</v>
      </c>
      <c r="AE150" s="2" t="s">
        <v>39</v>
      </c>
    </row>
    <row r="151" spans="1:31" ht="409.5">
      <c r="A151" s="2">
        <v>2749169</v>
      </c>
      <c r="B151" s="2">
        <f>HYPERLINK("https://platform.v2.vetology.net/cases/2749169/screening-report/18?type=pdf&amp;v=v6&amp;scorecard=1&amp;secret_key=BX%25IJ%24%2F65ieZ%29f6", 2749169)</f>
        <v>2749169</v>
      </c>
      <c r="C151" s="2">
        <f>HYPERLINK("https://platform.v2.vetology.net/report/v/final/"&amp;2749169, 2749169)</f>
        <v>2749169</v>
      </c>
      <c r="D151" s="2" t="s">
        <v>597</v>
      </c>
      <c r="E151" s="2" t="s">
        <v>598</v>
      </c>
      <c r="F151" s="2" t="s">
        <v>599</v>
      </c>
      <c r="G151" s="2" t="s">
        <v>135</v>
      </c>
      <c r="H151" s="2" t="s">
        <v>71</v>
      </c>
      <c r="I151" s="2" t="s">
        <v>44</v>
      </c>
      <c r="J151" s="2" t="s">
        <v>106</v>
      </c>
      <c r="K151" s="2" t="s">
        <v>38</v>
      </c>
      <c r="L151" s="2" t="s">
        <v>38</v>
      </c>
      <c r="M151" s="2" t="s">
        <v>38</v>
      </c>
      <c r="N151" s="2" t="s">
        <v>38</v>
      </c>
      <c r="O151" s="2" t="s">
        <v>38</v>
      </c>
      <c r="P151" s="2" t="s">
        <v>38</v>
      </c>
      <c r="Q151" s="2" t="s">
        <v>38</v>
      </c>
      <c r="R151" s="2" t="s">
        <v>38</v>
      </c>
      <c r="S151" s="2" t="s">
        <v>38</v>
      </c>
      <c r="T151" s="2" t="s">
        <v>38</v>
      </c>
      <c r="U151" s="2" t="s">
        <v>38</v>
      </c>
      <c r="V151" s="2" t="s">
        <v>38</v>
      </c>
      <c r="W151" s="2" t="s">
        <v>38</v>
      </c>
      <c r="X151" s="2" t="s">
        <v>38</v>
      </c>
      <c r="Y151" s="2" t="s">
        <v>38</v>
      </c>
      <c r="Z151" s="2" t="s">
        <v>38</v>
      </c>
      <c r="AA151" s="2" t="s">
        <v>38</v>
      </c>
      <c r="AB151" s="2" t="s">
        <v>39</v>
      </c>
      <c r="AC151" s="2" t="s">
        <v>38</v>
      </c>
      <c r="AD151" s="2" t="s">
        <v>38</v>
      </c>
      <c r="AE151" s="2" t="s">
        <v>38</v>
      </c>
    </row>
    <row r="152" spans="1:31" ht="409.5">
      <c r="A152" s="2">
        <v>2749157</v>
      </c>
      <c r="B152" s="2">
        <f>HYPERLINK("https://platform.v2.vetology.net/cases/2749157/screening-report/18?type=pdf&amp;v=v6&amp;scorecard=1&amp;secret_key=BX%25IJ%24%2F65ieZ%29f6", 2749157)</f>
        <v>2749157</v>
      </c>
      <c r="C152" s="2">
        <f>HYPERLINK("https://platform.v2.vetology.net/report/v/final/"&amp;2749157, 2749157)</f>
        <v>2749157</v>
      </c>
      <c r="D152" s="2" t="s">
        <v>600</v>
      </c>
      <c r="E152" s="2" t="s">
        <v>601</v>
      </c>
      <c r="F152" s="2"/>
      <c r="G152" s="2" t="s">
        <v>268</v>
      </c>
      <c r="H152" s="2" t="s">
        <v>78</v>
      </c>
      <c r="I152" s="2" t="s">
        <v>44</v>
      </c>
      <c r="J152" s="2"/>
      <c r="K152" s="2" t="s">
        <v>38</v>
      </c>
      <c r="L152" s="2" t="s">
        <v>39</v>
      </c>
      <c r="M152" s="2" t="s">
        <v>38</v>
      </c>
      <c r="N152" s="2" t="s">
        <v>38</v>
      </c>
      <c r="O152" s="2" t="s">
        <v>38</v>
      </c>
      <c r="P152" s="2" t="s">
        <v>38</v>
      </c>
      <c r="Q152" s="2" t="s">
        <v>38</v>
      </c>
      <c r="R152" s="2" t="s">
        <v>38</v>
      </c>
      <c r="S152" s="2" t="s">
        <v>38</v>
      </c>
      <c r="T152" s="2" t="s">
        <v>38</v>
      </c>
      <c r="U152" s="2" t="s">
        <v>38</v>
      </c>
      <c r="V152" s="2" t="s">
        <v>38</v>
      </c>
      <c r="W152" s="2" t="s">
        <v>38</v>
      </c>
      <c r="X152" s="2" t="s">
        <v>38</v>
      </c>
      <c r="Y152" s="2" t="s">
        <v>38</v>
      </c>
      <c r="Z152" s="2" t="s">
        <v>38</v>
      </c>
      <c r="AA152" s="2" t="s">
        <v>38</v>
      </c>
      <c r="AB152" s="2" t="s">
        <v>38</v>
      </c>
      <c r="AC152" s="2" t="s">
        <v>38</v>
      </c>
      <c r="AD152" s="2" t="s">
        <v>38</v>
      </c>
      <c r="AE152" s="2" t="s">
        <v>38</v>
      </c>
    </row>
    <row r="153" spans="1:31" ht="409.5">
      <c r="A153" s="2">
        <v>2749145</v>
      </c>
      <c r="B153" s="2">
        <f>HYPERLINK("https://platform.v2.vetology.net/cases/2749145/screening-report/18?type=pdf&amp;v=v6&amp;scorecard=1&amp;secret_key=BX%25IJ%24%2F65ieZ%29f6", 2749145)</f>
        <v>2749145</v>
      </c>
      <c r="C153" s="2">
        <f>HYPERLINK("https://platform.v2.vetology.net/report/v/final/"&amp;2749145, 2749145)</f>
        <v>2749145</v>
      </c>
      <c r="D153" s="2" t="s">
        <v>602</v>
      </c>
      <c r="E153" s="2" t="s">
        <v>603</v>
      </c>
      <c r="F153" s="2" t="s">
        <v>604</v>
      </c>
      <c r="G153" s="2" t="s">
        <v>135</v>
      </c>
      <c r="H153" s="2" t="s">
        <v>78</v>
      </c>
      <c r="I153" s="2" t="s">
        <v>44</v>
      </c>
      <c r="J153" s="2"/>
      <c r="K153" s="2" t="s">
        <v>38</v>
      </c>
      <c r="L153" s="2" t="s">
        <v>38</v>
      </c>
      <c r="M153" s="2" t="s">
        <v>38</v>
      </c>
      <c r="N153" s="2" t="s">
        <v>38</v>
      </c>
      <c r="O153" s="2" t="s">
        <v>38</v>
      </c>
      <c r="P153" s="2" t="s">
        <v>38</v>
      </c>
      <c r="Q153" s="2" t="s">
        <v>38</v>
      </c>
      <c r="R153" s="2" t="s">
        <v>38</v>
      </c>
      <c r="S153" s="2" t="s">
        <v>38</v>
      </c>
      <c r="T153" s="2" t="s">
        <v>38</v>
      </c>
      <c r="U153" s="2" t="s">
        <v>38</v>
      </c>
      <c r="V153" s="2" t="s">
        <v>38</v>
      </c>
      <c r="W153" s="2" t="s">
        <v>38</v>
      </c>
      <c r="X153" s="2" t="s">
        <v>38</v>
      </c>
      <c r="Y153" s="2" t="s">
        <v>38</v>
      </c>
      <c r="Z153" s="2" t="s">
        <v>38</v>
      </c>
      <c r="AA153" s="2" t="s">
        <v>38</v>
      </c>
      <c r="AB153" s="2" t="s">
        <v>38</v>
      </c>
      <c r="AC153" s="2" t="s">
        <v>38</v>
      </c>
      <c r="AD153" s="2" t="s">
        <v>38</v>
      </c>
      <c r="AE153" s="2" t="s">
        <v>38</v>
      </c>
    </row>
    <row r="154" spans="1:31" ht="409.5">
      <c r="A154" s="2">
        <v>2748983</v>
      </c>
      <c r="B154" s="2">
        <f>HYPERLINK("https://platform.v2.vetology.net/cases/2748983/screening-report/18?type=pdf&amp;v=v6&amp;scorecard=1&amp;secret_key=BX%25IJ%24%2F65ieZ%29f6", 2748983)</f>
        <v>2748983</v>
      </c>
      <c r="C154" s="2">
        <f>HYPERLINK("https://platform.v2.vetology.net/report/v/final/"&amp;2748983, 2748983)</f>
        <v>2748983</v>
      </c>
      <c r="D154" s="2" t="s">
        <v>605</v>
      </c>
      <c r="E154" s="2" t="s">
        <v>606</v>
      </c>
      <c r="F154" s="2" t="s">
        <v>81</v>
      </c>
      <c r="G154" s="2" t="s">
        <v>268</v>
      </c>
      <c r="H154" s="2" t="s">
        <v>607</v>
      </c>
      <c r="I154" s="2" t="s">
        <v>137</v>
      </c>
      <c r="J154" s="2" t="s">
        <v>66</v>
      </c>
      <c r="K154" s="2" t="s">
        <v>38</v>
      </c>
      <c r="L154" s="2" t="s">
        <v>39</v>
      </c>
      <c r="M154" s="2" t="s">
        <v>38</v>
      </c>
      <c r="N154" s="2" t="s">
        <v>38</v>
      </c>
      <c r="O154" s="2" t="s">
        <v>38</v>
      </c>
      <c r="P154" s="2" t="s">
        <v>38</v>
      </c>
      <c r="Q154" s="2" t="s">
        <v>38</v>
      </c>
      <c r="R154" s="2" t="s">
        <v>38</v>
      </c>
      <c r="S154" s="2" t="s">
        <v>38</v>
      </c>
      <c r="T154" s="2" t="s">
        <v>38</v>
      </c>
      <c r="U154" s="2" t="s">
        <v>38</v>
      </c>
      <c r="V154" s="2" t="s">
        <v>38</v>
      </c>
      <c r="W154" s="2" t="s">
        <v>38</v>
      </c>
      <c r="X154" s="2" t="s">
        <v>38</v>
      </c>
      <c r="Y154" s="2" t="s">
        <v>38</v>
      </c>
      <c r="Z154" s="2" t="s">
        <v>38</v>
      </c>
      <c r="AA154" s="2" t="s">
        <v>38</v>
      </c>
      <c r="AB154" s="2" t="s">
        <v>38</v>
      </c>
      <c r="AC154" s="2" t="s">
        <v>38</v>
      </c>
      <c r="AD154" s="2" t="s">
        <v>38</v>
      </c>
      <c r="AE154" s="2" t="s">
        <v>38</v>
      </c>
    </row>
    <row r="155" spans="1:31" ht="409.5">
      <c r="A155" s="2">
        <v>2748894</v>
      </c>
      <c r="B155" s="2">
        <f>HYPERLINK("https://platform.v2.vetology.net/cases/2748894/screening-report/18?type=pdf&amp;v=v6&amp;scorecard=1&amp;secret_key=BX%25IJ%24%2F65ieZ%29f6", 2748894)</f>
        <v>2748894</v>
      </c>
      <c r="C155" s="2">
        <f>HYPERLINK("https://platform.v2.vetology.net/report/v/final/"&amp;2748894, 2748894)</f>
        <v>2748894</v>
      </c>
      <c r="D155" s="2" t="s">
        <v>608</v>
      </c>
      <c r="E155" s="2" t="s">
        <v>133</v>
      </c>
      <c r="F155" s="2" t="s">
        <v>134</v>
      </c>
      <c r="G155" s="2" t="s">
        <v>135</v>
      </c>
      <c r="H155" s="2" t="s">
        <v>609</v>
      </c>
      <c r="I155" s="2" t="s">
        <v>152</v>
      </c>
      <c r="J155" s="2" t="s">
        <v>153</v>
      </c>
      <c r="K155" s="2" t="s">
        <v>38</v>
      </c>
      <c r="L155" s="2" t="s">
        <v>38</v>
      </c>
      <c r="M155" s="2" t="s">
        <v>38</v>
      </c>
      <c r="N155" s="2" t="s">
        <v>38</v>
      </c>
      <c r="O155" s="2" t="s">
        <v>38</v>
      </c>
      <c r="P155" s="2" t="s">
        <v>39</v>
      </c>
      <c r="Q155" s="2" t="s">
        <v>38</v>
      </c>
      <c r="R155" s="2" t="s">
        <v>38</v>
      </c>
      <c r="S155" s="2" t="s">
        <v>38</v>
      </c>
      <c r="T155" s="2" t="s">
        <v>38</v>
      </c>
      <c r="U155" s="2" t="s">
        <v>38</v>
      </c>
      <c r="V155" s="2" t="s">
        <v>38</v>
      </c>
      <c r="W155" s="2" t="s">
        <v>38</v>
      </c>
      <c r="X155" s="2" t="s">
        <v>38</v>
      </c>
      <c r="Y155" s="2" t="s">
        <v>38</v>
      </c>
      <c r="Z155" s="2" t="s">
        <v>38</v>
      </c>
      <c r="AA155" s="2" t="s">
        <v>38</v>
      </c>
      <c r="AB155" s="2" t="s">
        <v>39</v>
      </c>
      <c r="AC155" s="2" t="s">
        <v>38</v>
      </c>
      <c r="AD155" s="2" t="s">
        <v>38</v>
      </c>
      <c r="AE155" s="2" t="s">
        <v>38</v>
      </c>
    </row>
    <row r="156" spans="1:31" ht="409.5">
      <c r="A156" s="2">
        <v>2748872</v>
      </c>
      <c r="B156" s="2">
        <f>HYPERLINK("https://platform.v2.vetology.net/cases/2748872/screening-report/18?type=pdf&amp;v=v6&amp;scorecard=1&amp;secret_key=BX%25IJ%24%2F65ieZ%29f6", 2748872)</f>
        <v>2748872</v>
      </c>
      <c r="C156" s="2">
        <f>HYPERLINK("https://platform.v2.vetology.net/report/v/final/"&amp;2748872, 2748872)</f>
        <v>2748872</v>
      </c>
      <c r="D156" s="2" t="s">
        <v>610</v>
      </c>
      <c r="E156" s="2" t="s">
        <v>611</v>
      </c>
      <c r="F156" s="2" t="s">
        <v>612</v>
      </c>
      <c r="G156" s="2" t="s">
        <v>93</v>
      </c>
      <c r="H156" s="2" t="s">
        <v>613</v>
      </c>
      <c r="I156" s="2" t="s">
        <v>418</v>
      </c>
      <c r="J156" s="2" t="s">
        <v>419</v>
      </c>
      <c r="K156" s="2" t="s">
        <v>38</v>
      </c>
      <c r="L156" s="2" t="s">
        <v>39</v>
      </c>
      <c r="M156" s="2" t="s">
        <v>39</v>
      </c>
      <c r="N156" s="2" t="s">
        <v>38</v>
      </c>
      <c r="O156" s="2" t="s">
        <v>38</v>
      </c>
      <c r="P156" s="2" t="s">
        <v>38</v>
      </c>
      <c r="Q156" s="2" t="s">
        <v>38</v>
      </c>
      <c r="R156" s="2" t="s">
        <v>38</v>
      </c>
      <c r="S156" s="2" t="s">
        <v>38</v>
      </c>
      <c r="T156" s="2" t="s">
        <v>38</v>
      </c>
      <c r="U156" s="2" t="s">
        <v>38</v>
      </c>
      <c r="V156" s="2" t="s">
        <v>38</v>
      </c>
      <c r="W156" s="2" t="s">
        <v>38</v>
      </c>
      <c r="X156" s="2" t="s">
        <v>38</v>
      </c>
      <c r="Y156" s="2" t="s">
        <v>38</v>
      </c>
      <c r="Z156" s="2" t="s">
        <v>38</v>
      </c>
      <c r="AA156" s="2" t="s">
        <v>38</v>
      </c>
      <c r="AB156" s="2" t="s">
        <v>39</v>
      </c>
      <c r="AC156" s="2" t="s">
        <v>39</v>
      </c>
      <c r="AD156" s="2" t="s">
        <v>38</v>
      </c>
      <c r="AE156" s="2" t="s">
        <v>38</v>
      </c>
    </row>
    <row r="157" spans="1:31" ht="409.5">
      <c r="A157" s="2">
        <v>2748848</v>
      </c>
      <c r="B157" s="2">
        <f>HYPERLINK("https://platform.v2.vetology.net/cases/2748848/screening-report/18?type=pdf&amp;v=v6&amp;scorecard=1&amp;secret_key=BX%25IJ%24%2F65ieZ%29f6", 2748848)</f>
        <v>2748848</v>
      </c>
      <c r="C157" s="2">
        <f>HYPERLINK("https://platform.v2.vetology.net/report/v/final/"&amp;2748848, 2748848)</f>
        <v>2748848</v>
      </c>
      <c r="D157" s="2" t="s">
        <v>614</v>
      </c>
      <c r="E157" s="2" t="s">
        <v>615</v>
      </c>
      <c r="F157" s="2" t="s">
        <v>616</v>
      </c>
      <c r="G157" s="2" t="s">
        <v>34</v>
      </c>
      <c r="H157" s="2" t="s">
        <v>78</v>
      </c>
      <c r="I157" s="2" t="s">
        <v>44</v>
      </c>
      <c r="J157" s="2"/>
      <c r="K157" s="2" t="s">
        <v>38</v>
      </c>
      <c r="L157" s="2" t="s">
        <v>38</v>
      </c>
      <c r="M157" s="2" t="s">
        <v>39</v>
      </c>
      <c r="N157" s="2" t="s">
        <v>38</v>
      </c>
      <c r="O157" s="2" t="s">
        <v>38</v>
      </c>
      <c r="P157" s="2" t="s">
        <v>38</v>
      </c>
      <c r="Q157" s="2" t="s">
        <v>38</v>
      </c>
      <c r="R157" s="2" t="s">
        <v>38</v>
      </c>
      <c r="S157" s="2" t="s">
        <v>38</v>
      </c>
      <c r="T157" s="2" t="s">
        <v>38</v>
      </c>
      <c r="U157" s="2" t="s">
        <v>38</v>
      </c>
      <c r="V157" s="2" t="s">
        <v>38</v>
      </c>
      <c r="W157" s="2" t="s">
        <v>38</v>
      </c>
      <c r="X157" s="2" t="s">
        <v>38</v>
      </c>
      <c r="Y157" s="2" t="s">
        <v>38</v>
      </c>
      <c r="Z157" s="2" t="s">
        <v>38</v>
      </c>
      <c r="AA157" s="2" t="s">
        <v>38</v>
      </c>
      <c r="AB157" s="2" t="s">
        <v>38</v>
      </c>
      <c r="AC157" s="2" t="s">
        <v>38</v>
      </c>
      <c r="AD157" s="2" t="s">
        <v>38</v>
      </c>
      <c r="AE157" s="2" t="s">
        <v>38</v>
      </c>
    </row>
    <row r="158" spans="1:31" ht="409.5">
      <c r="A158" s="2">
        <v>2748728</v>
      </c>
      <c r="B158" s="2">
        <f>HYPERLINK("https://platform.v2.vetology.net/cases/2748728/screening-report/18?type=pdf&amp;v=v6&amp;scorecard=1&amp;secret_key=BX%25IJ%24%2F65ieZ%29f6", 2748728)</f>
        <v>2748728</v>
      </c>
      <c r="C158" s="2">
        <f>HYPERLINK("https://platform.v2.vetology.net/report/v/final/"&amp;2748728, 2748728)</f>
        <v>2748728</v>
      </c>
      <c r="D158" s="2" t="s">
        <v>608</v>
      </c>
      <c r="E158" s="2" t="s">
        <v>617</v>
      </c>
      <c r="F158" s="2" t="s">
        <v>618</v>
      </c>
      <c r="G158" s="2" t="s">
        <v>135</v>
      </c>
      <c r="H158" s="2" t="s">
        <v>244</v>
      </c>
      <c r="I158" s="2" t="s">
        <v>245</v>
      </c>
      <c r="J158" s="2" t="s">
        <v>246</v>
      </c>
      <c r="K158" s="2" t="s">
        <v>38</v>
      </c>
      <c r="L158" s="2" t="s">
        <v>38</v>
      </c>
      <c r="M158" s="2" t="s">
        <v>39</v>
      </c>
      <c r="N158" s="2" t="s">
        <v>38</v>
      </c>
      <c r="O158" s="2" t="s">
        <v>38</v>
      </c>
      <c r="P158" s="2" t="s">
        <v>39</v>
      </c>
      <c r="Q158" s="2" t="s">
        <v>38</v>
      </c>
      <c r="R158" s="2" t="s">
        <v>38</v>
      </c>
      <c r="S158" s="2" t="s">
        <v>39</v>
      </c>
      <c r="T158" s="2" t="s">
        <v>38</v>
      </c>
      <c r="U158" s="2" t="s">
        <v>38</v>
      </c>
      <c r="V158" s="2" t="s">
        <v>38</v>
      </c>
      <c r="W158" s="2" t="s">
        <v>38</v>
      </c>
      <c r="X158" s="2" t="s">
        <v>38</v>
      </c>
      <c r="Y158" s="2" t="s">
        <v>38</v>
      </c>
      <c r="Z158" s="2" t="s">
        <v>38</v>
      </c>
      <c r="AA158" s="2" t="s">
        <v>38</v>
      </c>
      <c r="AB158" s="2" t="s">
        <v>39</v>
      </c>
      <c r="AC158" s="2" t="s">
        <v>39</v>
      </c>
      <c r="AD158" s="2" t="s">
        <v>38</v>
      </c>
      <c r="AE158" s="2" t="s">
        <v>39</v>
      </c>
    </row>
    <row r="159" spans="1:31" ht="409.5">
      <c r="A159" s="2">
        <v>2747357</v>
      </c>
      <c r="B159" s="2">
        <f>HYPERLINK("https://platform.v2.vetology.net/cases/2747357/screening-report/18?type=pdf&amp;v=v6&amp;scorecard=1&amp;secret_key=BX%25IJ%24%2F65ieZ%29f6", 2747357)</f>
        <v>2747357</v>
      </c>
      <c r="C159" s="2">
        <f>HYPERLINK("https://platform.v2.vetology.net/report/v/final/"&amp;2747357, 2747357)</f>
        <v>2747357</v>
      </c>
      <c r="D159" s="2" t="s">
        <v>619</v>
      </c>
      <c r="E159" s="2" t="s">
        <v>620</v>
      </c>
      <c r="F159" s="2" t="s">
        <v>621</v>
      </c>
      <c r="G159" s="2" t="s">
        <v>63</v>
      </c>
      <c r="H159" s="2" t="s">
        <v>129</v>
      </c>
      <c r="I159" s="2" t="s">
        <v>44</v>
      </c>
      <c r="J159" s="2" t="s">
        <v>106</v>
      </c>
      <c r="K159" s="2" t="s">
        <v>38</v>
      </c>
      <c r="L159" s="2" t="s">
        <v>39</v>
      </c>
      <c r="M159" s="2" t="s">
        <v>38</v>
      </c>
      <c r="N159" s="2" t="s">
        <v>38</v>
      </c>
      <c r="O159" s="2" t="s">
        <v>38</v>
      </c>
      <c r="P159" s="2" t="s">
        <v>38</v>
      </c>
      <c r="Q159" s="2" t="s">
        <v>38</v>
      </c>
      <c r="R159" s="2" t="s">
        <v>38</v>
      </c>
      <c r="S159" s="2" t="s">
        <v>38</v>
      </c>
      <c r="T159" s="2" t="s">
        <v>39</v>
      </c>
      <c r="U159" s="2" t="s">
        <v>38</v>
      </c>
      <c r="V159" s="2" t="s">
        <v>39</v>
      </c>
      <c r="W159" s="2" t="s">
        <v>38</v>
      </c>
      <c r="X159" s="2" t="s">
        <v>38</v>
      </c>
      <c r="Y159" s="2" t="s">
        <v>38</v>
      </c>
      <c r="Z159" s="2" t="s">
        <v>38</v>
      </c>
      <c r="AA159" s="2" t="s">
        <v>38</v>
      </c>
      <c r="AB159" s="2" t="s">
        <v>38</v>
      </c>
      <c r="AC159" s="2" t="s">
        <v>38</v>
      </c>
      <c r="AD159" s="2" t="s">
        <v>38</v>
      </c>
      <c r="AE159" s="2" t="s">
        <v>39</v>
      </c>
    </row>
    <row r="160" spans="1:31" ht="409.5">
      <c r="A160" s="2">
        <v>2746998</v>
      </c>
      <c r="B160" s="2">
        <f>HYPERLINK("https://platform.v2.vetology.net/cases/2746998/screening-report/18?type=pdf&amp;v=v6&amp;scorecard=1&amp;secret_key=BX%25IJ%24%2F65ieZ%29f6", 2746998)</f>
        <v>2746998</v>
      </c>
      <c r="C160" s="2">
        <f>HYPERLINK("https://platform.v2.vetology.net/report/v/final/"&amp;2746998, 2746998)</f>
        <v>2746998</v>
      </c>
      <c r="D160" s="2" t="s">
        <v>622</v>
      </c>
      <c r="E160" s="2" t="s">
        <v>623</v>
      </c>
      <c r="F160" s="2" t="s">
        <v>624</v>
      </c>
      <c r="G160" s="2" t="s">
        <v>63</v>
      </c>
      <c r="H160" s="2" t="s">
        <v>459</v>
      </c>
      <c r="I160" s="2" t="s">
        <v>460</v>
      </c>
      <c r="J160" s="2" t="s">
        <v>66</v>
      </c>
      <c r="K160" s="2" t="s">
        <v>38</v>
      </c>
      <c r="L160" s="2" t="s">
        <v>38</v>
      </c>
      <c r="M160" s="2" t="s">
        <v>39</v>
      </c>
      <c r="N160" s="2" t="s">
        <v>38</v>
      </c>
      <c r="O160" s="2" t="s">
        <v>39</v>
      </c>
      <c r="P160" s="2" t="s">
        <v>39</v>
      </c>
      <c r="Q160" s="2" t="s">
        <v>38</v>
      </c>
      <c r="R160" s="2" t="s">
        <v>38</v>
      </c>
      <c r="S160" s="2" t="s">
        <v>39</v>
      </c>
      <c r="T160" s="2" t="s">
        <v>39</v>
      </c>
      <c r="U160" s="2" t="s">
        <v>38</v>
      </c>
      <c r="V160" s="2" t="s">
        <v>39</v>
      </c>
      <c r="W160" s="2" t="s">
        <v>38</v>
      </c>
      <c r="X160" s="2" t="s">
        <v>39</v>
      </c>
      <c r="Y160" s="2" t="s">
        <v>38</v>
      </c>
      <c r="Z160" s="2" t="s">
        <v>39</v>
      </c>
      <c r="AA160" s="2" t="s">
        <v>39</v>
      </c>
      <c r="AB160" s="2" t="s">
        <v>39</v>
      </c>
      <c r="AC160" s="2" t="s">
        <v>38</v>
      </c>
      <c r="AD160" s="2" t="s">
        <v>38</v>
      </c>
      <c r="AE160" s="2" t="s">
        <v>38</v>
      </c>
    </row>
    <row r="161" spans="1:31" ht="409.5">
      <c r="A161" s="2">
        <v>2746653</v>
      </c>
      <c r="B161" s="2">
        <f>HYPERLINK("https://platform.v2.vetology.net/cases/2746653/screening-report/18?type=pdf&amp;v=v6&amp;scorecard=1&amp;secret_key=BX%25IJ%24%2F65ieZ%29f6", 2746653)</f>
        <v>2746653</v>
      </c>
      <c r="C161" s="2">
        <f>HYPERLINK("https://platform.v2.vetology.net/report/v/final/"&amp;2746653, 2746653)</f>
        <v>2746653</v>
      </c>
      <c r="D161" s="2" t="s">
        <v>625</v>
      </c>
      <c r="E161" s="2" t="s">
        <v>626</v>
      </c>
      <c r="F161" s="2" t="s">
        <v>627</v>
      </c>
      <c r="G161" s="2" t="s">
        <v>70</v>
      </c>
      <c r="H161" s="2" t="s">
        <v>129</v>
      </c>
      <c r="I161" s="2" t="s">
        <v>44</v>
      </c>
      <c r="J161" s="2" t="s">
        <v>106</v>
      </c>
      <c r="K161" s="2" t="s">
        <v>38</v>
      </c>
      <c r="L161" s="2" t="s">
        <v>38</v>
      </c>
      <c r="M161" s="2" t="s">
        <v>38</v>
      </c>
      <c r="N161" s="2" t="s">
        <v>38</v>
      </c>
      <c r="O161" s="2" t="s">
        <v>38</v>
      </c>
      <c r="P161" s="2" t="s">
        <v>38</v>
      </c>
      <c r="Q161" s="2" t="s">
        <v>38</v>
      </c>
      <c r="R161" s="2" t="s">
        <v>38</v>
      </c>
      <c r="S161" s="2" t="s">
        <v>38</v>
      </c>
      <c r="T161" s="2" t="s">
        <v>39</v>
      </c>
      <c r="U161" s="2" t="s">
        <v>38</v>
      </c>
      <c r="V161" s="2" t="s">
        <v>38</v>
      </c>
      <c r="W161" s="2" t="s">
        <v>38</v>
      </c>
      <c r="X161" s="2" t="s">
        <v>38</v>
      </c>
      <c r="Y161" s="2" t="s">
        <v>38</v>
      </c>
      <c r="Z161" s="2" t="s">
        <v>38</v>
      </c>
      <c r="AA161" s="2" t="s">
        <v>38</v>
      </c>
      <c r="AB161" s="2" t="s">
        <v>38</v>
      </c>
      <c r="AC161" s="2" t="s">
        <v>38</v>
      </c>
      <c r="AD161" s="2" t="s">
        <v>38</v>
      </c>
      <c r="AE161" s="2" t="s">
        <v>38</v>
      </c>
    </row>
    <row r="162" spans="1:31" ht="409.5">
      <c r="A162" s="2">
        <v>2746617</v>
      </c>
      <c r="B162" s="2">
        <f>HYPERLINK("https://platform.v2.vetology.net/cases/2746617/screening-report/18?type=pdf&amp;v=v6&amp;scorecard=1&amp;secret_key=BX%25IJ%24%2F65ieZ%29f6", 2746617)</f>
        <v>2746617</v>
      </c>
      <c r="C162" s="2">
        <f>HYPERLINK("https://platform.v2.vetology.net/report/v/final/"&amp;2746617, 2746617)</f>
        <v>2746617</v>
      </c>
      <c r="D162" s="2" t="s">
        <v>628</v>
      </c>
      <c r="E162" s="2" t="s">
        <v>629</v>
      </c>
      <c r="F162" s="2" t="s">
        <v>81</v>
      </c>
      <c r="G162" s="2" t="s">
        <v>82</v>
      </c>
      <c r="H162" s="2" t="s">
        <v>129</v>
      </c>
      <c r="I162" s="2" t="s">
        <v>44</v>
      </c>
      <c r="J162" s="2" t="s">
        <v>106</v>
      </c>
      <c r="K162" s="2" t="s">
        <v>38</v>
      </c>
      <c r="L162" s="2" t="s">
        <v>39</v>
      </c>
      <c r="M162" s="2" t="s">
        <v>38</v>
      </c>
      <c r="N162" s="2" t="s">
        <v>38</v>
      </c>
      <c r="O162" s="2" t="s">
        <v>38</v>
      </c>
      <c r="P162" s="2" t="s">
        <v>38</v>
      </c>
      <c r="Q162" s="2" t="s">
        <v>38</v>
      </c>
      <c r="R162" s="2" t="s">
        <v>38</v>
      </c>
      <c r="S162" s="2" t="s">
        <v>38</v>
      </c>
      <c r="T162" s="2" t="s">
        <v>38</v>
      </c>
      <c r="U162" s="2" t="s">
        <v>38</v>
      </c>
      <c r="V162" s="2" t="s">
        <v>38</v>
      </c>
      <c r="W162" s="2" t="s">
        <v>38</v>
      </c>
      <c r="X162" s="2" t="s">
        <v>38</v>
      </c>
      <c r="Y162" s="2" t="s">
        <v>38</v>
      </c>
      <c r="Z162" s="2" t="s">
        <v>38</v>
      </c>
      <c r="AA162" s="2" t="s">
        <v>38</v>
      </c>
      <c r="AB162" s="2" t="s">
        <v>38</v>
      </c>
      <c r="AC162" s="2" t="s">
        <v>38</v>
      </c>
      <c r="AD162" s="2" t="s">
        <v>38</v>
      </c>
      <c r="AE162" s="2" t="s">
        <v>38</v>
      </c>
    </row>
    <row r="163" spans="1:31" ht="409.5">
      <c r="A163" s="2">
        <v>2746476</v>
      </c>
      <c r="B163" s="2">
        <f>HYPERLINK("https://platform.v2.vetology.net/cases/2746476/screening-report/18?type=pdf&amp;v=v6&amp;scorecard=1&amp;secret_key=BX%25IJ%24%2F65ieZ%29f6", 2746476)</f>
        <v>2746476</v>
      </c>
      <c r="C163" s="2">
        <f>HYPERLINK("https://platform.v2.vetology.net/report/v/final/"&amp;2746476, 2746476)</f>
        <v>2746476</v>
      </c>
      <c r="D163" s="2" t="s">
        <v>630</v>
      </c>
      <c r="E163" s="2" t="s">
        <v>631</v>
      </c>
      <c r="F163" s="2" t="s">
        <v>632</v>
      </c>
      <c r="G163" s="2" t="s">
        <v>58</v>
      </c>
      <c r="H163" s="2" t="s">
        <v>633</v>
      </c>
      <c r="I163" s="2" t="s">
        <v>634</v>
      </c>
      <c r="J163" s="2" t="s">
        <v>635</v>
      </c>
      <c r="K163" s="2" t="s">
        <v>39</v>
      </c>
      <c r="L163" s="2" t="s">
        <v>39</v>
      </c>
      <c r="M163" s="2" t="s">
        <v>39</v>
      </c>
      <c r="N163" s="2" t="s">
        <v>39</v>
      </c>
      <c r="O163" s="2" t="s">
        <v>39</v>
      </c>
      <c r="P163" s="2" t="s">
        <v>39</v>
      </c>
      <c r="Q163" s="2" t="s">
        <v>39</v>
      </c>
      <c r="R163" s="2" t="s">
        <v>39</v>
      </c>
      <c r="S163" s="2" t="s">
        <v>39</v>
      </c>
      <c r="T163" s="2" t="s">
        <v>39</v>
      </c>
      <c r="U163" s="2" t="s">
        <v>39</v>
      </c>
      <c r="V163" s="2" t="s">
        <v>39</v>
      </c>
      <c r="W163" s="2" t="s">
        <v>39</v>
      </c>
      <c r="X163" s="2" t="s">
        <v>39</v>
      </c>
      <c r="Y163" s="2" t="s">
        <v>39</v>
      </c>
      <c r="Z163" s="2" t="s">
        <v>39</v>
      </c>
      <c r="AA163" s="2" t="s">
        <v>39</v>
      </c>
      <c r="AB163" s="2" t="s">
        <v>39</v>
      </c>
      <c r="AC163" s="2" t="s">
        <v>39</v>
      </c>
      <c r="AD163" s="2" t="s">
        <v>39</v>
      </c>
      <c r="AE163" s="2" t="s">
        <v>39</v>
      </c>
    </row>
    <row r="164" spans="1:31" ht="409.5">
      <c r="A164" s="2">
        <v>2746184</v>
      </c>
      <c r="B164" s="2">
        <f>HYPERLINK("https://platform.v2.vetology.net/cases/2746184/screening-report/18?type=pdf&amp;v=v6&amp;scorecard=1&amp;secret_key=BX%25IJ%24%2F65ieZ%29f6", 2746184)</f>
        <v>2746184</v>
      </c>
      <c r="C164" s="2">
        <f>HYPERLINK("https://platform.v2.vetology.net/report/v/final/"&amp;2746184, 2746184)</f>
        <v>2746184</v>
      </c>
      <c r="D164" s="2" t="s">
        <v>636</v>
      </c>
      <c r="E164" s="2" t="s">
        <v>637</v>
      </c>
      <c r="F164" s="2" t="s">
        <v>81</v>
      </c>
      <c r="G164" s="2" t="s">
        <v>82</v>
      </c>
      <c r="H164" s="2" t="s">
        <v>78</v>
      </c>
      <c r="I164" s="2" t="s">
        <v>44</v>
      </c>
      <c r="J164" s="2" t="s">
        <v>106</v>
      </c>
      <c r="K164" s="2" t="s">
        <v>38</v>
      </c>
      <c r="L164" s="2" t="s">
        <v>38</v>
      </c>
      <c r="M164" s="2" t="s">
        <v>38</v>
      </c>
      <c r="N164" s="2" t="s">
        <v>38</v>
      </c>
      <c r="O164" s="2" t="s">
        <v>38</v>
      </c>
      <c r="P164" s="2" t="s">
        <v>38</v>
      </c>
      <c r="Q164" s="2" t="s">
        <v>38</v>
      </c>
      <c r="R164" s="2" t="s">
        <v>38</v>
      </c>
      <c r="S164" s="2" t="s">
        <v>38</v>
      </c>
      <c r="T164" s="2" t="s">
        <v>39</v>
      </c>
      <c r="U164" s="2" t="s">
        <v>38</v>
      </c>
      <c r="V164" s="2" t="s">
        <v>38</v>
      </c>
      <c r="W164" s="2" t="s">
        <v>38</v>
      </c>
      <c r="X164" s="2" t="s">
        <v>39</v>
      </c>
      <c r="Y164" s="2" t="s">
        <v>38</v>
      </c>
      <c r="Z164" s="2" t="s">
        <v>38</v>
      </c>
      <c r="AA164" s="2" t="s">
        <v>38</v>
      </c>
      <c r="AB164" s="2" t="s">
        <v>38</v>
      </c>
      <c r="AC164" s="2" t="s">
        <v>39</v>
      </c>
      <c r="AD164" s="2" t="s">
        <v>38</v>
      </c>
      <c r="AE164" s="2" t="s">
        <v>38</v>
      </c>
    </row>
    <row r="165" spans="1:31" ht="409.5">
      <c r="A165" s="2">
        <v>2746145</v>
      </c>
      <c r="B165" s="2">
        <f>HYPERLINK("https://platform.v2.vetology.net/cases/2746145/screening-report/18?type=pdf&amp;v=v6&amp;scorecard=1&amp;secret_key=BX%25IJ%24%2F65ieZ%29f6", 2746145)</f>
        <v>2746145</v>
      </c>
      <c r="C165" s="2">
        <f>HYPERLINK("https://platform.v2.vetology.net/report/v/final/"&amp;2746145, 2746145)</f>
        <v>2746145</v>
      </c>
      <c r="D165" s="2" t="s">
        <v>638</v>
      </c>
      <c r="E165" s="2" t="s">
        <v>639</v>
      </c>
      <c r="F165" s="2" t="s">
        <v>640</v>
      </c>
      <c r="G165" s="2" t="s">
        <v>93</v>
      </c>
      <c r="H165" s="2" t="s">
        <v>641</v>
      </c>
      <c r="I165" s="2" t="s">
        <v>642</v>
      </c>
      <c r="J165" s="2" t="s">
        <v>643</v>
      </c>
      <c r="K165" s="2" t="s">
        <v>39</v>
      </c>
      <c r="L165" s="2" t="s">
        <v>39</v>
      </c>
      <c r="M165" s="2" t="s">
        <v>39</v>
      </c>
      <c r="N165" s="2" t="s">
        <v>39</v>
      </c>
      <c r="O165" s="2" t="s">
        <v>39</v>
      </c>
      <c r="P165" s="2" t="s">
        <v>39</v>
      </c>
      <c r="Q165" s="2" t="s">
        <v>38</v>
      </c>
      <c r="R165" s="2" t="s">
        <v>38</v>
      </c>
      <c r="S165" s="2" t="s">
        <v>39</v>
      </c>
      <c r="T165" s="2" t="s">
        <v>39</v>
      </c>
      <c r="U165" s="2" t="s">
        <v>38</v>
      </c>
      <c r="V165" s="2" t="s">
        <v>39</v>
      </c>
      <c r="W165" s="2" t="s">
        <v>39</v>
      </c>
      <c r="X165" s="2" t="s">
        <v>39</v>
      </c>
      <c r="Y165" s="2" t="s">
        <v>39</v>
      </c>
      <c r="Z165" s="2" t="s">
        <v>39</v>
      </c>
      <c r="AA165" s="2" t="s">
        <v>39</v>
      </c>
      <c r="AB165" s="2" t="s">
        <v>39</v>
      </c>
      <c r="AC165" s="2" t="s">
        <v>39</v>
      </c>
      <c r="AD165" s="2" t="s">
        <v>38</v>
      </c>
      <c r="AE165" s="2" t="s">
        <v>38</v>
      </c>
    </row>
    <row r="166" spans="1:31" ht="409.5">
      <c r="A166" s="2">
        <v>2746094</v>
      </c>
      <c r="B166" s="2">
        <f>HYPERLINK("https://platform.v2.vetology.net/cases/2746094/screening-report/18?type=pdf&amp;v=v6&amp;scorecard=1&amp;secret_key=BX%25IJ%24%2F65ieZ%29f6", 2746094)</f>
        <v>2746094</v>
      </c>
      <c r="C166" s="2">
        <f>HYPERLINK("https://platform.v2.vetology.net/report/v/final/"&amp;2746094, 2746094)</f>
        <v>2746094</v>
      </c>
      <c r="D166" s="2" t="s">
        <v>644</v>
      </c>
      <c r="E166" s="2" t="s">
        <v>645</v>
      </c>
      <c r="F166" s="2" t="s">
        <v>81</v>
      </c>
      <c r="G166" s="2" t="s">
        <v>82</v>
      </c>
      <c r="H166" s="2" t="s">
        <v>646</v>
      </c>
      <c r="I166" s="2" t="s">
        <v>167</v>
      </c>
      <c r="J166" s="2" t="s">
        <v>168</v>
      </c>
      <c r="K166" s="2" t="s">
        <v>38</v>
      </c>
      <c r="L166" s="2" t="s">
        <v>39</v>
      </c>
      <c r="M166" s="2" t="s">
        <v>38</v>
      </c>
      <c r="N166" s="2" t="s">
        <v>38</v>
      </c>
      <c r="O166" s="2" t="s">
        <v>38</v>
      </c>
      <c r="P166" s="2" t="s">
        <v>38</v>
      </c>
      <c r="Q166" s="2" t="s">
        <v>38</v>
      </c>
      <c r="R166" s="2" t="s">
        <v>38</v>
      </c>
      <c r="S166" s="2" t="s">
        <v>39</v>
      </c>
      <c r="T166" s="2" t="s">
        <v>39</v>
      </c>
      <c r="U166" s="2" t="s">
        <v>38</v>
      </c>
      <c r="V166" s="2" t="s">
        <v>39</v>
      </c>
      <c r="W166" s="2" t="s">
        <v>38</v>
      </c>
      <c r="X166" s="2" t="s">
        <v>39</v>
      </c>
      <c r="Y166" s="2" t="s">
        <v>38</v>
      </c>
      <c r="Z166" s="2" t="s">
        <v>38</v>
      </c>
      <c r="AA166" s="2" t="s">
        <v>38</v>
      </c>
      <c r="AB166" s="2" t="s">
        <v>38</v>
      </c>
      <c r="AC166" s="2" t="s">
        <v>38</v>
      </c>
      <c r="AD166" s="2" t="s">
        <v>38</v>
      </c>
      <c r="AE166" s="2" t="s">
        <v>38</v>
      </c>
    </row>
    <row r="167" spans="1:31" ht="409.5">
      <c r="A167" s="2">
        <v>2746060</v>
      </c>
      <c r="B167" s="2">
        <f>HYPERLINK("https://platform.v2.vetology.net/cases/2746060/screening-report/18?type=pdf&amp;v=v6&amp;scorecard=1&amp;secret_key=BX%25IJ%24%2F65ieZ%29f6", 2746060)</f>
        <v>2746060</v>
      </c>
      <c r="C167" s="2">
        <f>HYPERLINK("https://platform.v2.vetology.net/report/v/final/"&amp;2746060, 2746060)</f>
        <v>2746060</v>
      </c>
      <c r="D167" s="2" t="s">
        <v>647</v>
      </c>
      <c r="E167" s="2" t="s">
        <v>648</v>
      </c>
      <c r="F167" s="2" t="s">
        <v>149</v>
      </c>
      <c r="G167" s="2" t="s">
        <v>150</v>
      </c>
      <c r="H167" s="2" t="s">
        <v>649</v>
      </c>
      <c r="I167" s="2" t="s">
        <v>227</v>
      </c>
      <c r="J167" s="2" t="s">
        <v>228</v>
      </c>
      <c r="K167" s="2" t="s">
        <v>38</v>
      </c>
      <c r="L167" s="2" t="s">
        <v>38</v>
      </c>
      <c r="M167" s="2" t="s">
        <v>38</v>
      </c>
      <c r="N167" s="2" t="s">
        <v>38</v>
      </c>
      <c r="O167" s="2" t="s">
        <v>38</v>
      </c>
      <c r="P167" s="2" t="s">
        <v>38</v>
      </c>
      <c r="Q167" s="2" t="s">
        <v>38</v>
      </c>
      <c r="R167" s="2" t="s">
        <v>38</v>
      </c>
      <c r="S167" s="2" t="s">
        <v>38</v>
      </c>
      <c r="T167" s="2" t="s">
        <v>38</v>
      </c>
      <c r="U167" s="2" t="s">
        <v>38</v>
      </c>
      <c r="V167" s="2" t="s">
        <v>38</v>
      </c>
      <c r="W167" s="2" t="s">
        <v>38</v>
      </c>
      <c r="X167" s="2" t="s">
        <v>38</v>
      </c>
      <c r="Y167" s="2" t="s">
        <v>38</v>
      </c>
      <c r="Z167" s="2" t="s">
        <v>38</v>
      </c>
      <c r="AA167" s="2" t="s">
        <v>38</v>
      </c>
      <c r="AB167" s="2" t="s">
        <v>39</v>
      </c>
      <c r="AC167" s="2" t="s">
        <v>38</v>
      </c>
      <c r="AD167" s="2" t="s">
        <v>38</v>
      </c>
      <c r="AE167" s="2" t="s">
        <v>38</v>
      </c>
    </row>
    <row r="168" spans="1:31" ht="409.5">
      <c r="A168" s="2">
        <v>2746004</v>
      </c>
      <c r="B168" s="2">
        <f>HYPERLINK("https://platform.v2.vetology.net/cases/2746004/screening-report/18?type=pdf&amp;v=v6&amp;scorecard=1&amp;secret_key=BX%25IJ%24%2F65ieZ%29f6", 2746004)</f>
        <v>2746004</v>
      </c>
      <c r="C168" s="2">
        <f>HYPERLINK("https://platform.v2.vetology.net/report/v/final/"&amp;2746004, 2746004)</f>
        <v>2746004</v>
      </c>
      <c r="D168" s="2" t="s">
        <v>650</v>
      </c>
      <c r="E168" s="2" t="s">
        <v>651</v>
      </c>
      <c r="F168" s="2"/>
      <c r="G168" s="2" t="s">
        <v>141</v>
      </c>
      <c r="H168" s="2" t="s">
        <v>609</v>
      </c>
      <c r="I168" s="2" t="s">
        <v>152</v>
      </c>
      <c r="J168" s="2" t="s">
        <v>153</v>
      </c>
      <c r="K168" s="2" t="s">
        <v>38</v>
      </c>
      <c r="L168" s="2" t="s">
        <v>38</v>
      </c>
      <c r="M168" s="2" t="s">
        <v>38</v>
      </c>
      <c r="N168" s="2" t="s">
        <v>38</v>
      </c>
      <c r="O168" s="2" t="s">
        <v>38</v>
      </c>
      <c r="P168" s="2" t="s">
        <v>38</v>
      </c>
      <c r="Q168" s="2" t="s">
        <v>38</v>
      </c>
      <c r="R168" s="2" t="s">
        <v>38</v>
      </c>
      <c r="S168" s="2" t="s">
        <v>38</v>
      </c>
      <c r="T168" s="2" t="s">
        <v>38</v>
      </c>
      <c r="U168" s="2" t="s">
        <v>39</v>
      </c>
      <c r="V168" s="2" t="s">
        <v>38</v>
      </c>
      <c r="W168" s="2" t="s">
        <v>38</v>
      </c>
      <c r="X168" s="2" t="s">
        <v>39</v>
      </c>
      <c r="Y168" s="2" t="s">
        <v>38</v>
      </c>
      <c r="Z168" s="2" t="s">
        <v>38</v>
      </c>
      <c r="AA168" s="2" t="s">
        <v>38</v>
      </c>
      <c r="AB168" s="2" t="s">
        <v>39</v>
      </c>
      <c r="AC168" s="2" t="s">
        <v>38</v>
      </c>
      <c r="AD168" s="2" t="s">
        <v>38</v>
      </c>
      <c r="AE168" s="2" t="s">
        <v>38</v>
      </c>
    </row>
    <row r="169" spans="1:31" ht="409.5">
      <c r="A169" s="2">
        <v>2745944</v>
      </c>
      <c r="B169" s="2">
        <f>HYPERLINK("https://platform.v2.vetology.net/cases/2745944/screening-report/18?type=pdf&amp;v=v6&amp;scorecard=1&amp;secret_key=BX%25IJ%24%2F65ieZ%29f6", 2745944)</f>
        <v>2745944</v>
      </c>
      <c r="C169" s="2">
        <f>HYPERLINK("https://platform.v2.vetology.net/report/v/final/"&amp;2745944, 2745944)</f>
        <v>2745944</v>
      </c>
      <c r="D169" s="2" t="s">
        <v>652</v>
      </c>
      <c r="E169" s="2" t="s">
        <v>653</v>
      </c>
      <c r="F169" s="2" t="s">
        <v>654</v>
      </c>
      <c r="G169" s="2" t="s">
        <v>82</v>
      </c>
      <c r="H169" s="2" t="s">
        <v>655</v>
      </c>
      <c r="I169" s="2" t="s">
        <v>124</v>
      </c>
      <c r="J169" s="2" t="s">
        <v>125</v>
      </c>
      <c r="K169" s="2" t="s">
        <v>38</v>
      </c>
      <c r="L169" s="2" t="s">
        <v>39</v>
      </c>
      <c r="M169" s="2" t="s">
        <v>39</v>
      </c>
      <c r="N169" s="2" t="s">
        <v>38</v>
      </c>
      <c r="O169" s="2" t="s">
        <v>39</v>
      </c>
      <c r="P169" s="2" t="s">
        <v>39</v>
      </c>
      <c r="Q169" s="2" t="s">
        <v>39</v>
      </c>
      <c r="R169" s="2" t="s">
        <v>38</v>
      </c>
      <c r="S169" s="2" t="s">
        <v>38</v>
      </c>
      <c r="T169" s="2" t="s">
        <v>39</v>
      </c>
      <c r="U169" s="2" t="s">
        <v>38</v>
      </c>
      <c r="V169" s="2" t="s">
        <v>38</v>
      </c>
      <c r="W169" s="2" t="s">
        <v>38</v>
      </c>
      <c r="X169" s="2" t="s">
        <v>39</v>
      </c>
      <c r="Y169" s="2" t="s">
        <v>38</v>
      </c>
      <c r="Z169" s="2" t="s">
        <v>39</v>
      </c>
      <c r="AA169" s="2" t="s">
        <v>38</v>
      </c>
      <c r="AB169" s="2" t="s">
        <v>39</v>
      </c>
      <c r="AC169" s="2" t="s">
        <v>38</v>
      </c>
      <c r="AD169" s="2" t="s">
        <v>38</v>
      </c>
      <c r="AE169" s="2" t="s">
        <v>38</v>
      </c>
    </row>
    <row r="170" spans="1:31" ht="409.5">
      <c r="A170" s="2">
        <v>2745838</v>
      </c>
      <c r="B170" s="2">
        <f>HYPERLINK("https://platform.v2.vetology.net/cases/2745838/screening-report/18?type=pdf&amp;v=v6&amp;scorecard=1&amp;secret_key=BX%25IJ%24%2F65ieZ%29f6", 2745838)</f>
        <v>2745838</v>
      </c>
      <c r="C170" s="2">
        <f>HYPERLINK("https://platform.v2.vetology.net/report/v/final/"&amp;2745838, 2745838)</f>
        <v>2745838</v>
      </c>
      <c r="D170" s="2" t="s">
        <v>656</v>
      </c>
      <c r="E170" s="2" t="s">
        <v>657</v>
      </c>
      <c r="F170" s="2" t="s">
        <v>658</v>
      </c>
      <c r="G170" s="2" t="s">
        <v>150</v>
      </c>
      <c r="H170" s="2" t="s">
        <v>659</v>
      </c>
      <c r="I170" s="2" t="s">
        <v>245</v>
      </c>
      <c r="J170" s="2" t="s">
        <v>246</v>
      </c>
      <c r="K170" s="2" t="s">
        <v>38</v>
      </c>
      <c r="L170" s="2" t="s">
        <v>39</v>
      </c>
      <c r="M170" s="2" t="s">
        <v>39</v>
      </c>
      <c r="N170" s="2" t="s">
        <v>39</v>
      </c>
      <c r="O170" s="2" t="s">
        <v>38</v>
      </c>
      <c r="P170" s="2" t="s">
        <v>39</v>
      </c>
      <c r="Q170" s="2" t="s">
        <v>39</v>
      </c>
      <c r="R170" s="2" t="s">
        <v>38</v>
      </c>
      <c r="S170" s="2" t="s">
        <v>38</v>
      </c>
      <c r="T170" s="2" t="s">
        <v>38</v>
      </c>
      <c r="U170" s="2" t="s">
        <v>38</v>
      </c>
      <c r="V170" s="2" t="s">
        <v>38</v>
      </c>
      <c r="W170" s="2" t="s">
        <v>38</v>
      </c>
      <c r="X170" s="2" t="s">
        <v>38</v>
      </c>
      <c r="Y170" s="2" t="s">
        <v>38</v>
      </c>
      <c r="Z170" s="2" t="s">
        <v>38</v>
      </c>
      <c r="AA170" s="2" t="s">
        <v>38</v>
      </c>
      <c r="AB170" s="2" t="s">
        <v>39</v>
      </c>
      <c r="AC170" s="2" t="s">
        <v>38</v>
      </c>
      <c r="AD170" s="2" t="s">
        <v>38</v>
      </c>
      <c r="AE170" s="2" t="s">
        <v>38</v>
      </c>
    </row>
    <row r="171" spans="1:31" ht="409.5">
      <c r="A171" s="2">
        <v>2745793</v>
      </c>
      <c r="B171" s="2">
        <f>HYPERLINK("https://platform.v2.vetology.net/cases/2745793/screening-report/18?type=pdf&amp;v=v6&amp;scorecard=1&amp;secret_key=BX%25IJ%24%2F65ieZ%29f6", 2745793)</f>
        <v>2745793</v>
      </c>
      <c r="C171" s="2">
        <f>HYPERLINK("https://platform.v2.vetology.net/report/v/final/"&amp;2745793, 2745793)</f>
        <v>2745793</v>
      </c>
      <c r="D171" s="2" t="s">
        <v>660</v>
      </c>
      <c r="E171" s="2" t="s">
        <v>661</v>
      </c>
      <c r="F171" s="2" t="s">
        <v>662</v>
      </c>
      <c r="G171" s="2" t="s">
        <v>58</v>
      </c>
      <c r="H171" s="2" t="s">
        <v>54</v>
      </c>
      <c r="I171" s="2" t="s">
        <v>44</v>
      </c>
      <c r="J171" s="2"/>
      <c r="K171" s="2" t="s">
        <v>38</v>
      </c>
      <c r="L171" s="2" t="s">
        <v>38</v>
      </c>
      <c r="M171" s="2" t="s">
        <v>39</v>
      </c>
      <c r="N171" s="2" t="s">
        <v>38</v>
      </c>
      <c r="O171" s="2" t="s">
        <v>38</v>
      </c>
      <c r="P171" s="2" t="s">
        <v>38</v>
      </c>
      <c r="Q171" s="2" t="s">
        <v>38</v>
      </c>
      <c r="R171" s="2" t="s">
        <v>38</v>
      </c>
      <c r="S171" s="2" t="s">
        <v>38</v>
      </c>
      <c r="T171" s="2" t="s">
        <v>38</v>
      </c>
      <c r="U171" s="2" t="s">
        <v>38</v>
      </c>
      <c r="V171" s="2" t="s">
        <v>38</v>
      </c>
      <c r="W171" s="2" t="s">
        <v>38</v>
      </c>
      <c r="X171" s="2" t="s">
        <v>38</v>
      </c>
      <c r="Y171" s="2" t="s">
        <v>38</v>
      </c>
      <c r="Z171" s="2" t="s">
        <v>38</v>
      </c>
      <c r="AA171" s="2" t="s">
        <v>38</v>
      </c>
      <c r="AB171" s="2" t="s">
        <v>38</v>
      </c>
      <c r="AC171" s="2" t="s">
        <v>38</v>
      </c>
      <c r="AD171" s="2" t="s">
        <v>38</v>
      </c>
      <c r="AE171" s="2" t="s">
        <v>38</v>
      </c>
    </row>
    <row r="172" spans="1:31" ht="409.5">
      <c r="A172" s="2">
        <v>2745787</v>
      </c>
      <c r="B172" s="2">
        <f>HYPERLINK("https://platform.v2.vetology.net/cases/2745787/screening-report/18?type=pdf&amp;v=v6&amp;scorecard=1&amp;secret_key=BX%25IJ%24%2F65ieZ%29f6", 2745787)</f>
        <v>2745787</v>
      </c>
      <c r="C172" s="2">
        <f>HYPERLINK("https://platform.v2.vetology.net/report/v/final/"&amp;2745787, 2745787)</f>
        <v>2745787</v>
      </c>
      <c r="D172" s="2" t="s">
        <v>663</v>
      </c>
      <c r="E172" s="2" t="s">
        <v>664</v>
      </c>
      <c r="F172" s="2" t="s">
        <v>81</v>
      </c>
      <c r="G172" s="2" t="s">
        <v>268</v>
      </c>
      <c r="H172" s="2" t="s">
        <v>54</v>
      </c>
      <c r="I172" s="2" t="s">
        <v>44</v>
      </c>
      <c r="J172" s="2" t="s">
        <v>106</v>
      </c>
      <c r="K172" s="2" t="s">
        <v>38</v>
      </c>
      <c r="L172" s="2" t="s">
        <v>38</v>
      </c>
      <c r="M172" s="2" t="s">
        <v>38</v>
      </c>
      <c r="N172" s="2" t="s">
        <v>38</v>
      </c>
      <c r="O172" s="2" t="s">
        <v>38</v>
      </c>
      <c r="P172" s="2" t="s">
        <v>38</v>
      </c>
      <c r="Q172" s="2" t="s">
        <v>38</v>
      </c>
      <c r="R172" s="2" t="s">
        <v>38</v>
      </c>
      <c r="S172" s="2" t="s">
        <v>38</v>
      </c>
      <c r="T172" s="2" t="s">
        <v>38</v>
      </c>
      <c r="U172" s="2" t="s">
        <v>38</v>
      </c>
      <c r="V172" s="2" t="s">
        <v>38</v>
      </c>
      <c r="W172" s="2" t="s">
        <v>38</v>
      </c>
      <c r="X172" s="2" t="s">
        <v>38</v>
      </c>
      <c r="Y172" s="2" t="s">
        <v>38</v>
      </c>
      <c r="Z172" s="2" t="s">
        <v>38</v>
      </c>
      <c r="AA172" s="2" t="s">
        <v>38</v>
      </c>
      <c r="AB172" s="2" t="s">
        <v>38</v>
      </c>
      <c r="AC172" s="2" t="s">
        <v>39</v>
      </c>
      <c r="AD172" s="2" t="s">
        <v>38</v>
      </c>
      <c r="AE172" s="2" t="s">
        <v>38</v>
      </c>
    </row>
    <row r="173" spans="1:31" ht="409.5">
      <c r="A173" s="2">
        <v>2745571</v>
      </c>
      <c r="B173" s="2">
        <f>HYPERLINK("https://platform.v2.vetology.net/cases/2745571/screening-report/18?type=pdf&amp;v=v6&amp;scorecard=1&amp;secret_key=BX%25IJ%24%2F65ieZ%29f6", 2745571)</f>
        <v>2745571</v>
      </c>
      <c r="C173" s="2">
        <f>HYPERLINK("https://platform.v2.vetology.net/report/v/final/"&amp;2745571, 2745571)</f>
        <v>2745571</v>
      </c>
      <c r="D173" s="2" t="s">
        <v>665</v>
      </c>
      <c r="E173" s="2" t="s">
        <v>666</v>
      </c>
      <c r="F173" s="2" t="s">
        <v>667</v>
      </c>
      <c r="G173" s="2" t="s">
        <v>82</v>
      </c>
      <c r="H173" s="2" t="s">
        <v>118</v>
      </c>
      <c r="I173" s="2" t="s">
        <v>119</v>
      </c>
      <c r="J173" s="2" t="s">
        <v>112</v>
      </c>
      <c r="K173" s="2" t="s">
        <v>39</v>
      </c>
      <c r="L173" s="2" t="s">
        <v>39</v>
      </c>
      <c r="M173" s="2" t="s">
        <v>39</v>
      </c>
      <c r="N173" s="2" t="s">
        <v>38</v>
      </c>
      <c r="O173" s="2" t="s">
        <v>39</v>
      </c>
      <c r="P173" s="2" t="s">
        <v>39</v>
      </c>
      <c r="Q173" s="2" t="s">
        <v>39</v>
      </c>
      <c r="R173" s="2" t="s">
        <v>39</v>
      </c>
      <c r="S173" s="2" t="s">
        <v>39</v>
      </c>
      <c r="T173" s="2" t="s">
        <v>39</v>
      </c>
      <c r="U173" s="2" t="s">
        <v>39</v>
      </c>
      <c r="V173" s="2" t="s">
        <v>39</v>
      </c>
      <c r="W173" s="2" t="s">
        <v>38</v>
      </c>
      <c r="X173" s="2" t="s">
        <v>39</v>
      </c>
      <c r="Y173" s="2" t="s">
        <v>39</v>
      </c>
      <c r="Z173" s="2" t="s">
        <v>39</v>
      </c>
      <c r="AA173" s="2" t="s">
        <v>39</v>
      </c>
      <c r="AB173" s="2" t="s">
        <v>39</v>
      </c>
      <c r="AC173" s="2" t="s">
        <v>39</v>
      </c>
      <c r="AD173" s="2" t="s">
        <v>39</v>
      </c>
      <c r="AE173" s="2" t="s">
        <v>39</v>
      </c>
    </row>
    <row r="174" spans="1:31" ht="409.5">
      <c r="A174" s="2">
        <v>2745375</v>
      </c>
      <c r="B174" s="2">
        <f>HYPERLINK("https://platform.v2.vetology.net/cases/2745375/screening-report/18?type=pdf&amp;v=v6&amp;scorecard=1&amp;secret_key=BX%25IJ%24%2F65ieZ%29f6", 2745375)</f>
        <v>2745375</v>
      </c>
      <c r="C174" s="2">
        <f>HYPERLINK("https://platform.v2.vetology.net/report/v/final/"&amp;2745375, 2745375)</f>
        <v>2745375</v>
      </c>
      <c r="D174" s="2" t="s">
        <v>668</v>
      </c>
      <c r="E174" s="2" t="s">
        <v>669</v>
      </c>
      <c r="F174" s="2" t="s">
        <v>670</v>
      </c>
      <c r="G174" s="2" t="s">
        <v>34</v>
      </c>
      <c r="H174" s="2" t="s">
        <v>339</v>
      </c>
      <c r="I174" s="2" t="s">
        <v>124</v>
      </c>
      <c r="J174" s="2" t="s">
        <v>125</v>
      </c>
      <c r="K174" s="2" t="s">
        <v>38</v>
      </c>
      <c r="L174" s="2" t="s">
        <v>39</v>
      </c>
      <c r="M174" s="2" t="s">
        <v>39</v>
      </c>
      <c r="N174" s="2" t="s">
        <v>38</v>
      </c>
      <c r="O174" s="2" t="s">
        <v>38</v>
      </c>
      <c r="P174" s="2" t="s">
        <v>38</v>
      </c>
      <c r="Q174" s="2" t="s">
        <v>39</v>
      </c>
      <c r="R174" s="2" t="s">
        <v>38</v>
      </c>
      <c r="S174" s="2" t="s">
        <v>39</v>
      </c>
      <c r="T174" s="2" t="s">
        <v>38</v>
      </c>
      <c r="U174" s="2" t="s">
        <v>38</v>
      </c>
      <c r="V174" s="2" t="s">
        <v>38</v>
      </c>
      <c r="W174" s="2" t="s">
        <v>38</v>
      </c>
      <c r="X174" s="2" t="s">
        <v>38</v>
      </c>
      <c r="Y174" s="2" t="s">
        <v>38</v>
      </c>
      <c r="Z174" s="2" t="s">
        <v>38</v>
      </c>
      <c r="AA174" s="2" t="s">
        <v>38</v>
      </c>
      <c r="AB174" s="2" t="s">
        <v>39</v>
      </c>
      <c r="AC174" s="2" t="s">
        <v>38</v>
      </c>
      <c r="AD174" s="2" t="s">
        <v>38</v>
      </c>
      <c r="AE174" s="2" t="s">
        <v>38</v>
      </c>
    </row>
    <row r="175" spans="1:31" ht="409.5">
      <c r="A175" s="2">
        <v>2745052</v>
      </c>
      <c r="B175" s="2">
        <f>HYPERLINK("https://platform.v2.vetology.net/cases/2745052/screening-report/18?type=pdf&amp;v=v6&amp;scorecard=1&amp;secret_key=BX%25IJ%24%2F65ieZ%29f6", 2745052)</f>
        <v>2745052</v>
      </c>
      <c r="C175" s="2">
        <f>HYPERLINK("https://platform.v2.vetology.net/report/v/final/"&amp;2745052, 2745052)</f>
        <v>2745052</v>
      </c>
      <c r="D175" s="2" t="s">
        <v>671</v>
      </c>
      <c r="E175" s="2" t="s">
        <v>672</v>
      </c>
      <c r="F175" s="2"/>
      <c r="G175" s="2" t="s">
        <v>150</v>
      </c>
      <c r="H175" s="2" t="s">
        <v>78</v>
      </c>
      <c r="I175" s="2" t="s">
        <v>44</v>
      </c>
      <c r="J175" s="2"/>
      <c r="K175" s="2" t="s">
        <v>38</v>
      </c>
      <c r="L175" s="2" t="s">
        <v>38</v>
      </c>
      <c r="M175" s="2" t="s">
        <v>38</v>
      </c>
      <c r="N175" s="2" t="s">
        <v>38</v>
      </c>
      <c r="O175" s="2" t="s">
        <v>38</v>
      </c>
      <c r="P175" s="2" t="s">
        <v>38</v>
      </c>
      <c r="Q175" s="2" t="s">
        <v>38</v>
      </c>
      <c r="R175" s="2" t="s">
        <v>38</v>
      </c>
      <c r="S175" s="2" t="s">
        <v>38</v>
      </c>
      <c r="T175" s="2" t="s">
        <v>38</v>
      </c>
      <c r="U175" s="2" t="s">
        <v>38</v>
      </c>
      <c r="V175" s="2" t="s">
        <v>38</v>
      </c>
      <c r="W175" s="2" t="s">
        <v>38</v>
      </c>
      <c r="X175" s="2" t="s">
        <v>38</v>
      </c>
      <c r="Y175" s="2" t="s">
        <v>38</v>
      </c>
      <c r="Z175" s="2" t="s">
        <v>38</v>
      </c>
      <c r="AA175" s="2" t="s">
        <v>38</v>
      </c>
      <c r="AB175" s="2" t="s">
        <v>39</v>
      </c>
      <c r="AC175" s="2" t="s">
        <v>38</v>
      </c>
      <c r="AD175" s="2" t="s">
        <v>38</v>
      </c>
      <c r="AE175" s="2" t="s">
        <v>38</v>
      </c>
    </row>
    <row r="176" spans="1:31" ht="409.5">
      <c r="A176" s="2">
        <v>2744999</v>
      </c>
      <c r="B176" s="2">
        <f>HYPERLINK("https://platform.v2.vetology.net/cases/2744999/screening-report/18?type=pdf&amp;v=v6&amp;scorecard=1&amp;secret_key=BX%25IJ%24%2F65ieZ%29f6", 2744999)</f>
        <v>2744999</v>
      </c>
      <c r="C176" s="2">
        <f>HYPERLINK("https://platform.v2.vetology.net/report/v/final/"&amp;2744999, 2744999)</f>
        <v>2744999</v>
      </c>
      <c r="D176" s="2" t="s">
        <v>673</v>
      </c>
      <c r="E176" s="2" t="s">
        <v>674</v>
      </c>
      <c r="F176" s="2" t="s">
        <v>675</v>
      </c>
      <c r="G176" s="2" t="s">
        <v>34</v>
      </c>
      <c r="H176" s="2" t="s">
        <v>676</v>
      </c>
      <c r="I176" s="2" t="s">
        <v>152</v>
      </c>
      <c r="J176" s="2" t="s">
        <v>153</v>
      </c>
      <c r="K176" s="2" t="s">
        <v>38</v>
      </c>
      <c r="L176" s="2" t="s">
        <v>38</v>
      </c>
      <c r="M176" s="2" t="s">
        <v>38</v>
      </c>
      <c r="N176" s="2" t="s">
        <v>38</v>
      </c>
      <c r="O176" s="2" t="s">
        <v>38</v>
      </c>
      <c r="P176" s="2" t="s">
        <v>39</v>
      </c>
      <c r="Q176" s="2" t="s">
        <v>38</v>
      </c>
      <c r="R176" s="2" t="s">
        <v>38</v>
      </c>
      <c r="S176" s="2" t="s">
        <v>38</v>
      </c>
      <c r="T176" s="2" t="s">
        <v>38</v>
      </c>
      <c r="U176" s="2" t="s">
        <v>38</v>
      </c>
      <c r="V176" s="2" t="s">
        <v>38</v>
      </c>
      <c r="W176" s="2" t="s">
        <v>38</v>
      </c>
      <c r="X176" s="2" t="s">
        <v>38</v>
      </c>
      <c r="Y176" s="2" t="s">
        <v>38</v>
      </c>
      <c r="Z176" s="2" t="s">
        <v>38</v>
      </c>
      <c r="AA176" s="2" t="s">
        <v>38</v>
      </c>
      <c r="AB176" s="2" t="s">
        <v>39</v>
      </c>
      <c r="AC176" s="2" t="s">
        <v>38</v>
      </c>
      <c r="AD176" s="2" t="s">
        <v>38</v>
      </c>
      <c r="AE176" s="2" t="s">
        <v>38</v>
      </c>
    </row>
    <row r="177" spans="1:31" ht="409.5">
      <c r="A177" s="2">
        <v>2744877</v>
      </c>
      <c r="B177" s="2">
        <f>HYPERLINK("https://platform.v2.vetology.net/cases/2744877/screening-report/18?type=pdf&amp;v=v6&amp;scorecard=1&amp;secret_key=BX%25IJ%24%2F65ieZ%29f6", 2744877)</f>
        <v>2744877</v>
      </c>
      <c r="C177" s="2">
        <f>HYPERLINK("https://platform.v2.vetology.net/report/v/final/"&amp;2744877, 2744877)</f>
        <v>2744877</v>
      </c>
      <c r="D177" s="2" t="s">
        <v>677</v>
      </c>
      <c r="E177" s="2" t="s">
        <v>678</v>
      </c>
      <c r="F177" s="2" t="s">
        <v>679</v>
      </c>
      <c r="G177" s="2" t="s">
        <v>34</v>
      </c>
      <c r="H177" s="2" t="s">
        <v>680</v>
      </c>
      <c r="I177" s="2" t="s">
        <v>681</v>
      </c>
      <c r="J177" s="2" t="s">
        <v>50</v>
      </c>
      <c r="K177" s="2" t="s">
        <v>38</v>
      </c>
      <c r="L177" s="2" t="s">
        <v>38</v>
      </c>
      <c r="M177" s="2" t="s">
        <v>39</v>
      </c>
      <c r="N177" s="2" t="s">
        <v>38</v>
      </c>
      <c r="O177" s="2" t="s">
        <v>38</v>
      </c>
      <c r="P177" s="2" t="s">
        <v>38</v>
      </c>
      <c r="Q177" s="2" t="s">
        <v>38</v>
      </c>
      <c r="R177" s="2" t="s">
        <v>38</v>
      </c>
      <c r="S177" s="2" t="s">
        <v>38</v>
      </c>
      <c r="T177" s="2" t="s">
        <v>38</v>
      </c>
      <c r="U177" s="2" t="s">
        <v>39</v>
      </c>
      <c r="V177" s="2" t="s">
        <v>38</v>
      </c>
      <c r="W177" s="2" t="s">
        <v>38</v>
      </c>
      <c r="X177" s="2" t="s">
        <v>38</v>
      </c>
      <c r="Y177" s="2" t="s">
        <v>38</v>
      </c>
      <c r="Z177" s="2" t="s">
        <v>38</v>
      </c>
      <c r="AA177" s="2" t="s">
        <v>38</v>
      </c>
      <c r="AB177" s="2" t="s">
        <v>38</v>
      </c>
      <c r="AC177" s="2" t="s">
        <v>38</v>
      </c>
      <c r="AD177" s="2" t="s">
        <v>38</v>
      </c>
      <c r="AE177" s="2" t="s">
        <v>39</v>
      </c>
    </row>
    <row r="178" spans="1:31" ht="409.5">
      <c r="A178" s="2">
        <v>2744815</v>
      </c>
      <c r="B178" s="2">
        <f>HYPERLINK("https://platform.v2.vetology.net/cases/2744815/screening-report/18?type=pdf&amp;v=v6&amp;scorecard=1&amp;secret_key=BX%25IJ%24%2F65ieZ%29f6", 2744815)</f>
        <v>2744815</v>
      </c>
      <c r="C178" s="2">
        <f>HYPERLINK("https://platform.v2.vetology.net/report/v/final/"&amp;2744815, 2744815)</f>
        <v>2744815</v>
      </c>
      <c r="D178" s="2" t="s">
        <v>682</v>
      </c>
      <c r="E178" s="2" t="s">
        <v>683</v>
      </c>
      <c r="F178" s="2" t="s">
        <v>684</v>
      </c>
      <c r="G178" s="2" t="s">
        <v>34</v>
      </c>
      <c r="H178" s="2" t="s">
        <v>78</v>
      </c>
      <c r="I178" s="2" t="s">
        <v>44</v>
      </c>
      <c r="J178" s="2"/>
      <c r="K178" s="2" t="s">
        <v>38</v>
      </c>
      <c r="L178" s="2" t="s">
        <v>39</v>
      </c>
      <c r="M178" s="2" t="s">
        <v>39</v>
      </c>
      <c r="N178" s="2" t="s">
        <v>38</v>
      </c>
      <c r="O178" s="2" t="s">
        <v>38</v>
      </c>
      <c r="P178" s="2" t="s">
        <v>38</v>
      </c>
      <c r="Q178" s="2" t="s">
        <v>38</v>
      </c>
      <c r="R178" s="2" t="s">
        <v>38</v>
      </c>
      <c r="S178" s="2" t="s">
        <v>39</v>
      </c>
      <c r="T178" s="2" t="s">
        <v>39</v>
      </c>
      <c r="U178" s="2" t="s">
        <v>38</v>
      </c>
      <c r="V178" s="2" t="s">
        <v>39</v>
      </c>
      <c r="W178" s="2" t="s">
        <v>38</v>
      </c>
      <c r="X178" s="2" t="s">
        <v>39</v>
      </c>
      <c r="Y178" s="2" t="s">
        <v>38</v>
      </c>
      <c r="Z178" s="2" t="s">
        <v>38</v>
      </c>
      <c r="AA178" s="2" t="s">
        <v>38</v>
      </c>
      <c r="AB178" s="2" t="s">
        <v>39</v>
      </c>
      <c r="AC178" s="2" t="s">
        <v>38</v>
      </c>
      <c r="AD178" s="2" t="s">
        <v>38</v>
      </c>
      <c r="AE178" s="2" t="s">
        <v>38</v>
      </c>
    </row>
    <row r="179" spans="1:31" ht="409.5">
      <c r="A179" s="2">
        <v>2744734</v>
      </c>
      <c r="B179" s="2">
        <f>HYPERLINK("https://platform.v2.vetology.net/cases/2744734/screening-report/18?type=pdf&amp;v=v6&amp;scorecard=1&amp;secret_key=BX%25IJ%24%2F65ieZ%29f6", 2744734)</f>
        <v>2744734</v>
      </c>
      <c r="C179" s="2">
        <f>HYPERLINK("https://platform.v2.vetology.net/report/v/final/"&amp;2744734, 2744734)</f>
        <v>2744734</v>
      </c>
      <c r="D179" s="2" t="s">
        <v>685</v>
      </c>
      <c r="E179" s="2" t="s">
        <v>686</v>
      </c>
      <c r="F179" s="2" t="s">
        <v>687</v>
      </c>
      <c r="G179" s="2" t="s">
        <v>150</v>
      </c>
      <c r="H179" s="2" t="s">
        <v>688</v>
      </c>
      <c r="I179" s="2" t="s">
        <v>689</v>
      </c>
      <c r="J179" s="2" t="s">
        <v>690</v>
      </c>
      <c r="K179" s="2" t="s">
        <v>38</v>
      </c>
      <c r="L179" s="2" t="s">
        <v>39</v>
      </c>
      <c r="M179" s="2" t="s">
        <v>38</v>
      </c>
      <c r="N179" s="2" t="s">
        <v>38</v>
      </c>
      <c r="O179" s="2" t="s">
        <v>38</v>
      </c>
      <c r="P179" s="2" t="s">
        <v>38</v>
      </c>
      <c r="Q179" s="2" t="s">
        <v>38</v>
      </c>
      <c r="R179" s="2" t="s">
        <v>38</v>
      </c>
      <c r="S179" s="2" t="s">
        <v>38</v>
      </c>
      <c r="T179" s="2" t="s">
        <v>38</v>
      </c>
      <c r="U179" s="2" t="s">
        <v>39</v>
      </c>
      <c r="V179" s="2" t="s">
        <v>38</v>
      </c>
      <c r="W179" s="2" t="s">
        <v>38</v>
      </c>
      <c r="X179" s="2" t="s">
        <v>38</v>
      </c>
      <c r="Y179" s="2" t="s">
        <v>38</v>
      </c>
      <c r="Z179" s="2" t="s">
        <v>39</v>
      </c>
      <c r="AA179" s="2" t="s">
        <v>38</v>
      </c>
      <c r="AB179" s="2" t="s">
        <v>39</v>
      </c>
      <c r="AC179" s="2" t="s">
        <v>39</v>
      </c>
      <c r="AD179" s="2" t="s">
        <v>38</v>
      </c>
      <c r="AE179" s="2" t="s">
        <v>38</v>
      </c>
    </row>
    <row r="180" spans="1:31" ht="409.5">
      <c r="A180" s="2">
        <v>2744729</v>
      </c>
      <c r="B180" s="2">
        <f>HYPERLINK("https://platform.v2.vetology.net/cases/2744729/screening-report/18?type=pdf&amp;v=v6&amp;scorecard=1&amp;secret_key=BX%25IJ%24%2F65ieZ%29f6", 2744729)</f>
        <v>2744729</v>
      </c>
      <c r="C180" s="2">
        <f>HYPERLINK("https://platform.v2.vetology.net/report/v/final/"&amp;2744729, 2744729)</f>
        <v>2744729</v>
      </c>
      <c r="D180" s="2" t="s">
        <v>691</v>
      </c>
      <c r="E180" s="2" t="s">
        <v>692</v>
      </c>
      <c r="F180" s="2" t="s">
        <v>693</v>
      </c>
      <c r="G180" s="2" t="s">
        <v>34</v>
      </c>
      <c r="H180" s="2" t="s">
        <v>694</v>
      </c>
      <c r="I180" s="2" t="s">
        <v>695</v>
      </c>
      <c r="J180" s="2" t="s">
        <v>436</v>
      </c>
      <c r="K180" s="2" t="s">
        <v>39</v>
      </c>
      <c r="L180" s="2" t="s">
        <v>39</v>
      </c>
      <c r="M180" s="2" t="s">
        <v>39</v>
      </c>
      <c r="N180" s="2" t="s">
        <v>39</v>
      </c>
      <c r="O180" s="2" t="s">
        <v>38</v>
      </c>
      <c r="P180" s="2" t="s">
        <v>39</v>
      </c>
      <c r="Q180" s="2" t="s">
        <v>38</v>
      </c>
      <c r="R180" s="2" t="s">
        <v>38</v>
      </c>
      <c r="S180" s="2" t="s">
        <v>39</v>
      </c>
      <c r="T180" s="2" t="s">
        <v>38</v>
      </c>
      <c r="U180" s="2" t="s">
        <v>39</v>
      </c>
      <c r="V180" s="2" t="s">
        <v>38</v>
      </c>
      <c r="W180" s="2" t="s">
        <v>38</v>
      </c>
      <c r="X180" s="2" t="s">
        <v>39</v>
      </c>
      <c r="Y180" s="2" t="s">
        <v>38</v>
      </c>
      <c r="Z180" s="2" t="s">
        <v>39</v>
      </c>
      <c r="AA180" s="2" t="s">
        <v>38</v>
      </c>
      <c r="AB180" s="2" t="s">
        <v>39</v>
      </c>
      <c r="AC180" s="2" t="s">
        <v>39</v>
      </c>
      <c r="AD180" s="2" t="s">
        <v>38</v>
      </c>
      <c r="AE180" s="2" t="s">
        <v>38</v>
      </c>
    </row>
    <row r="181" spans="1:31" ht="409.5">
      <c r="A181" s="2">
        <v>2744639</v>
      </c>
      <c r="B181" s="2">
        <f>HYPERLINK("https://platform.v2.vetology.net/cases/2744639/screening-report/18?type=pdf&amp;v=v6&amp;scorecard=1&amp;secret_key=BX%25IJ%24%2F65ieZ%29f6", 2744639)</f>
        <v>2744639</v>
      </c>
      <c r="C181" s="2">
        <f>HYPERLINK("https://platform.v2.vetology.net/report/v/final/"&amp;2744639, 2744639)</f>
        <v>2744639</v>
      </c>
      <c r="D181" s="2" t="s">
        <v>696</v>
      </c>
      <c r="E181" s="2" t="s">
        <v>697</v>
      </c>
      <c r="F181" s="2" t="s">
        <v>698</v>
      </c>
      <c r="G181" s="2" t="s">
        <v>150</v>
      </c>
      <c r="H181" s="2" t="s">
        <v>699</v>
      </c>
      <c r="I181" s="2" t="s">
        <v>700</v>
      </c>
      <c r="J181" s="2" t="s">
        <v>701</v>
      </c>
      <c r="K181" s="2" t="s">
        <v>38</v>
      </c>
      <c r="L181" s="2" t="s">
        <v>39</v>
      </c>
      <c r="M181" s="2" t="s">
        <v>38</v>
      </c>
      <c r="N181" s="2" t="s">
        <v>38</v>
      </c>
      <c r="O181" s="2" t="s">
        <v>38</v>
      </c>
      <c r="P181" s="2" t="s">
        <v>38</v>
      </c>
      <c r="Q181" s="2" t="s">
        <v>38</v>
      </c>
      <c r="R181" s="2" t="s">
        <v>38</v>
      </c>
      <c r="S181" s="2" t="s">
        <v>38</v>
      </c>
      <c r="T181" s="2" t="s">
        <v>38</v>
      </c>
      <c r="U181" s="2" t="s">
        <v>38</v>
      </c>
      <c r="V181" s="2" t="s">
        <v>38</v>
      </c>
      <c r="W181" s="2" t="s">
        <v>38</v>
      </c>
      <c r="X181" s="2" t="s">
        <v>38</v>
      </c>
      <c r="Y181" s="2" t="s">
        <v>38</v>
      </c>
      <c r="Z181" s="2" t="s">
        <v>38</v>
      </c>
      <c r="AA181" s="2" t="s">
        <v>38</v>
      </c>
      <c r="AB181" s="2" t="s">
        <v>39</v>
      </c>
      <c r="AC181" s="2" t="s">
        <v>39</v>
      </c>
      <c r="AD181" s="2" t="s">
        <v>38</v>
      </c>
      <c r="AE181" s="2" t="s">
        <v>38</v>
      </c>
    </row>
    <row r="182" spans="1:31" ht="409.5">
      <c r="A182" s="2">
        <v>2744509</v>
      </c>
      <c r="B182" s="2">
        <f>HYPERLINK("https://platform.v2.vetology.net/cases/2744509/screening-report/18?type=pdf&amp;v=v6&amp;scorecard=1&amp;secret_key=BX%25IJ%24%2F65ieZ%29f6", 2744509)</f>
        <v>2744509</v>
      </c>
      <c r="C182" s="2">
        <f>HYPERLINK("https://platform.v2.vetology.net/report/v/final/"&amp;2744509, 2744509)</f>
        <v>2744509</v>
      </c>
      <c r="D182" s="2" t="s">
        <v>702</v>
      </c>
      <c r="E182" s="2" t="s">
        <v>703</v>
      </c>
      <c r="F182" s="2" t="s">
        <v>81</v>
      </c>
      <c r="G182" s="2" t="s">
        <v>82</v>
      </c>
      <c r="H182" s="2" t="s">
        <v>129</v>
      </c>
      <c r="I182" s="2" t="s">
        <v>44</v>
      </c>
      <c r="J182" s="2"/>
      <c r="K182" s="2" t="s">
        <v>38</v>
      </c>
      <c r="L182" s="2" t="s">
        <v>39</v>
      </c>
      <c r="M182" s="2" t="s">
        <v>39</v>
      </c>
      <c r="N182" s="2" t="s">
        <v>38</v>
      </c>
      <c r="O182" s="2" t="s">
        <v>38</v>
      </c>
      <c r="P182" s="2" t="s">
        <v>38</v>
      </c>
      <c r="Q182" s="2" t="s">
        <v>38</v>
      </c>
      <c r="R182" s="2" t="s">
        <v>38</v>
      </c>
      <c r="S182" s="2" t="s">
        <v>38</v>
      </c>
      <c r="T182" s="2" t="s">
        <v>38</v>
      </c>
      <c r="U182" s="2" t="s">
        <v>38</v>
      </c>
      <c r="V182" s="2" t="s">
        <v>38</v>
      </c>
      <c r="W182" s="2" t="s">
        <v>38</v>
      </c>
      <c r="X182" s="2" t="s">
        <v>38</v>
      </c>
      <c r="Y182" s="2" t="s">
        <v>38</v>
      </c>
      <c r="Z182" s="2" t="s">
        <v>38</v>
      </c>
      <c r="AA182" s="2" t="s">
        <v>38</v>
      </c>
      <c r="AB182" s="2" t="s">
        <v>38</v>
      </c>
      <c r="AC182" s="2" t="s">
        <v>38</v>
      </c>
      <c r="AD182" s="2" t="s">
        <v>38</v>
      </c>
      <c r="AE182" s="2" t="s">
        <v>38</v>
      </c>
    </row>
    <row r="183" spans="1:31" ht="409.5">
      <c r="A183" s="2">
        <v>2744425</v>
      </c>
      <c r="B183" s="2">
        <f>HYPERLINK("https://platform.v2.vetology.net/cases/2744425/screening-report/18?type=pdf&amp;v=v6&amp;scorecard=1&amp;secret_key=BX%25IJ%24%2F65ieZ%29f6", 2744425)</f>
        <v>2744425</v>
      </c>
      <c r="C183" s="2">
        <f>HYPERLINK("https://platform.v2.vetology.net/report/v/final/"&amp;2744425, 2744425)</f>
        <v>2744425</v>
      </c>
      <c r="D183" s="2" t="s">
        <v>704</v>
      </c>
      <c r="E183" s="2" t="s">
        <v>705</v>
      </c>
      <c r="F183" s="2" t="s">
        <v>706</v>
      </c>
      <c r="G183" s="2" t="s">
        <v>63</v>
      </c>
      <c r="H183" s="2" t="s">
        <v>129</v>
      </c>
      <c r="I183" s="2" t="s">
        <v>44</v>
      </c>
      <c r="J183" s="2"/>
      <c r="K183" s="2" t="s">
        <v>38</v>
      </c>
      <c r="L183" s="2" t="s">
        <v>39</v>
      </c>
      <c r="M183" s="2" t="s">
        <v>38</v>
      </c>
      <c r="N183" s="2" t="s">
        <v>38</v>
      </c>
      <c r="O183" s="2" t="s">
        <v>38</v>
      </c>
      <c r="P183" s="2" t="s">
        <v>38</v>
      </c>
      <c r="Q183" s="2" t="s">
        <v>38</v>
      </c>
      <c r="R183" s="2" t="s">
        <v>38</v>
      </c>
      <c r="S183" s="2" t="s">
        <v>38</v>
      </c>
      <c r="T183" s="2" t="s">
        <v>39</v>
      </c>
      <c r="U183" s="2" t="s">
        <v>38</v>
      </c>
      <c r="V183" s="2" t="s">
        <v>39</v>
      </c>
      <c r="W183" s="2" t="s">
        <v>38</v>
      </c>
      <c r="X183" s="2" t="s">
        <v>39</v>
      </c>
      <c r="Y183" s="2" t="s">
        <v>38</v>
      </c>
      <c r="Z183" s="2" t="s">
        <v>38</v>
      </c>
      <c r="AA183" s="2" t="s">
        <v>38</v>
      </c>
      <c r="AB183" s="2" t="s">
        <v>38</v>
      </c>
      <c r="AC183" s="2" t="s">
        <v>38</v>
      </c>
      <c r="AD183" s="2" t="s">
        <v>38</v>
      </c>
      <c r="AE183" s="2" t="s">
        <v>38</v>
      </c>
    </row>
    <row r="184" spans="1:31" ht="409.5">
      <c r="A184" s="2">
        <v>2744250</v>
      </c>
      <c r="B184" s="2">
        <f>HYPERLINK("https://platform.v2.vetology.net/cases/2744250/screening-report/18?type=pdf&amp;v=v6&amp;scorecard=1&amp;secret_key=BX%25IJ%24%2F65ieZ%29f6", 2744250)</f>
        <v>2744250</v>
      </c>
      <c r="C184" s="2">
        <f>HYPERLINK("https://platform.v2.vetology.net/report/v/final/"&amp;2744250, 2744250)</f>
        <v>2744250</v>
      </c>
      <c r="D184" s="2" t="s">
        <v>707</v>
      </c>
      <c r="E184" s="2" t="s">
        <v>708</v>
      </c>
      <c r="F184" s="2" t="s">
        <v>523</v>
      </c>
      <c r="G184" s="2" t="s">
        <v>141</v>
      </c>
      <c r="H184" s="2" t="s">
        <v>709</v>
      </c>
      <c r="I184" s="2" t="s">
        <v>382</v>
      </c>
      <c r="J184" s="2" t="s">
        <v>710</v>
      </c>
      <c r="K184" s="2" t="s">
        <v>38</v>
      </c>
      <c r="L184" s="2" t="s">
        <v>39</v>
      </c>
      <c r="M184" s="2" t="s">
        <v>39</v>
      </c>
      <c r="N184" s="2" t="s">
        <v>38</v>
      </c>
      <c r="O184" s="2" t="s">
        <v>39</v>
      </c>
      <c r="P184" s="2" t="s">
        <v>38</v>
      </c>
      <c r="Q184" s="2" t="s">
        <v>38</v>
      </c>
      <c r="R184" s="2" t="s">
        <v>38</v>
      </c>
      <c r="S184" s="2" t="s">
        <v>39</v>
      </c>
      <c r="T184" s="2" t="s">
        <v>39</v>
      </c>
      <c r="U184" s="2" t="s">
        <v>39</v>
      </c>
      <c r="V184" s="2" t="s">
        <v>38</v>
      </c>
      <c r="W184" s="2" t="s">
        <v>38</v>
      </c>
      <c r="X184" s="2" t="s">
        <v>39</v>
      </c>
      <c r="Y184" s="2" t="s">
        <v>38</v>
      </c>
      <c r="Z184" s="2" t="s">
        <v>38</v>
      </c>
      <c r="AA184" s="2" t="s">
        <v>38</v>
      </c>
      <c r="AB184" s="2" t="s">
        <v>38</v>
      </c>
      <c r="AC184" s="2" t="s">
        <v>38</v>
      </c>
      <c r="AD184" s="2" t="s">
        <v>38</v>
      </c>
      <c r="AE184" s="2" t="s">
        <v>38</v>
      </c>
    </row>
    <row r="185" spans="1:31" ht="375">
      <c r="A185" s="2">
        <v>2744103</v>
      </c>
      <c r="B185" s="2">
        <f>HYPERLINK("https://platform.v2.vetology.net/cases/2744103/screening-report/18?type=pdf&amp;v=v6&amp;scorecard=1&amp;secret_key=BX%25IJ%24%2F65ieZ%29f6", 2744103)</f>
        <v>2744103</v>
      </c>
      <c r="C185" s="2">
        <f>HYPERLINK("https://platform.v2.vetology.net/report/v/final/"&amp;2744103, 2744103)</f>
        <v>2744103</v>
      </c>
      <c r="D185" s="2" t="s">
        <v>711</v>
      </c>
      <c r="E185" s="2" t="s">
        <v>712</v>
      </c>
      <c r="F185" s="2"/>
      <c r="G185" s="2" t="s">
        <v>141</v>
      </c>
      <c r="H185" s="2" t="s">
        <v>78</v>
      </c>
      <c r="I185" s="2" t="s">
        <v>44</v>
      </c>
      <c r="J185" s="2"/>
      <c r="K185" s="2" t="s">
        <v>38</v>
      </c>
      <c r="L185" s="2" t="s">
        <v>39</v>
      </c>
      <c r="M185" s="2" t="s">
        <v>39</v>
      </c>
      <c r="N185" s="2" t="s">
        <v>38</v>
      </c>
      <c r="O185" s="2" t="s">
        <v>39</v>
      </c>
      <c r="P185" s="2" t="s">
        <v>38</v>
      </c>
      <c r="Q185" s="2" t="s">
        <v>38</v>
      </c>
      <c r="R185" s="2" t="s">
        <v>38</v>
      </c>
      <c r="S185" s="2" t="s">
        <v>38</v>
      </c>
      <c r="T185" s="2" t="s">
        <v>39</v>
      </c>
      <c r="U185" s="2" t="s">
        <v>38</v>
      </c>
      <c r="V185" s="2" t="s">
        <v>39</v>
      </c>
      <c r="W185" s="2" t="s">
        <v>38</v>
      </c>
      <c r="X185" s="2" t="s">
        <v>39</v>
      </c>
      <c r="Y185" s="2" t="s">
        <v>38</v>
      </c>
      <c r="Z185" s="2" t="s">
        <v>38</v>
      </c>
      <c r="AA185" s="2" t="s">
        <v>38</v>
      </c>
      <c r="AB185" s="2" t="s">
        <v>38</v>
      </c>
      <c r="AC185" s="2" t="s">
        <v>38</v>
      </c>
      <c r="AD185" s="2" t="s">
        <v>38</v>
      </c>
      <c r="AE185" s="2" t="s">
        <v>38</v>
      </c>
    </row>
    <row r="186" spans="1:31" ht="409.5">
      <c r="A186" s="2">
        <v>2744091</v>
      </c>
      <c r="B186" s="2">
        <f>HYPERLINK("https://platform.v2.vetology.net/cases/2744091/screening-report/18?type=pdf&amp;v=v6&amp;scorecard=1&amp;secret_key=BX%25IJ%24%2F65ieZ%29f6", 2744091)</f>
        <v>2744091</v>
      </c>
      <c r="C186" s="2">
        <f>HYPERLINK("https://platform.v2.vetology.net/report/v/final/"&amp;2744091, 2744091)</f>
        <v>2744091</v>
      </c>
      <c r="D186" s="2" t="s">
        <v>713</v>
      </c>
      <c r="E186" s="2" t="s">
        <v>714</v>
      </c>
      <c r="F186" s="2" t="s">
        <v>715</v>
      </c>
      <c r="G186" s="2" t="s">
        <v>58</v>
      </c>
      <c r="H186" s="2" t="s">
        <v>213</v>
      </c>
      <c r="I186" s="2" t="s">
        <v>214</v>
      </c>
      <c r="J186" s="2" t="s">
        <v>50</v>
      </c>
      <c r="K186" s="2" t="s">
        <v>38</v>
      </c>
      <c r="L186" s="2" t="s">
        <v>38</v>
      </c>
      <c r="M186" s="2" t="s">
        <v>39</v>
      </c>
      <c r="N186" s="2" t="s">
        <v>38</v>
      </c>
      <c r="O186" s="2" t="s">
        <v>38</v>
      </c>
      <c r="P186" s="2" t="s">
        <v>38</v>
      </c>
      <c r="Q186" s="2" t="s">
        <v>38</v>
      </c>
      <c r="R186" s="2" t="s">
        <v>38</v>
      </c>
      <c r="S186" s="2" t="s">
        <v>38</v>
      </c>
      <c r="T186" s="2" t="s">
        <v>39</v>
      </c>
      <c r="U186" s="2" t="s">
        <v>38</v>
      </c>
      <c r="V186" s="2" t="s">
        <v>39</v>
      </c>
      <c r="W186" s="2" t="s">
        <v>38</v>
      </c>
      <c r="X186" s="2" t="s">
        <v>39</v>
      </c>
      <c r="Y186" s="2" t="s">
        <v>38</v>
      </c>
      <c r="Z186" s="2" t="s">
        <v>39</v>
      </c>
      <c r="AA186" s="2" t="s">
        <v>38</v>
      </c>
      <c r="AB186" s="2" t="s">
        <v>38</v>
      </c>
      <c r="AC186" s="2" t="s">
        <v>38</v>
      </c>
      <c r="AD186" s="2" t="s">
        <v>38</v>
      </c>
      <c r="AE186" s="2" t="s">
        <v>38</v>
      </c>
    </row>
    <row r="187" spans="1:31" ht="409.5">
      <c r="A187" s="2">
        <v>2744070</v>
      </c>
      <c r="B187" s="2">
        <f>HYPERLINK("https://platform.v2.vetology.net/cases/2744070/screening-report/18?type=pdf&amp;v=v6&amp;scorecard=1&amp;secret_key=BX%25IJ%24%2F65ieZ%29f6", 2744070)</f>
        <v>2744070</v>
      </c>
      <c r="C187" s="2">
        <f>HYPERLINK("https://platform.v2.vetology.net/report/v/final/"&amp;2744070, 2744070)</f>
        <v>2744070</v>
      </c>
      <c r="D187" s="2" t="s">
        <v>716</v>
      </c>
      <c r="E187" s="2" t="s">
        <v>717</v>
      </c>
      <c r="F187" s="2" t="s">
        <v>81</v>
      </c>
      <c r="G187" s="2" t="s">
        <v>268</v>
      </c>
      <c r="H187" s="2" t="s">
        <v>226</v>
      </c>
      <c r="I187" s="2" t="s">
        <v>227</v>
      </c>
      <c r="J187" s="2" t="s">
        <v>228</v>
      </c>
      <c r="K187" s="2" t="s">
        <v>38</v>
      </c>
      <c r="L187" s="2" t="s">
        <v>39</v>
      </c>
      <c r="M187" s="2" t="s">
        <v>39</v>
      </c>
      <c r="N187" s="2" t="s">
        <v>38</v>
      </c>
      <c r="O187" s="2" t="s">
        <v>38</v>
      </c>
      <c r="P187" s="2" t="s">
        <v>39</v>
      </c>
      <c r="Q187" s="2" t="s">
        <v>39</v>
      </c>
      <c r="R187" s="2" t="s">
        <v>38</v>
      </c>
      <c r="S187" s="2" t="s">
        <v>38</v>
      </c>
      <c r="T187" s="2" t="s">
        <v>38</v>
      </c>
      <c r="U187" s="2" t="s">
        <v>38</v>
      </c>
      <c r="V187" s="2" t="s">
        <v>38</v>
      </c>
      <c r="W187" s="2" t="s">
        <v>38</v>
      </c>
      <c r="X187" s="2" t="s">
        <v>38</v>
      </c>
      <c r="Y187" s="2" t="s">
        <v>38</v>
      </c>
      <c r="Z187" s="2" t="s">
        <v>38</v>
      </c>
      <c r="AA187" s="2" t="s">
        <v>38</v>
      </c>
      <c r="AB187" s="2" t="s">
        <v>39</v>
      </c>
      <c r="AC187" s="2" t="s">
        <v>39</v>
      </c>
      <c r="AD187" s="2" t="s">
        <v>38</v>
      </c>
      <c r="AE187" s="2" t="s">
        <v>38</v>
      </c>
    </row>
    <row r="188" spans="1:31" ht="409.5">
      <c r="A188" s="2">
        <v>2743926</v>
      </c>
      <c r="B188" s="2">
        <f>HYPERLINK("https://platform.v2.vetology.net/cases/2743926/screening-report/18?type=pdf&amp;v=v6&amp;scorecard=1&amp;secret_key=BX%25IJ%24%2F65ieZ%29f6", 2743926)</f>
        <v>2743926</v>
      </c>
      <c r="C188" s="2">
        <f>HYPERLINK("https://platform.v2.vetology.net/report/v/final/"&amp;2743926, 2743926)</f>
        <v>2743926</v>
      </c>
      <c r="D188" s="2" t="s">
        <v>718</v>
      </c>
      <c r="E188" s="2" t="s">
        <v>719</v>
      </c>
      <c r="F188" s="2" t="s">
        <v>81</v>
      </c>
      <c r="G188" s="2" t="s">
        <v>150</v>
      </c>
      <c r="H188" s="2" t="s">
        <v>720</v>
      </c>
      <c r="I188" s="2" t="s">
        <v>346</v>
      </c>
      <c r="J188" s="2" t="s">
        <v>347</v>
      </c>
      <c r="K188" s="2" t="s">
        <v>38</v>
      </c>
      <c r="L188" s="2" t="s">
        <v>39</v>
      </c>
      <c r="M188" s="2" t="s">
        <v>39</v>
      </c>
      <c r="N188" s="2" t="s">
        <v>39</v>
      </c>
      <c r="O188" s="2" t="s">
        <v>39</v>
      </c>
      <c r="P188" s="2" t="s">
        <v>39</v>
      </c>
      <c r="Q188" s="2" t="s">
        <v>39</v>
      </c>
      <c r="R188" s="2" t="s">
        <v>38</v>
      </c>
      <c r="S188" s="2" t="s">
        <v>39</v>
      </c>
      <c r="T188" s="2" t="s">
        <v>38</v>
      </c>
      <c r="U188" s="2" t="s">
        <v>39</v>
      </c>
      <c r="V188" s="2" t="s">
        <v>38</v>
      </c>
      <c r="W188" s="2" t="s">
        <v>38</v>
      </c>
      <c r="X188" s="2" t="s">
        <v>39</v>
      </c>
      <c r="Y188" s="2" t="s">
        <v>38</v>
      </c>
      <c r="Z188" s="2" t="s">
        <v>39</v>
      </c>
      <c r="AA188" s="2" t="s">
        <v>39</v>
      </c>
      <c r="AB188" s="2" t="s">
        <v>39</v>
      </c>
      <c r="AC188" s="2" t="s">
        <v>39</v>
      </c>
      <c r="AD188" s="2" t="s">
        <v>38</v>
      </c>
      <c r="AE188" s="2" t="s">
        <v>39</v>
      </c>
    </row>
    <row r="189" spans="1:31" ht="409.5">
      <c r="A189" s="2">
        <v>2743634</v>
      </c>
      <c r="B189" s="2">
        <f>HYPERLINK("https://platform.v2.vetology.net/cases/2743634/screening-report/18?type=pdf&amp;v=v6&amp;scorecard=1&amp;secret_key=BX%25IJ%24%2F65ieZ%29f6", 2743634)</f>
        <v>2743634</v>
      </c>
      <c r="C189" s="2">
        <f>HYPERLINK("https://platform.v2.vetology.net/report/v/final/"&amp;2743634, 2743634)</f>
        <v>2743634</v>
      </c>
      <c r="D189" s="2" t="s">
        <v>721</v>
      </c>
      <c r="E189" s="2" t="s">
        <v>722</v>
      </c>
      <c r="F189" s="2" t="s">
        <v>81</v>
      </c>
      <c r="G189" s="2" t="s">
        <v>82</v>
      </c>
      <c r="H189" s="2" t="s">
        <v>723</v>
      </c>
      <c r="I189" s="2" t="s">
        <v>44</v>
      </c>
      <c r="J189" s="2"/>
      <c r="K189" s="2" t="s">
        <v>38</v>
      </c>
      <c r="L189" s="2" t="s">
        <v>38</v>
      </c>
      <c r="M189" s="2" t="s">
        <v>38</v>
      </c>
      <c r="N189" s="2" t="s">
        <v>38</v>
      </c>
      <c r="O189" s="2" t="s">
        <v>38</v>
      </c>
      <c r="P189" s="2" t="s">
        <v>38</v>
      </c>
      <c r="Q189" s="2" t="s">
        <v>38</v>
      </c>
      <c r="R189" s="2" t="s">
        <v>38</v>
      </c>
      <c r="S189" s="2" t="s">
        <v>38</v>
      </c>
      <c r="T189" s="2" t="s">
        <v>39</v>
      </c>
      <c r="U189" s="2" t="s">
        <v>38</v>
      </c>
      <c r="V189" s="2" t="s">
        <v>39</v>
      </c>
      <c r="W189" s="2" t="s">
        <v>38</v>
      </c>
      <c r="X189" s="2" t="s">
        <v>39</v>
      </c>
      <c r="Y189" s="2" t="s">
        <v>38</v>
      </c>
      <c r="Z189" s="2" t="s">
        <v>38</v>
      </c>
      <c r="AA189" s="2" t="s">
        <v>38</v>
      </c>
      <c r="AB189" s="2" t="s">
        <v>38</v>
      </c>
      <c r="AC189" s="2" t="s">
        <v>38</v>
      </c>
      <c r="AD189" s="2" t="s">
        <v>38</v>
      </c>
      <c r="AE189" s="2" t="s">
        <v>38</v>
      </c>
    </row>
    <row r="190" spans="1:31" ht="409.5">
      <c r="A190" s="2">
        <v>2743487</v>
      </c>
      <c r="B190" s="2">
        <f>HYPERLINK("https://platform.v2.vetology.net/cases/2743487/screening-report/18?type=pdf&amp;v=v6&amp;scorecard=1&amp;secret_key=BX%25IJ%24%2F65ieZ%29f6", 2743487)</f>
        <v>2743487</v>
      </c>
      <c r="C190" s="2">
        <f>HYPERLINK("https://platform.v2.vetology.net/report/v/final/"&amp;2743487, 2743487)</f>
        <v>2743487</v>
      </c>
      <c r="D190" s="2" t="s">
        <v>724</v>
      </c>
      <c r="E190" s="2" t="s">
        <v>725</v>
      </c>
      <c r="F190" s="2" t="s">
        <v>726</v>
      </c>
      <c r="G190" s="2" t="s">
        <v>63</v>
      </c>
      <c r="H190" s="2" t="s">
        <v>607</v>
      </c>
      <c r="I190" s="2" t="s">
        <v>137</v>
      </c>
      <c r="J190" s="2" t="s">
        <v>66</v>
      </c>
      <c r="K190" s="2" t="s">
        <v>38</v>
      </c>
      <c r="L190" s="2" t="s">
        <v>38</v>
      </c>
      <c r="M190" s="2" t="s">
        <v>39</v>
      </c>
      <c r="N190" s="2" t="s">
        <v>38</v>
      </c>
      <c r="O190" s="2" t="s">
        <v>38</v>
      </c>
      <c r="P190" s="2" t="s">
        <v>39</v>
      </c>
      <c r="Q190" s="2" t="s">
        <v>38</v>
      </c>
      <c r="R190" s="2" t="s">
        <v>38</v>
      </c>
      <c r="S190" s="2" t="s">
        <v>39</v>
      </c>
      <c r="T190" s="2" t="s">
        <v>39</v>
      </c>
      <c r="U190" s="2" t="s">
        <v>38</v>
      </c>
      <c r="V190" s="2" t="s">
        <v>39</v>
      </c>
      <c r="W190" s="2" t="s">
        <v>38</v>
      </c>
      <c r="X190" s="2" t="s">
        <v>39</v>
      </c>
      <c r="Y190" s="2" t="s">
        <v>38</v>
      </c>
      <c r="Z190" s="2" t="s">
        <v>38</v>
      </c>
      <c r="AA190" s="2" t="s">
        <v>38</v>
      </c>
      <c r="AB190" s="2" t="s">
        <v>39</v>
      </c>
      <c r="AC190" s="2" t="s">
        <v>39</v>
      </c>
      <c r="AD190" s="2" t="s">
        <v>38</v>
      </c>
      <c r="AE190" s="2" t="s">
        <v>38</v>
      </c>
    </row>
    <row r="191" spans="1:31" ht="409.5">
      <c r="A191" s="2">
        <v>2743314</v>
      </c>
      <c r="B191" s="2">
        <f>HYPERLINK("https://platform.v2.vetology.net/cases/2743314/screening-report/18?type=pdf&amp;v=v6&amp;scorecard=1&amp;secret_key=BX%25IJ%24%2F65ieZ%29f6", 2743314)</f>
        <v>2743314</v>
      </c>
      <c r="C191" s="2">
        <f>HYPERLINK("https://platform.v2.vetology.net/report/v/final/"&amp;2743314, 2743314)</f>
        <v>2743314</v>
      </c>
      <c r="D191" s="2" t="s">
        <v>727</v>
      </c>
      <c r="E191" s="2" t="s">
        <v>728</v>
      </c>
      <c r="F191" s="2" t="s">
        <v>729</v>
      </c>
      <c r="G191" s="2" t="s">
        <v>135</v>
      </c>
      <c r="H191" s="2" t="s">
        <v>730</v>
      </c>
      <c r="I191" s="2" t="s">
        <v>382</v>
      </c>
      <c r="J191" s="2" t="s">
        <v>710</v>
      </c>
      <c r="K191" s="2" t="s">
        <v>38</v>
      </c>
      <c r="L191" s="2" t="s">
        <v>38</v>
      </c>
      <c r="M191" s="2" t="s">
        <v>39</v>
      </c>
      <c r="N191" s="2" t="s">
        <v>39</v>
      </c>
      <c r="O191" s="2" t="s">
        <v>38</v>
      </c>
      <c r="P191" s="2" t="s">
        <v>39</v>
      </c>
      <c r="Q191" s="2" t="s">
        <v>38</v>
      </c>
      <c r="R191" s="2" t="s">
        <v>38</v>
      </c>
      <c r="S191" s="2" t="s">
        <v>38</v>
      </c>
      <c r="T191" s="2" t="s">
        <v>38</v>
      </c>
      <c r="U191" s="2" t="s">
        <v>38</v>
      </c>
      <c r="V191" s="2" t="s">
        <v>38</v>
      </c>
      <c r="W191" s="2" t="s">
        <v>38</v>
      </c>
      <c r="X191" s="2" t="s">
        <v>38</v>
      </c>
      <c r="Y191" s="2" t="s">
        <v>38</v>
      </c>
      <c r="Z191" s="2" t="s">
        <v>38</v>
      </c>
      <c r="AA191" s="2" t="s">
        <v>38</v>
      </c>
      <c r="AB191" s="2" t="s">
        <v>39</v>
      </c>
      <c r="AC191" s="2" t="s">
        <v>39</v>
      </c>
      <c r="AD191" s="2" t="s">
        <v>38</v>
      </c>
      <c r="AE191" s="2" t="s">
        <v>38</v>
      </c>
    </row>
    <row r="192" spans="1:31" ht="409.5">
      <c r="A192" s="2">
        <v>2743285</v>
      </c>
      <c r="B192" s="2">
        <f>HYPERLINK("https://platform.v2.vetology.net/cases/2743285/screening-report/18?type=pdf&amp;v=v6&amp;scorecard=1&amp;secret_key=BX%25IJ%24%2F65ieZ%29f6", 2743285)</f>
        <v>2743285</v>
      </c>
      <c r="C192" s="2">
        <f>HYPERLINK("https://platform.v2.vetology.net/report/v/final/"&amp;2743285, 2743285)</f>
        <v>2743285</v>
      </c>
      <c r="D192" s="2" t="s">
        <v>731</v>
      </c>
      <c r="E192" s="2" t="s">
        <v>304</v>
      </c>
      <c r="F192" s="2" t="s">
        <v>732</v>
      </c>
      <c r="G192" s="2" t="s">
        <v>150</v>
      </c>
      <c r="H192" s="2" t="s">
        <v>733</v>
      </c>
      <c r="I192" s="2" t="s">
        <v>158</v>
      </c>
      <c r="J192" s="2" t="s">
        <v>50</v>
      </c>
      <c r="K192" s="2" t="s">
        <v>38</v>
      </c>
      <c r="L192" s="2" t="s">
        <v>39</v>
      </c>
      <c r="M192" s="2" t="s">
        <v>38</v>
      </c>
      <c r="N192" s="2" t="s">
        <v>38</v>
      </c>
      <c r="O192" s="2" t="s">
        <v>38</v>
      </c>
      <c r="P192" s="2" t="s">
        <v>38</v>
      </c>
      <c r="Q192" s="2" t="s">
        <v>38</v>
      </c>
      <c r="R192" s="2" t="s">
        <v>38</v>
      </c>
      <c r="S192" s="2" t="s">
        <v>38</v>
      </c>
      <c r="T192" s="2" t="s">
        <v>38</v>
      </c>
      <c r="U192" s="2" t="s">
        <v>38</v>
      </c>
      <c r="V192" s="2" t="s">
        <v>38</v>
      </c>
      <c r="W192" s="2" t="s">
        <v>38</v>
      </c>
      <c r="X192" s="2" t="s">
        <v>38</v>
      </c>
      <c r="Y192" s="2" t="s">
        <v>38</v>
      </c>
      <c r="Z192" s="2" t="s">
        <v>38</v>
      </c>
      <c r="AA192" s="2" t="s">
        <v>38</v>
      </c>
      <c r="AB192" s="2" t="s">
        <v>38</v>
      </c>
      <c r="AC192" s="2" t="s">
        <v>38</v>
      </c>
      <c r="AD192" s="2" t="s">
        <v>38</v>
      </c>
      <c r="AE192" s="2" t="s">
        <v>38</v>
      </c>
    </row>
    <row r="193" spans="1:31" ht="409.5">
      <c r="A193" s="2">
        <v>2743258</v>
      </c>
      <c r="B193" s="2">
        <f>HYPERLINK("https://platform.v2.vetology.net/cases/2743258/screening-report/18?type=pdf&amp;v=v6&amp;scorecard=1&amp;secret_key=BX%25IJ%24%2F65ieZ%29f6", 2743258)</f>
        <v>2743258</v>
      </c>
      <c r="C193" s="2">
        <f>HYPERLINK("https://platform.v2.vetology.net/report/v/final/"&amp;2743258, 2743258)</f>
        <v>2743258</v>
      </c>
      <c r="D193" s="2" t="s">
        <v>734</v>
      </c>
      <c r="E193" s="2" t="s">
        <v>387</v>
      </c>
      <c r="F193" s="2" t="s">
        <v>149</v>
      </c>
      <c r="G193" s="2" t="s">
        <v>150</v>
      </c>
      <c r="H193" s="2" t="s">
        <v>54</v>
      </c>
      <c r="I193" s="2" t="s">
        <v>44</v>
      </c>
      <c r="J193" s="2"/>
      <c r="K193" s="2" t="s">
        <v>38</v>
      </c>
      <c r="L193" s="2" t="s">
        <v>39</v>
      </c>
      <c r="M193" s="2" t="s">
        <v>39</v>
      </c>
      <c r="N193" s="2" t="s">
        <v>38</v>
      </c>
      <c r="O193" s="2" t="s">
        <v>38</v>
      </c>
      <c r="P193" s="2" t="s">
        <v>38</v>
      </c>
      <c r="Q193" s="2" t="s">
        <v>38</v>
      </c>
      <c r="R193" s="2" t="s">
        <v>38</v>
      </c>
      <c r="S193" s="2" t="s">
        <v>39</v>
      </c>
      <c r="T193" s="2" t="s">
        <v>38</v>
      </c>
      <c r="U193" s="2" t="s">
        <v>38</v>
      </c>
      <c r="V193" s="2" t="s">
        <v>38</v>
      </c>
      <c r="W193" s="2" t="s">
        <v>38</v>
      </c>
      <c r="X193" s="2" t="s">
        <v>39</v>
      </c>
      <c r="Y193" s="2" t="s">
        <v>38</v>
      </c>
      <c r="Z193" s="2" t="s">
        <v>38</v>
      </c>
      <c r="AA193" s="2" t="s">
        <v>38</v>
      </c>
      <c r="AB193" s="2" t="s">
        <v>39</v>
      </c>
      <c r="AC193" s="2" t="s">
        <v>38</v>
      </c>
      <c r="AD193" s="2" t="s">
        <v>38</v>
      </c>
      <c r="AE193" s="2" t="s">
        <v>38</v>
      </c>
    </row>
    <row r="194" spans="1:31" ht="409.5">
      <c r="A194" s="2">
        <v>2743052</v>
      </c>
      <c r="B194" s="2">
        <f>HYPERLINK("https://platform.v2.vetology.net/cases/2743052/screening-report/18?type=pdf&amp;v=v6&amp;scorecard=1&amp;secret_key=BX%25IJ%24%2F65ieZ%29f6", 2743052)</f>
        <v>2743052</v>
      </c>
      <c r="C194" s="2">
        <f>HYPERLINK("https://platform.v2.vetology.net/report/v/final/"&amp;2743052, 2743052)</f>
        <v>2743052</v>
      </c>
      <c r="D194" s="2" t="s">
        <v>735</v>
      </c>
      <c r="E194" s="2" t="s">
        <v>736</v>
      </c>
      <c r="F194" s="2" t="s">
        <v>81</v>
      </c>
      <c r="G194" s="2" t="s">
        <v>82</v>
      </c>
      <c r="H194" s="2" t="s">
        <v>737</v>
      </c>
      <c r="I194" s="2" t="s">
        <v>89</v>
      </c>
      <c r="J194" s="2" t="s">
        <v>66</v>
      </c>
      <c r="K194" s="2" t="s">
        <v>38</v>
      </c>
      <c r="L194" s="2" t="s">
        <v>38</v>
      </c>
      <c r="M194" s="2" t="s">
        <v>38</v>
      </c>
      <c r="N194" s="2" t="s">
        <v>38</v>
      </c>
      <c r="O194" s="2" t="s">
        <v>38</v>
      </c>
      <c r="P194" s="2" t="s">
        <v>38</v>
      </c>
      <c r="Q194" s="2" t="s">
        <v>38</v>
      </c>
      <c r="R194" s="2" t="s">
        <v>38</v>
      </c>
      <c r="S194" s="2" t="s">
        <v>38</v>
      </c>
      <c r="T194" s="2" t="s">
        <v>38</v>
      </c>
      <c r="U194" s="2" t="s">
        <v>38</v>
      </c>
      <c r="V194" s="2" t="s">
        <v>38</v>
      </c>
      <c r="W194" s="2" t="s">
        <v>38</v>
      </c>
      <c r="X194" s="2" t="s">
        <v>38</v>
      </c>
      <c r="Y194" s="2" t="s">
        <v>38</v>
      </c>
      <c r="Z194" s="2" t="s">
        <v>38</v>
      </c>
      <c r="AA194" s="2" t="s">
        <v>38</v>
      </c>
      <c r="AB194" s="2" t="s">
        <v>39</v>
      </c>
      <c r="AC194" s="2" t="s">
        <v>38</v>
      </c>
      <c r="AD194" s="2" t="s">
        <v>38</v>
      </c>
      <c r="AE194" s="2" t="s">
        <v>39</v>
      </c>
    </row>
    <row r="195" spans="1:31" ht="409.5">
      <c r="A195" s="2">
        <v>2743023</v>
      </c>
      <c r="B195" s="2">
        <f>HYPERLINK("https://platform.v2.vetology.net/cases/2743023/screening-report/18?type=pdf&amp;v=v6&amp;scorecard=1&amp;secret_key=BX%25IJ%24%2F65ieZ%29f6", 2743023)</f>
        <v>2743023</v>
      </c>
      <c r="C195" s="2">
        <f>HYPERLINK("https://platform.v2.vetology.net/report/v/final/"&amp;2743023, 2743023)</f>
        <v>2743023</v>
      </c>
      <c r="D195" s="2" t="s">
        <v>738</v>
      </c>
      <c r="E195" s="2" t="s">
        <v>179</v>
      </c>
      <c r="F195" s="2" t="s">
        <v>81</v>
      </c>
      <c r="G195" s="2" t="s">
        <v>82</v>
      </c>
      <c r="H195" s="2" t="s">
        <v>244</v>
      </c>
      <c r="I195" s="2" t="s">
        <v>245</v>
      </c>
      <c r="J195" s="2" t="s">
        <v>246</v>
      </c>
      <c r="K195" s="2" t="s">
        <v>38</v>
      </c>
      <c r="L195" s="2" t="s">
        <v>39</v>
      </c>
      <c r="M195" s="2" t="s">
        <v>38</v>
      </c>
      <c r="N195" s="2" t="s">
        <v>39</v>
      </c>
      <c r="O195" s="2" t="s">
        <v>38</v>
      </c>
      <c r="P195" s="2" t="s">
        <v>39</v>
      </c>
      <c r="Q195" s="2" t="s">
        <v>38</v>
      </c>
      <c r="R195" s="2" t="s">
        <v>38</v>
      </c>
      <c r="S195" s="2" t="s">
        <v>38</v>
      </c>
      <c r="T195" s="2" t="s">
        <v>38</v>
      </c>
      <c r="U195" s="2" t="s">
        <v>38</v>
      </c>
      <c r="V195" s="2" t="s">
        <v>38</v>
      </c>
      <c r="W195" s="2" t="s">
        <v>38</v>
      </c>
      <c r="X195" s="2" t="s">
        <v>38</v>
      </c>
      <c r="Y195" s="2" t="s">
        <v>38</v>
      </c>
      <c r="Z195" s="2" t="s">
        <v>38</v>
      </c>
      <c r="AA195" s="2" t="s">
        <v>38</v>
      </c>
      <c r="AB195" s="2" t="s">
        <v>39</v>
      </c>
      <c r="AC195" s="2" t="s">
        <v>38</v>
      </c>
      <c r="AD195" s="2" t="s">
        <v>38</v>
      </c>
      <c r="AE195" s="2" t="s">
        <v>38</v>
      </c>
    </row>
    <row r="196" spans="1:31" ht="409.5">
      <c r="A196" s="2">
        <v>2742976</v>
      </c>
      <c r="B196" s="2">
        <f>HYPERLINK("https://platform.v2.vetology.net/cases/2742976/screening-report/18?type=pdf&amp;v=v6&amp;scorecard=1&amp;secret_key=BX%25IJ%24%2F65ieZ%29f6", 2742976)</f>
        <v>2742976</v>
      </c>
      <c r="C196" s="2">
        <f>HYPERLINK("https://platform.v2.vetology.net/report/v/final/"&amp;2742976, 2742976)</f>
        <v>2742976</v>
      </c>
      <c r="D196" s="2" t="s">
        <v>739</v>
      </c>
      <c r="E196" s="2" t="s">
        <v>740</v>
      </c>
      <c r="F196" s="2" t="s">
        <v>741</v>
      </c>
      <c r="G196" s="2" t="s">
        <v>58</v>
      </c>
      <c r="H196" s="2" t="s">
        <v>136</v>
      </c>
      <c r="I196" s="2" t="s">
        <v>137</v>
      </c>
      <c r="J196" s="2" t="s">
        <v>66</v>
      </c>
      <c r="K196" s="2" t="s">
        <v>38</v>
      </c>
      <c r="L196" s="2" t="s">
        <v>39</v>
      </c>
      <c r="M196" s="2" t="s">
        <v>38</v>
      </c>
      <c r="N196" s="2" t="s">
        <v>38</v>
      </c>
      <c r="O196" s="2" t="s">
        <v>38</v>
      </c>
      <c r="P196" s="2" t="s">
        <v>38</v>
      </c>
      <c r="Q196" s="2" t="s">
        <v>38</v>
      </c>
      <c r="R196" s="2" t="s">
        <v>38</v>
      </c>
      <c r="S196" s="2" t="s">
        <v>38</v>
      </c>
      <c r="T196" s="2" t="s">
        <v>38</v>
      </c>
      <c r="U196" s="2" t="s">
        <v>38</v>
      </c>
      <c r="V196" s="2" t="s">
        <v>38</v>
      </c>
      <c r="W196" s="2" t="s">
        <v>38</v>
      </c>
      <c r="X196" s="2" t="s">
        <v>38</v>
      </c>
      <c r="Y196" s="2" t="s">
        <v>38</v>
      </c>
      <c r="Z196" s="2" t="s">
        <v>38</v>
      </c>
      <c r="AA196" s="2" t="s">
        <v>38</v>
      </c>
      <c r="AB196" s="2" t="s">
        <v>39</v>
      </c>
      <c r="AC196" s="2" t="s">
        <v>38</v>
      </c>
      <c r="AD196" s="2" t="s">
        <v>38</v>
      </c>
      <c r="AE196" s="2" t="s">
        <v>38</v>
      </c>
    </row>
    <row r="197" spans="1:31" ht="409.5">
      <c r="A197" s="2">
        <v>2742826</v>
      </c>
      <c r="B197" s="2">
        <f>HYPERLINK("https://platform.v2.vetology.net/cases/2742826/screening-report/18?type=pdf&amp;v=v6&amp;scorecard=1&amp;secret_key=BX%25IJ%24%2F65ieZ%29f6", 2742826)</f>
        <v>2742826</v>
      </c>
      <c r="C197" s="2">
        <f>HYPERLINK("https://platform.v2.vetology.net/report/v/final/"&amp;2742826, 2742826)</f>
        <v>2742826</v>
      </c>
      <c r="D197" s="2" t="s">
        <v>742</v>
      </c>
      <c r="E197" s="2" t="s">
        <v>743</v>
      </c>
      <c r="F197" s="2" t="s">
        <v>81</v>
      </c>
      <c r="G197" s="2" t="s">
        <v>268</v>
      </c>
      <c r="H197" s="2" t="s">
        <v>744</v>
      </c>
      <c r="I197" s="2" t="s">
        <v>89</v>
      </c>
      <c r="J197" s="2" t="s">
        <v>66</v>
      </c>
      <c r="K197" s="2" t="s">
        <v>38</v>
      </c>
      <c r="L197" s="2" t="s">
        <v>39</v>
      </c>
      <c r="M197" s="2" t="s">
        <v>38</v>
      </c>
      <c r="N197" s="2" t="s">
        <v>38</v>
      </c>
      <c r="O197" s="2" t="s">
        <v>38</v>
      </c>
      <c r="P197" s="2" t="s">
        <v>38</v>
      </c>
      <c r="Q197" s="2" t="s">
        <v>38</v>
      </c>
      <c r="R197" s="2" t="s">
        <v>38</v>
      </c>
      <c r="S197" s="2" t="s">
        <v>38</v>
      </c>
      <c r="T197" s="2" t="s">
        <v>38</v>
      </c>
      <c r="U197" s="2" t="s">
        <v>38</v>
      </c>
      <c r="V197" s="2" t="s">
        <v>38</v>
      </c>
      <c r="W197" s="2" t="s">
        <v>38</v>
      </c>
      <c r="X197" s="2" t="s">
        <v>38</v>
      </c>
      <c r="Y197" s="2" t="s">
        <v>38</v>
      </c>
      <c r="Z197" s="2" t="s">
        <v>38</v>
      </c>
      <c r="AA197" s="2" t="s">
        <v>38</v>
      </c>
      <c r="AB197" s="2" t="s">
        <v>38</v>
      </c>
      <c r="AC197" s="2" t="s">
        <v>38</v>
      </c>
      <c r="AD197" s="2" t="s">
        <v>38</v>
      </c>
      <c r="AE197" s="2" t="s">
        <v>38</v>
      </c>
    </row>
    <row r="198" spans="1:31" ht="409.5">
      <c r="A198" s="2">
        <v>2742771</v>
      </c>
      <c r="B198" s="2">
        <f>HYPERLINK("https://platform.v2.vetology.net/cases/2742771/screening-report/18?type=pdf&amp;v=v6&amp;scorecard=1&amp;secret_key=BX%25IJ%24%2F65ieZ%29f6", 2742771)</f>
        <v>2742771</v>
      </c>
      <c r="C198" s="2">
        <f>HYPERLINK("https://platform.v2.vetology.net/report/v/final/"&amp;2742771, 2742771)</f>
        <v>2742771</v>
      </c>
      <c r="D198" s="2" t="s">
        <v>745</v>
      </c>
      <c r="E198" s="2" t="s">
        <v>746</v>
      </c>
      <c r="F198" s="2" t="s">
        <v>747</v>
      </c>
      <c r="G198" s="2" t="s">
        <v>93</v>
      </c>
      <c r="H198" s="2" t="s">
        <v>78</v>
      </c>
      <c r="I198" s="2" t="s">
        <v>44</v>
      </c>
      <c r="J198" s="2"/>
      <c r="K198" s="2" t="s">
        <v>38</v>
      </c>
      <c r="L198" s="2" t="s">
        <v>38</v>
      </c>
      <c r="M198" s="2" t="s">
        <v>38</v>
      </c>
      <c r="N198" s="2" t="s">
        <v>38</v>
      </c>
      <c r="O198" s="2" t="s">
        <v>38</v>
      </c>
      <c r="P198" s="2" t="s">
        <v>38</v>
      </c>
      <c r="Q198" s="2" t="s">
        <v>38</v>
      </c>
      <c r="R198" s="2" t="s">
        <v>38</v>
      </c>
      <c r="S198" s="2" t="s">
        <v>38</v>
      </c>
      <c r="T198" s="2" t="s">
        <v>39</v>
      </c>
      <c r="U198" s="2" t="s">
        <v>38</v>
      </c>
      <c r="V198" s="2" t="s">
        <v>38</v>
      </c>
      <c r="W198" s="2" t="s">
        <v>38</v>
      </c>
      <c r="X198" s="2" t="s">
        <v>38</v>
      </c>
      <c r="Y198" s="2" t="s">
        <v>38</v>
      </c>
      <c r="Z198" s="2" t="s">
        <v>38</v>
      </c>
      <c r="AA198" s="2" t="s">
        <v>38</v>
      </c>
      <c r="AB198" s="2" t="s">
        <v>38</v>
      </c>
      <c r="AC198" s="2" t="s">
        <v>38</v>
      </c>
      <c r="AD198" s="2" t="s">
        <v>38</v>
      </c>
      <c r="AE198" s="2" t="s">
        <v>38</v>
      </c>
    </row>
    <row r="199" spans="1:31" ht="409.5">
      <c r="A199" s="2">
        <v>2742615</v>
      </c>
      <c r="B199" s="2">
        <f>HYPERLINK("https://platform.v2.vetology.net/cases/2742615/screening-report/18?type=pdf&amp;v=v6&amp;scorecard=1&amp;secret_key=BX%25IJ%24%2F65ieZ%29f6", 2742615)</f>
        <v>2742615</v>
      </c>
      <c r="C199" s="2">
        <f>HYPERLINK("https://platform.v2.vetology.net/report/v/final/"&amp;2742615, 2742615)</f>
        <v>2742615</v>
      </c>
      <c r="D199" s="2" t="s">
        <v>748</v>
      </c>
      <c r="E199" s="2" t="s">
        <v>749</v>
      </c>
      <c r="F199" s="2" t="s">
        <v>750</v>
      </c>
      <c r="G199" s="2" t="s">
        <v>58</v>
      </c>
      <c r="H199" s="2" t="s">
        <v>751</v>
      </c>
      <c r="I199" s="2" t="s">
        <v>227</v>
      </c>
      <c r="J199" s="2" t="s">
        <v>228</v>
      </c>
      <c r="K199" s="2" t="s">
        <v>38</v>
      </c>
      <c r="L199" s="2" t="s">
        <v>39</v>
      </c>
      <c r="M199" s="2" t="s">
        <v>38</v>
      </c>
      <c r="N199" s="2" t="s">
        <v>39</v>
      </c>
      <c r="O199" s="2" t="s">
        <v>38</v>
      </c>
      <c r="P199" s="2" t="s">
        <v>39</v>
      </c>
      <c r="Q199" s="2" t="s">
        <v>38</v>
      </c>
      <c r="R199" s="2" t="s">
        <v>38</v>
      </c>
      <c r="S199" s="2" t="s">
        <v>38</v>
      </c>
      <c r="T199" s="2" t="s">
        <v>38</v>
      </c>
      <c r="U199" s="2" t="s">
        <v>38</v>
      </c>
      <c r="V199" s="2" t="s">
        <v>38</v>
      </c>
      <c r="W199" s="2" t="s">
        <v>38</v>
      </c>
      <c r="X199" s="2" t="s">
        <v>38</v>
      </c>
      <c r="Y199" s="2" t="s">
        <v>38</v>
      </c>
      <c r="Z199" s="2" t="s">
        <v>38</v>
      </c>
      <c r="AA199" s="2" t="s">
        <v>38</v>
      </c>
      <c r="AB199" s="2" t="s">
        <v>39</v>
      </c>
      <c r="AC199" s="2" t="s">
        <v>39</v>
      </c>
      <c r="AD199" s="2" t="s">
        <v>38</v>
      </c>
      <c r="AE199" s="2" t="s">
        <v>39</v>
      </c>
    </row>
    <row r="200" spans="1:31" ht="409.5">
      <c r="A200" s="2">
        <v>2742473</v>
      </c>
      <c r="B200" s="2">
        <f>HYPERLINK("https://platform.v2.vetology.net/cases/2742473/screening-report/18?type=pdf&amp;v=v6&amp;scorecard=1&amp;secret_key=BX%25IJ%24%2F65ieZ%29f6", 2742473)</f>
        <v>2742473</v>
      </c>
      <c r="C200" s="2">
        <f>HYPERLINK("https://platform.v2.vetology.net/report/v/final/"&amp;2742473, 2742473)</f>
        <v>2742473</v>
      </c>
      <c r="D200" s="2" t="s">
        <v>752</v>
      </c>
      <c r="E200" s="2" t="s">
        <v>753</v>
      </c>
      <c r="F200" s="2" t="s">
        <v>455</v>
      </c>
      <c r="G200" s="2" t="s">
        <v>58</v>
      </c>
      <c r="H200" s="2" t="s">
        <v>78</v>
      </c>
      <c r="I200" s="2" t="s">
        <v>44</v>
      </c>
      <c r="J200" s="2"/>
      <c r="K200" s="2" t="s">
        <v>38</v>
      </c>
      <c r="L200" s="2" t="s">
        <v>38</v>
      </c>
      <c r="M200" s="2" t="s">
        <v>39</v>
      </c>
      <c r="N200" s="2" t="s">
        <v>38</v>
      </c>
      <c r="O200" s="2" t="s">
        <v>38</v>
      </c>
      <c r="P200" s="2" t="s">
        <v>39</v>
      </c>
      <c r="Q200" s="2" t="s">
        <v>38</v>
      </c>
      <c r="R200" s="2" t="s">
        <v>38</v>
      </c>
      <c r="S200" s="2" t="s">
        <v>39</v>
      </c>
      <c r="T200" s="2" t="s">
        <v>38</v>
      </c>
      <c r="U200" s="2" t="s">
        <v>38</v>
      </c>
      <c r="V200" s="2" t="s">
        <v>38</v>
      </c>
      <c r="W200" s="2" t="s">
        <v>38</v>
      </c>
      <c r="X200" s="2" t="s">
        <v>38</v>
      </c>
      <c r="Y200" s="2" t="s">
        <v>38</v>
      </c>
      <c r="Z200" s="2" t="s">
        <v>38</v>
      </c>
      <c r="AA200" s="2" t="s">
        <v>38</v>
      </c>
      <c r="AB200" s="2" t="s">
        <v>39</v>
      </c>
      <c r="AC200" s="2" t="s">
        <v>38</v>
      </c>
      <c r="AD200" s="2" t="s">
        <v>38</v>
      </c>
      <c r="AE200" s="2" t="s">
        <v>38</v>
      </c>
    </row>
    <row r="201" spans="1:31" ht="409.5">
      <c r="A201" s="2">
        <v>2742445</v>
      </c>
      <c r="B201" s="2">
        <f>HYPERLINK("https://platform.v2.vetology.net/cases/2742445/screening-report/18?type=pdf&amp;v=v6&amp;scorecard=1&amp;secret_key=BX%25IJ%24%2F65ieZ%29f6", 2742445)</f>
        <v>2742445</v>
      </c>
      <c r="C201" s="2">
        <f>HYPERLINK("https://platform.v2.vetology.net/report/v/final/"&amp;2742445, 2742445)</f>
        <v>2742445</v>
      </c>
      <c r="D201" s="2" t="s">
        <v>754</v>
      </c>
      <c r="E201" s="2" t="s">
        <v>755</v>
      </c>
      <c r="F201" s="2" t="s">
        <v>756</v>
      </c>
      <c r="G201" s="2" t="s">
        <v>150</v>
      </c>
      <c r="H201" s="2" t="s">
        <v>757</v>
      </c>
      <c r="I201" s="2" t="s">
        <v>184</v>
      </c>
      <c r="J201" s="2" t="s">
        <v>185</v>
      </c>
      <c r="K201" s="2" t="s">
        <v>38</v>
      </c>
      <c r="L201" s="2" t="s">
        <v>39</v>
      </c>
      <c r="M201" s="2" t="s">
        <v>39</v>
      </c>
      <c r="N201" s="2" t="s">
        <v>38</v>
      </c>
      <c r="O201" s="2" t="s">
        <v>38</v>
      </c>
      <c r="P201" s="2" t="s">
        <v>38</v>
      </c>
      <c r="Q201" s="2" t="s">
        <v>38</v>
      </c>
      <c r="R201" s="2" t="s">
        <v>38</v>
      </c>
      <c r="S201" s="2" t="s">
        <v>38</v>
      </c>
      <c r="T201" s="2" t="s">
        <v>39</v>
      </c>
      <c r="U201" s="2" t="s">
        <v>38</v>
      </c>
      <c r="V201" s="2" t="s">
        <v>38</v>
      </c>
      <c r="W201" s="2" t="s">
        <v>38</v>
      </c>
      <c r="X201" s="2" t="s">
        <v>38</v>
      </c>
      <c r="Y201" s="2" t="s">
        <v>38</v>
      </c>
      <c r="Z201" s="2" t="s">
        <v>38</v>
      </c>
      <c r="AA201" s="2" t="s">
        <v>38</v>
      </c>
      <c r="AB201" s="2" t="s">
        <v>39</v>
      </c>
      <c r="AC201" s="2" t="s">
        <v>38</v>
      </c>
      <c r="AD201" s="2" t="s">
        <v>38</v>
      </c>
      <c r="AE201" s="2" t="s">
        <v>38</v>
      </c>
    </row>
    <row r="202" spans="1:31" ht="409.5">
      <c r="A202" s="2">
        <v>2742257</v>
      </c>
      <c r="B202" s="2">
        <f>HYPERLINK("https://platform.v2.vetology.net/cases/2742257/screening-report/18?type=pdf&amp;v=v6&amp;scorecard=1&amp;secret_key=BX%25IJ%24%2F65ieZ%29f6", 2742257)</f>
        <v>2742257</v>
      </c>
      <c r="C202" s="2">
        <f>HYPERLINK("https://platform.v2.vetology.net/report/v/final/"&amp;2742257, 2742257)</f>
        <v>2742257</v>
      </c>
      <c r="D202" s="2" t="s">
        <v>758</v>
      </c>
      <c r="E202" s="2" t="s">
        <v>387</v>
      </c>
      <c r="F202" s="2" t="s">
        <v>149</v>
      </c>
      <c r="G202" s="2" t="s">
        <v>150</v>
      </c>
      <c r="H202" s="2" t="s">
        <v>607</v>
      </c>
      <c r="I202" s="2" t="s">
        <v>137</v>
      </c>
      <c r="J202" s="2" t="s">
        <v>66</v>
      </c>
      <c r="K202" s="2" t="s">
        <v>38</v>
      </c>
      <c r="L202" s="2" t="s">
        <v>39</v>
      </c>
      <c r="M202" s="2" t="s">
        <v>38</v>
      </c>
      <c r="N202" s="2" t="s">
        <v>38</v>
      </c>
      <c r="O202" s="2" t="s">
        <v>38</v>
      </c>
      <c r="P202" s="2" t="s">
        <v>38</v>
      </c>
      <c r="Q202" s="2" t="s">
        <v>38</v>
      </c>
      <c r="R202" s="2" t="s">
        <v>38</v>
      </c>
      <c r="S202" s="2" t="s">
        <v>38</v>
      </c>
      <c r="T202" s="2" t="s">
        <v>38</v>
      </c>
      <c r="U202" s="2" t="s">
        <v>38</v>
      </c>
      <c r="V202" s="2" t="s">
        <v>38</v>
      </c>
      <c r="W202" s="2" t="s">
        <v>38</v>
      </c>
      <c r="X202" s="2" t="s">
        <v>38</v>
      </c>
      <c r="Y202" s="2" t="s">
        <v>38</v>
      </c>
      <c r="Z202" s="2" t="s">
        <v>38</v>
      </c>
      <c r="AA202" s="2" t="s">
        <v>38</v>
      </c>
      <c r="AB202" s="2" t="s">
        <v>38</v>
      </c>
      <c r="AC202" s="2" t="s">
        <v>38</v>
      </c>
      <c r="AD202" s="2" t="s">
        <v>38</v>
      </c>
      <c r="AE202" s="2" t="s">
        <v>38</v>
      </c>
    </row>
    <row r="203" spans="1:31" ht="409.5">
      <c r="A203" s="2">
        <v>2741892</v>
      </c>
      <c r="B203" s="2">
        <f>HYPERLINK("https://platform.v2.vetology.net/cases/2741892/screening-report/18?type=pdf&amp;v=v6&amp;scorecard=1&amp;secret_key=BX%25IJ%24%2F65ieZ%29f6", 2741892)</f>
        <v>2741892</v>
      </c>
      <c r="C203" s="2">
        <f>HYPERLINK("https://platform.v2.vetology.net/report/v/final/"&amp;2741892, 2741892)</f>
        <v>2741892</v>
      </c>
      <c r="D203" s="2" t="s">
        <v>759</v>
      </c>
      <c r="E203" s="2" t="s">
        <v>760</v>
      </c>
      <c r="F203" s="2" t="s">
        <v>761</v>
      </c>
      <c r="G203" s="2" t="s">
        <v>135</v>
      </c>
      <c r="H203" s="2" t="s">
        <v>762</v>
      </c>
      <c r="I203" s="2" t="s">
        <v>184</v>
      </c>
      <c r="J203" s="2" t="s">
        <v>185</v>
      </c>
      <c r="K203" s="2" t="s">
        <v>38</v>
      </c>
      <c r="L203" s="2" t="s">
        <v>39</v>
      </c>
      <c r="M203" s="2" t="s">
        <v>39</v>
      </c>
      <c r="N203" s="2" t="s">
        <v>38</v>
      </c>
      <c r="O203" s="2" t="s">
        <v>38</v>
      </c>
      <c r="P203" s="2" t="s">
        <v>38</v>
      </c>
      <c r="Q203" s="2" t="s">
        <v>38</v>
      </c>
      <c r="R203" s="2" t="s">
        <v>38</v>
      </c>
      <c r="S203" s="2" t="s">
        <v>39</v>
      </c>
      <c r="T203" s="2" t="s">
        <v>39</v>
      </c>
      <c r="U203" s="2" t="s">
        <v>38</v>
      </c>
      <c r="V203" s="2" t="s">
        <v>39</v>
      </c>
      <c r="W203" s="2" t="s">
        <v>38</v>
      </c>
      <c r="X203" s="2" t="s">
        <v>39</v>
      </c>
      <c r="Y203" s="2" t="s">
        <v>38</v>
      </c>
      <c r="Z203" s="2" t="s">
        <v>38</v>
      </c>
      <c r="AA203" s="2" t="s">
        <v>38</v>
      </c>
      <c r="AB203" s="2" t="s">
        <v>39</v>
      </c>
      <c r="AC203" s="2" t="s">
        <v>38</v>
      </c>
      <c r="AD203" s="2" t="s">
        <v>38</v>
      </c>
      <c r="AE203" s="2" t="s">
        <v>39</v>
      </c>
    </row>
    <row r="204" spans="1:31" ht="409.5">
      <c r="A204" s="2">
        <v>2741640</v>
      </c>
      <c r="B204" s="2">
        <f>HYPERLINK("https://platform.v2.vetology.net/cases/2741640/screening-report/18?type=pdf&amp;v=v6&amp;scorecard=1&amp;secret_key=BX%25IJ%24%2F65ieZ%29f6", 2741640)</f>
        <v>2741640</v>
      </c>
      <c r="C204" s="2">
        <f>HYPERLINK("https://platform.v2.vetology.net/report/v/final/"&amp;2741640, 2741640)</f>
        <v>2741640</v>
      </c>
      <c r="D204" s="2" t="s">
        <v>763</v>
      </c>
      <c r="E204" s="2" t="s">
        <v>764</v>
      </c>
      <c r="F204" s="2" t="s">
        <v>81</v>
      </c>
      <c r="G204" s="2" t="s">
        <v>150</v>
      </c>
      <c r="H204" s="2" t="s">
        <v>129</v>
      </c>
      <c r="I204" s="2" t="s">
        <v>44</v>
      </c>
      <c r="J204" s="2"/>
      <c r="K204" s="2" t="s">
        <v>38</v>
      </c>
      <c r="L204" s="2" t="s">
        <v>39</v>
      </c>
      <c r="M204" s="2" t="s">
        <v>38</v>
      </c>
      <c r="N204" s="2" t="s">
        <v>38</v>
      </c>
      <c r="O204" s="2" t="s">
        <v>38</v>
      </c>
      <c r="P204" s="2" t="s">
        <v>38</v>
      </c>
      <c r="Q204" s="2" t="s">
        <v>38</v>
      </c>
      <c r="R204" s="2" t="s">
        <v>38</v>
      </c>
      <c r="S204" s="2" t="s">
        <v>38</v>
      </c>
      <c r="T204" s="2" t="s">
        <v>38</v>
      </c>
      <c r="U204" s="2" t="s">
        <v>39</v>
      </c>
      <c r="V204" s="2" t="s">
        <v>38</v>
      </c>
      <c r="W204" s="2" t="s">
        <v>38</v>
      </c>
      <c r="X204" s="2" t="s">
        <v>38</v>
      </c>
      <c r="Y204" s="2" t="s">
        <v>38</v>
      </c>
      <c r="Z204" s="2" t="s">
        <v>38</v>
      </c>
      <c r="AA204" s="2" t="s">
        <v>38</v>
      </c>
      <c r="AB204" s="2" t="s">
        <v>38</v>
      </c>
      <c r="AC204" s="2" t="s">
        <v>38</v>
      </c>
      <c r="AD204" s="2" t="s">
        <v>38</v>
      </c>
      <c r="AE204" s="2" t="s">
        <v>38</v>
      </c>
    </row>
    <row r="205" spans="1:31" ht="409.5">
      <c r="A205" s="2">
        <v>2741402</v>
      </c>
      <c r="B205" s="2">
        <f>HYPERLINK("https://platform.v2.vetology.net/cases/2741402/screening-report/18?type=pdf&amp;v=v6&amp;scorecard=1&amp;secret_key=BX%25IJ%24%2F65ieZ%29f6", 2741402)</f>
        <v>2741402</v>
      </c>
      <c r="C205" s="2">
        <f>HYPERLINK("https://platform.v2.vetology.net/report/v/final/"&amp;2741402, 2741402)</f>
        <v>2741402</v>
      </c>
      <c r="D205" s="2" t="s">
        <v>765</v>
      </c>
      <c r="E205" s="2" t="s">
        <v>766</v>
      </c>
      <c r="F205" s="2" t="s">
        <v>81</v>
      </c>
      <c r="G205" s="2" t="s">
        <v>82</v>
      </c>
      <c r="H205" s="2" t="s">
        <v>767</v>
      </c>
      <c r="I205" s="2" t="s">
        <v>321</v>
      </c>
      <c r="J205" s="2" t="s">
        <v>66</v>
      </c>
      <c r="K205" s="2" t="s">
        <v>38</v>
      </c>
      <c r="L205" s="2" t="s">
        <v>39</v>
      </c>
      <c r="M205" s="2" t="s">
        <v>39</v>
      </c>
      <c r="N205" s="2" t="s">
        <v>38</v>
      </c>
      <c r="O205" s="2" t="s">
        <v>39</v>
      </c>
      <c r="P205" s="2" t="s">
        <v>39</v>
      </c>
      <c r="Q205" s="2" t="s">
        <v>38</v>
      </c>
      <c r="R205" s="2" t="s">
        <v>38</v>
      </c>
      <c r="S205" s="2" t="s">
        <v>38</v>
      </c>
      <c r="T205" s="2" t="s">
        <v>39</v>
      </c>
      <c r="U205" s="2" t="s">
        <v>38</v>
      </c>
      <c r="V205" s="2" t="s">
        <v>39</v>
      </c>
      <c r="W205" s="2" t="s">
        <v>38</v>
      </c>
      <c r="X205" s="2" t="s">
        <v>39</v>
      </c>
      <c r="Y205" s="2" t="s">
        <v>38</v>
      </c>
      <c r="Z205" s="2" t="s">
        <v>38</v>
      </c>
      <c r="AA205" s="2" t="s">
        <v>38</v>
      </c>
      <c r="AB205" s="2" t="s">
        <v>39</v>
      </c>
      <c r="AC205" s="2" t="s">
        <v>38</v>
      </c>
      <c r="AD205" s="2" t="s">
        <v>38</v>
      </c>
      <c r="AE205" s="2" t="s">
        <v>38</v>
      </c>
    </row>
    <row r="206" spans="1:31" ht="409.5">
      <c r="A206" s="2">
        <v>2741323</v>
      </c>
      <c r="B206" s="2">
        <f>HYPERLINK("https://platform.v2.vetology.net/cases/2741323/screening-report/18?type=pdf&amp;v=v6&amp;scorecard=1&amp;secret_key=BX%25IJ%24%2F65ieZ%29f6", 2741323)</f>
        <v>2741323</v>
      </c>
      <c r="C206" s="2">
        <f>HYPERLINK("https://platform.v2.vetology.net/report/v/final/"&amp;2741323, 2741323)</f>
        <v>2741323</v>
      </c>
      <c r="D206" s="2" t="s">
        <v>768</v>
      </c>
      <c r="E206" s="2" t="s">
        <v>769</v>
      </c>
      <c r="F206" s="2" t="s">
        <v>770</v>
      </c>
      <c r="G206" s="2" t="s">
        <v>34</v>
      </c>
      <c r="H206" s="2" t="s">
        <v>771</v>
      </c>
      <c r="I206" s="2" t="s">
        <v>44</v>
      </c>
      <c r="J206" s="2"/>
      <c r="K206" s="2" t="s">
        <v>38</v>
      </c>
      <c r="L206" s="2" t="s">
        <v>39</v>
      </c>
      <c r="M206" s="2" t="s">
        <v>39</v>
      </c>
      <c r="N206" s="2" t="s">
        <v>38</v>
      </c>
      <c r="O206" s="2" t="s">
        <v>38</v>
      </c>
      <c r="P206" s="2" t="s">
        <v>38</v>
      </c>
      <c r="Q206" s="2" t="s">
        <v>38</v>
      </c>
      <c r="R206" s="2" t="s">
        <v>38</v>
      </c>
      <c r="S206" s="2" t="s">
        <v>38</v>
      </c>
      <c r="T206" s="2" t="s">
        <v>39</v>
      </c>
      <c r="U206" s="2" t="s">
        <v>38</v>
      </c>
      <c r="V206" s="2" t="s">
        <v>38</v>
      </c>
      <c r="W206" s="2" t="s">
        <v>38</v>
      </c>
      <c r="X206" s="2" t="s">
        <v>38</v>
      </c>
      <c r="Y206" s="2" t="s">
        <v>38</v>
      </c>
      <c r="Z206" s="2" t="s">
        <v>38</v>
      </c>
      <c r="AA206" s="2" t="s">
        <v>38</v>
      </c>
      <c r="AB206" s="2" t="s">
        <v>38</v>
      </c>
      <c r="AC206" s="2" t="s">
        <v>38</v>
      </c>
      <c r="AD206" s="2" t="s">
        <v>38</v>
      </c>
      <c r="AE206" s="2" t="s">
        <v>38</v>
      </c>
    </row>
    <row r="207" spans="1:31" ht="409.5">
      <c r="A207" s="2">
        <v>2741297</v>
      </c>
      <c r="B207" s="2">
        <f>HYPERLINK("https://platform.v2.vetology.net/cases/2741297/screening-report/18?type=pdf&amp;v=v6&amp;scorecard=1&amp;secret_key=BX%25IJ%24%2F65ieZ%29f6", 2741297)</f>
        <v>2741297</v>
      </c>
      <c r="C207" s="2">
        <f>HYPERLINK("https://platform.v2.vetology.net/report/v/final/"&amp;2741297, 2741297)</f>
        <v>2741297</v>
      </c>
      <c r="D207" s="2" t="s">
        <v>772</v>
      </c>
      <c r="E207" s="2" t="s">
        <v>773</v>
      </c>
      <c r="F207" s="2" t="s">
        <v>81</v>
      </c>
      <c r="G207" s="2" t="s">
        <v>268</v>
      </c>
      <c r="H207" s="2" t="s">
        <v>733</v>
      </c>
      <c r="I207" s="2" t="s">
        <v>158</v>
      </c>
      <c r="J207" s="2" t="s">
        <v>50</v>
      </c>
      <c r="K207" s="2" t="s">
        <v>38</v>
      </c>
      <c r="L207" s="2" t="s">
        <v>38</v>
      </c>
      <c r="M207" s="2" t="s">
        <v>38</v>
      </c>
      <c r="N207" s="2" t="s">
        <v>38</v>
      </c>
      <c r="O207" s="2" t="s">
        <v>38</v>
      </c>
      <c r="P207" s="2" t="s">
        <v>39</v>
      </c>
      <c r="Q207" s="2" t="s">
        <v>38</v>
      </c>
      <c r="R207" s="2" t="s">
        <v>38</v>
      </c>
      <c r="S207" s="2" t="s">
        <v>38</v>
      </c>
      <c r="T207" s="2" t="s">
        <v>38</v>
      </c>
      <c r="U207" s="2" t="s">
        <v>38</v>
      </c>
      <c r="V207" s="2" t="s">
        <v>38</v>
      </c>
      <c r="W207" s="2" t="s">
        <v>38</v>
      </c>
      <c r="X207" s="2" t="s">
        <v>38</v>
      </c>
      <c r="Y207" s="2" t="s">
        <v>38</v>
      </c>
      <c r="Z207" s="2" t="s">
        <v>39</v>
      </c>
      <c r="AA207" s="2" t="s">
        <v>38</v>
      </c>
      <c r="AB207" s="2" t="s">
        <v>39</v>
      </c>
      <c r="AC207" s="2" t="s">
        <v>39</v>
      </c>
      <c r="AD207" s="2" t="s">
        <v>38</v>
      </c>
      <c r="AE207" s="2" t="s">
        <v>38</v>
      </c>
    </row>
    <row r="208" spans="1:31" ht="409.5">
      <c r="A208" s="2">
        <v>2741274</v>
      </c>
      <c r="B208" s="2">
        <f>HYPERLINK("https://platform.v2.vetology.net/cases/2741274/screening-report/18?type=pdf&amp;v=v6&amp;scorecard=1&amp;secret_key=BX%25IJ%24%2F65ieZ%29f6", 2741274)</f>
        <v>2741274</v>
      </c>
      <c r="C208" s="2">
        <f>HYPERLINK("https://platform.v2.vetology.net/report/v/final/"&amp;2741274, 2741274)</f>
        <v>2741274</v>
      </c>
      <c r="D208" s="2" t="s">
        <v>774</v>
      </c>
      <c r="E208" s="2" t="s">
        <v>775</v>
      </c>
      <c r="F208" s="2" t="s">
        <v>81</v>
      </c>
      <c r="G208" s="2" t="s">
        <v>150</v>
      </c>
      <c r="H208" s="2" t="s">
        <v>129</v>
      </c>
      <c r="I208" s="2" t="s">
        <v>44</v>
      </c>
      <c r="J208" s="2"/>
      <c r="K208" s="2" t="s">
        <v>38</v>
      </c>
      <c r="L208" s="2" t="s">
        <v>39</v>
      </c>
      <c r="M208" s="2" t="s">
        <v>38</v>
      </c>
      <c r="N208" s="2" t="s">
        <v>38</v>
      </c>
      <c r="O208" s="2" t="s">
        <v>38</v>
      </c>
      <c r="P208" s="2" t="s">
        <v>39</v>
      </c>
      <c r="Q208" s="2" t="s">
        <v>38</v>
      </c>
      <c r="R208" s="2" t="s">
        <v>38</v>
      </c>
      <c r="S208" s="2" t="s">
        <v>38</v>
      </c>
      <c r="T208" s="2" t="s">
        <v>39</v>
      </c>
      <c r="U208" s="2" t="s">
        <v>38</v>
      </c>
      <c r="V208" s="2" t="s">
        <v>39</v>
      </c>
      <c r="W208" s="2" t="s">
        <v>38</v>
      </c>
      <c r="X208" s="2" t="s">
        <v>39</v>
      </c>
      <c r="Y208" s="2" t="s">
        <v>38</v>
      </c>
      <c r="Z208" s="2" t="s">
        <v>38</v>
      </c>
      <c r="AA208" s="2" t="s">
        <v>38</v>
      </c>
      <c r="AB208" s="2" t="s">
        <v>39</v>
      </c>
      <c r="AC208" s="2" t="s">
        <v>38</v>
      </c>
      <c r="AD208" s="2" t="s">
        <v>38</v>
      </c>
      <c r="AE208" s="2" t="s">
        <v>38</v>
      </c>
    </row>
    <row r="209" spans="1:31" ht="409.5">
      <c r="A209" s="2">
        <v>2741250</v>
      </c>
      <c r="B209" s="2">
        <f>HYPERLINK("https://platform.v2.vetology.net/cases/2741250/screening-report/18?type=pdf&amp;v=v6&amp;scorecard=1&amp;secret_key=BX%25IJ%24%2F65ieZ%29f6", 2741250)</f>
        <v>2741250</v>
      </c>
      <c r="C209" s="2">
        <f>HYPERLINK("https://platform.v2.vetology.net/report/v/final/"&amp;2741250, 2741250)</f>
        <v>2741250</v>
      </c>
      <c r="D209" s="2" t="s">
        <v>776</v>
      </c>
      <c r="E209" s="2" t="s">
        <v>777</v>
      </c>
      <c r="F209" s="2" t="s">
        <v>778</v>
      </c>
      <c r="G209" s="2" t="s">
        <v>58</v>
      </c>
      <c r="H209" s="2" t="s">
        <v>779</v>
      </c>
      <c r="I209" s="2" t="s">
        <v>89</v>
      </c>
      <c r="J209" s="2" t="s">
        <v>66</v>
      </c>
      <c r="K209" s="2" t="s">
        <v>38</v>
      </c>
      <c r="L209" s="2" t="s">
        <v>39</v>
      </c>
      <c r="M209" s="2" t="s">
        <v>39</v>
      </c>
      <c r="N209" s="2" t="s">
        <v>38</v>
      </c>
      <c r="O209" s="2" t="s">
        <v>38</v>
      </c>
      <c r="P209" s="2" t="s">
        <v>39</v>
      </c>
      <c r="Q209" s="2" t="s">
        <v>38</v>
      </c>
      <c r="R209" s="2" t="s">
        <v>38</v>
      </c>
      <c r="S209" s="2" t="s">
        <v>39</v>
      </c>
      <c r="T209" s="2" t="s">
        <v>39</v>
      </c>
      <c r="U209" s="2" t="s">
        <v>38</v>
      </c>
      <c r="V209" s="2" t="s">
        <v>39</v>
      </c>
      <c r="W209" s="2" t="s">
        <v>38</v>
      </c>
      <c r="X209" s="2" t="s">
        <v>39</v>
      </c>
      <c r="Y209" s="2" t="s">
        <v>38</v>
      </c>
      <c r="Z209" s="2" t="s">
        <v>38</v>
      </c>
      <c r="AA209" s="2" t="s">
        <v>38</v>
      </c>
      <c r="AB209" s="2" t="s">
        <v>38</v>
      </c>
      <c r="AC209" s="2" t="s">
        <v>38</v>
      </c>
      <c r="AD209" s="2" t="s">
        <v>38</v>
      </c>
      <c r="AE209" s="2" t="s">
        <v>39</v>
      </c>
    </row>
    <row r="210" spans="1:31" ht="409.5">
      <c r="A210" s="2">
        <v>2741218</v>
      </c>
      <c r="B210" s="2">
        <f>HYPERLINK("https://platform.v2.vetology.net/cases/2741218/screening-report/18?type=pdf&amp;v=v6&amp;scorecard=1&amp;secret_key=BX%25IJ%24%2F65ieZ%29f6", 2741218)</f>
        <v>2741218</v>
      </c>
      <c r="C210" s="2">
        <f>HYPERLINK("https://platform.v2.vetology.net/report/v/final/"&amp;2741218, 2741218)</f>
        <v>2741218</v>
      </c>
      <c r="D210" s="2" t="s">
        <v>780</v>
      </c>
      <c r="E210" s="2" t="s">
        <v>781</v>
      </c>
      <c r="F210" s="2" t="s">
        <v>293</v>
      </c>
      <c r="G210" s="2" t="s">
        <v>150</v>
      </c>
      <c r="H210" s="2" t="s">
        <v>360</v>
      </c>
      <c r="I210" s="2" t="s">
        <v>284</v>
      </c>
      <c r="J210" s="2" t="s">
        <v>285</v>
      </c>
      <c r="K210" s="2" t="s">
        <v>38</v>
      </c>
      <c r="L210" s="2" t="s">
        <v>38</v>
      </c>
      <c r="M210" s="2" t="s">
        <v>39</v>
      </c>
      <c r="N210" s="2" t="s">
        <v>38</v>
      </c>
      <c r="O210" s="2" t="s">
        <v>38</v>
      </c>
      <c r="P210" s="2" t="s">
        <v>38</v>
      </c>
      <c r="Q210" s="2" t="s">
        <v>38</v>
      </c>
      <c r="R210" s="2" t="s">
        <v>38</v>
      </c>
      <c r="S210" s="2" t="s">
        <v>38</v>
      </c>
      <c r="T210" s="2" t="s">
        <v>39</v>
      </c>
      <c r="U210" s="2" t="s">
        <v>38</v>
      </c>
      <c r="V210" s="2" t="s">
        <v>39</v>
      </c>
      <c r="W210" s="2" t="s">
        <v>38</v>
      </c>
      <c r="X210" s="2" t="s">
        <v>39</v>
      </c>
      <c r="Y210" s="2" t="s">
        <v>38</v>
      </c>
      <c r="Z210" s="2" t="s">
        <v>38</v>
      </c>
      <c r="AA210" s="2" t="s">
        <v>38</v>
      </c>
      <c r="AB210" s="2" t="s">
        <v>39</v>
      </c>
      <c r="AC210" s="2" t="s">
        <v>38</v>
      </c>
      <c r="AD210" s="2" t="s">
        <v>38</v>
      </c>
      <c r="AE210" s="2" t="s">
        <v>38</v>
      </c>
    </row>
    <row r="211" spans="1:31" ht="409.5">
      <c r="A211" s="2">
        <v>2740984</v>
      </c>
      <c r="B211" s="2">
        <f>HYPERLINK("https://platform.v2.vetology.net/cases/2740984/screening-report/18?type=pdf&amp;v=v6&amp;scorecard=1&amp;secret_key=BX%25IJ%24%2F65ieZ%29f6", 2740984)</f>
        <v>2740984</v>
      </c>
      <c r="C211" s="2">
        <f>HYPERLINK("https://platform.v2.vetology.net/report/v/final/"&amp;2740984, 2740984)</f>
        <v>2740984</v>
      </c>
      <c r="D211" s="2" t="s">
        <v>782</v>
      </c>
      <c r="E211" s="2" t="s">
        <v>783</v>
      </c>
      <c r="F211" s="2" t="s">
        <v>81</v>
      </c>
      <c r="G211" s="2" t="s">
        <v>82</v>
      </c>
      <c r="H211" s="2" t="s">
        <v>129</v>
      </c>
      <c r="I211" s="2" t="s">
        <v>44</v>
      </c>
      <c r="J211" s="2" t="s">
        <v>106</v>
      </c>
      <c r="K211" s="2" t="s">
        <v>38</v>
      </c>
      <c r="L211" s="2" t="s">
        <v>38</v>
      </c>
      <c r="M211" s="2" t="s">
        <v>38</v>
      </c>
      <c r="N211" s="2" t="s">
        <v>38</v>
      </c>
      <c r="O211" s="2" t="s">
        <v>38</v>
      </c>
      <c r="P211" s="2" t="s">
        <v>38</v>
      </c>
      <c r="Q211" s="2" t="s">
        <v>38</v>
      </c>
      <c r="R211" s="2" t="s">
        <v>38</v>
      </c>
      <c r="S211" s="2" t="s">
        <v>38</v>
      </c>
      <c r="T211" s="2" t="s">
        <v>39</v>
      </c>
      <c r="U211" s="2" t="s">
        <v>38</v>
      </c>
      <c r="V211" s="2" t="s">
        <v>39</v>
      </c>
      <c r="W211" s="2" t="s">
        <v>38</v>
      </c>
      <c r="X211" s="2" t="s">
        <v>38</v>
      </c>
      <c r="Y211" s="2" t="s">
        <v>38</v>
      </c>
      <c r="Z211" s="2" t="s">
        <v>38</v>
      </c>
      <c r="AA211" s="2" t="s">
        <v>38</v>
      </c>
      <c r="AB211" s="2" t="s">
        <v>38</v>
      </c>
      <c r="AC211" s="2" t="s">
        <v>38</v>
      </c>
      <c r="AD211" s="2" t="s">
        <v>38</v>
      </c>
      <c r="AE211" s="2" t="s">
        <v>38</v>
      </c>
    </row>
    <row r="212" spans="1:31" ht="409.5">
      <c r="A212" s="2">
        <v>2740964</v>
      </c>
      <c r="B212" s="2">
        <f>HYPERLINK("https://platform.v2.vetology.net/cases/2740964/screening-report/18?type=pdf&amp;v=v6&amp;scorecard=1&amp;secret_key=BX%25IJ%24%2F65ieZ%29f6", 2740964)</f>
        <v>2740964</v>
      </c>
      <c r="C212" s="2">
        <f>HYPERLINK("https://platform.v2.vetology.net/report/v/final/"&amp;2740964, 2740964)</f>
        <v>2740964</v>
      </c>
      <c r="D212" s="2" t="s">
        <v>784</v>
      </c>
      <c r="E212" s="2" t="s">
        <v>785</v>
      </c>
      <c r="F212" s="2"/>
      <c r="G212" s="2" t="s">
        <v>141</v>
      </c>
      <c r="H212" s="2" t="s">
        <v>786</v>
      </c>
      <c r="I212" s="2" t="s">
        <v>36</v>
      </c>
      <c r="J212" s="2" t="s">
        <v>37</v>
      </c>
      <c r="K212" s="2" t="s">
        <v>38</v>
      </c>
      <c r="L212" s="2" t="s">
        <v>39</v>
      </c>
      <c r="M212" s="2" t="s">
        <v>38</v>
      </c>
      <c r="N212" s="2" t="s">
        <v>38</v>
      </c>
      <c r="O212" s="2" t="s">
        <v>38</v>
      </c>
      <c r="P212" s="2" t="s">
        <v>39</v>
      </c>
      <c r="Q212" s="2" t="s">
        <v>38</v>
      </c>
      <c r="R212" s="2" t="s">
        <v>38</v>
      </c>
      <c r="S212" s="2" t="s">
        <v>38</v>
      </c>
      <c r="T212" s="2" t="s">
        <v>39</v>
      </c>
      <c r="U212" s="2" t="s">
        <v>38</v>
      </c>
      <c r="V212" s="2" t="s">
        <v>39</v>
      </c>
      <c r="W212" s="2" t="s">
        <v>38</v>
      </c>
      <c r="X212" s="2" t="s">
        <v>39</v>
      </c>
      <c r="Y212" s="2" t="s">
        <v>38</v>
      </c>
      <c r="Z212" s="2" t="s">
        <v>38</v>
      </c>
      <c r="AA212" s="2" t="s">
        <v>38</v>
      </c>
      <c r="AB212" s="2" t="s">
        <v>38</v>
      </c>
      <c r="AC212" s="2" t="s">
        <v>39</v>
      </c>
      <c r="AD212" s="2" t="s">
        <v>38</v>
      </c>
      <c r="AE212" s="2" t="s">
        <v>38</v>
      </c>
    </row>
    <row r="213" spans="1:31" ht="409.5">
      <c r="A213" s="2">
        <v>2740815</v>
      </c>
      <c r="B213" s="2">
        <f>HYPERLINK("https://platform.v2.vetology.net/cases/2740815/screening-report/18?type=pdf&amp;v=v6&amp;scorecard=1&amp;secret_key=BX%25IJ%24%2F65ieZ%29f6", 2740815)</f>
        <v>2740815</v>
      </c>
      <c r="C213" s="2">
        <f>HYPERLINK("https://platform.v2.vetology.net/report/v/final/"&amp;2740815, 2740815)</f>
        <v>2740815</v>
      </c>
      <c r="D213" s="2" t="s">
        <v>787</v>
      </c>
      <c r="E213" s="2" t="s">
        <v>788</v>
      </c>
      <c r="F213" s="2" t="s">
        <v>789</v>
      </c>
      <c r="G213" s="2" t="s">
        <v>135</v>
      </c>
      <c r="H213" s="2" t="s">
        <v>790</v>
      </c>
      <c r="I213" s="2" t="s">
        <v>145</v>
      </c>
      <c r="J213" s="2" t="s">
        <v>146</v>
      </c>
      <c r="K213" s="2" t="s">
        <v>38</v>
      </c>
      <c r="L213" s="2" t="s">
        <v>38</v>
      </c>
      <c r="M213" s="2" t="s">
        <v>38</v>
      </c>
      <c r="N213" s="2" t="s">
        <v>38</v>
      </c>
      <c r="O213" s="2" t="s">
        <v>38</v>
      </c>
      <c r="P213" s="2" t="s">
        <v>38</v>
      </c>
      <c r="Q213" s="2" t="s">
        <v>38</v>
      </c>
      <c r="R213" s="2" t="s">
        <v>38</v>
      </c>
      <c r="S213" s="2" t="s">
        <v>38</v>
      </c>
      <c r="T213" s="2" t="s">
        <v>38</v>
      </c>
      <c r="U213" s="2" t="s">
        <v>38</v>
      </c>
      <c r="V213" s="2" t="s">
        <v>38</v>
      </c>
      <c r="W213" s="2" t="s">
        <v>38</v>
      </c>
      <c r="X213" s="2" t="s">
        <v>38</v>
      </c>
      <c r="Y213" s="2" t="s">
        <v>38</v>
      </c>
      <c r="Z213" s="2" t="s">
        <v>39</v>
      </c>
      <c r="AA213" s="2" t="s">
        <v>38</v>
      </c>
      <c r="AB213" s="2" t="s">
        <v>38</v>
      </c>
      <c r="AC213" s="2" t="s">
        <v>38</v>
      </c>
      <c r="AD213" s="2" t="s">
        <v>38</v>
      </c>
      <c r="AE213" s="2" t="s">
        <v>38</v>
      </c>
    </row>
    <row r="214" spans="1:31" ht="409.5">
      <c r="A214" s="2">
        <v>2740729</v>
      </c>
      <c r="B214" s="2">
        <f>HYPERLINK("https://platform.v2.vetology.net/cases/2740729/screening-report/18?type=pdf&amp;v=v6&amp;scorecard=1&amp;secret_key=BX%25IJ%24%2F65ieZ%29f6", 2740729)</f>
        <v>2740729</v>
      </c>
      <c r="C214" s="2">
        <f>HYPERLINK("https://platform.v2.vetology.net/report/v/final/"&amp;2740729, 2740729)</f>
        <v>2740729</v>
      </c>
      <c r="D214" s="2" t="s">
        <v>791</v>
      </c>
      <c r="E214" s="2" t="s">
        <v>792</v>
      </c>
      <c r="F214" s="2" t="s">
        <v>793</v>
      </c>
      <c r="G214" s="2" t="s">
        <v>58</v>
      </c>
      <c r="H214" s="2" t="s">
        <v>794</v>
      </c>
      <c r="I214" s="2" t="s">
        <v>137</v>
      </c>
      <c r="J214" s="2" t="s">
        <v>66</v>
      </c>
      <c r="K214" s="2" t="s">
        <v>38</v>
      </c>
      <c r="L214" s="2" t="s">
        <v>38</v>
      </c>
      <c r="M214" s="2" t="s">
        <v>39</v>
      </c>
      <c r="N214" s="2" t="s">
        <v>38</v>
      </c>
      <c r="O214" s="2" t="s">
        <v>38</v>
      </c>
      <c r="P214" s="2" t="s">
        <v>38</v>
      </c>
      <c r="Q214" s="2" t="s">
        <v>38</v>
      </c>
      <c r="R214" s="2" t="s">
        <v>38</v>
      </c>
      <c r="S214" s="2" t="s">
        <v>38</v>
      </c>
      <c r="T214" s="2" t="s">
        <v>38</v>
      </c>
      <c r="U214" s="2" t="s">
        <v>38</v>
      </c>
      <c r="V214" s="2" t="s">
        <v>38</v>
      </c>
      <c r="W214" s="2" t="s">
        <v>38</v>
      </c>
      <c r="X214" s="2" t="s">
        <v>38</v>
      </c>
      <c r="Y214" s="2" t="s">
        <v>38</v>
      </c>
      <c r="Z214" s="2" t="s">
        <v>38</v>
      </c>
      <c r="AA214" s="2" t="s">
        <v>38</v>
      </c>
      <c r="AB214" s="2" t="s">
        <v>38</v>
      </c>
      <c r="AC214" s="2" t="s">
        <v>38</v>
      </c>
      <c r="AD214" s="2" t="s">
        <v>38</v>
      </c>
      <c r="AE214" s="2" t="s">
        <v>38</v>
      </c>
    </row>
    <row r="215" spans="1:31" ht="409.5">
      <c r="A215" s="2">
        <v>2740690</v>
      </c>
      <c r="B215" s="2">
        <f>HYPERLINK("https://platform.v2.vetology.net/cases/2740690/screening-report/18?type=pdf&amp;v=v6&amp;scorecard=1&amp;secret_key=BX%25IJ%24%2F65ieZ%29f6", 2740690)</f>
        <v>2740690</v>
      </c>
      <c r="C215" s="2">
        <f>HYPERLINK("https://platform.v2.vetology.net/report/v/final/"&amp;2740690, 2740690)</f>
        <v>2740690</v>
      </c>
      <c r="D215" s="2" t="s">
        <v>795</v>
      </c>
      <c r="E215" s="2" t="s">
        <v>796</v>
      </c>
      <c r="F215" s="2" t="s">
        <v>797</v>
      </c>
      <c r="G215" s="2" t="s">
        <v>135</v>
      </c>
      <c r="H215" s="2" t="s">
        <v>688</v>
      </c>
      <c r="I215" s="2" t="s">
        <v>689</v>
      </c>
      <c r="J215" s="2" t="s">
        <v>690</v>
      </c>
      <c r="K215" s="2" t="s">
        <v>38</v>
      </c>
      <c r="L215" s="2" t="s">
        <v>39</v>
      </c>
      <c r="M215" s="2" t="s">
        <v>38</v>
      </c>
      <c r="N215" s="2" t="s">
        <v>38</v>
      </c>
      <c r="O215" s="2" t="s">
        <v>38</v>
      </c>
      <c r="P215" s="2" t="s">
        <v>39</v>
      </c>
      <c r="Q215" s="2" t="s">
        <v>38</v>
      </c>
      <c r="R215" s="2" t="s">
        <v>38</v>
      </c>
      <c r="S215" s="2" t="s">
        <v>38</v>
      </c>
      <c r="T215" s="2" t="s">
        <v>38</v>
      </c>
      <c r="U215" s="2" t="s">
        <v>39</v>
      </c>
      <c r="V215" s="2" t="s">
        <v>38</v>
      </c>
      <c r="W215" s="2" t="s">
        <v>38</v>
      </c>
      <c r="X215" s="2" t="s">
        <v>38</v>
      </c>
      <c r="Y215" s="2" t="s">
        <v>38</v>
      </c>
      <c r="Z215" s="2" t="s">
        <v>39</v>
      </c>
      <c r="AA215" s="2" t="s">
        <v>38</v>
      </c>
      <c r="AB215" s="2" t="s">
        <v>39</v>
      </c>
      <c r="AC215" s="2" t="s">
        <v>39</v>
      </c>
      <c r="AD215" s="2" t="s">
        <v>38</v>
      </c>
      <c r="AE215" s="2" t="s">
        <v>38</v>
      </c>
    </row>
    <row r="216" spans="1:31" ht="409.5">
      <c r="A216" s="2">
        <v>2740654</v>
      </c>
      <c r="B216" s="2">
        <f>HYPERLINK("https://platform.v2.vetology.net/cases/2740654/screening-report/18?type=pdf&amp;v=v6&amp;scorecard=1&amp;secret_key=BX%25IJ%24%2F65ieZ%29f6", 2740654)</f>
        <v>2740654</v>
      </c>
      <c r="C216" s="2">
        <f>HYPERLINK("https://platform.v2.vetology.net/report/v/final/"&amp;2740654, 2740654)</f>
        <v>2740654</v>
      </c>
      <c r="D216" s="2" t="s">
        <v>798</v>
      </c>
      <c r="E216" s="2" t="s">
        <v>799</v>
      </c>
      <c r="F216" s="2" t="s">
        <v>800</v>
      </c>
      <c r="G216" s="2" t="s">
        <v>34</v>
      </c>
      <c r="H216" s="2" t="s">
        <v>78</v>
      </c>
      <c r="I216" s="2" t="s">
        <v>44</v>
      </c>
      <c r="J216" s="2" t="s">
        <v>106</v>
      </c>
      <c r="K216" s="2" t="s">
        <v>38</v>
      </c>
      <c r="L216" s="2" t="s">
        <v>38</v>
      </c>
      <c r="M216" s="2" t="s">
        <v>39</v>
      </c>
      <c r="N216" s="2" t="s">
        <v>38</v>
      </c>
      <c r="O216" s="2" t="s">
        <v>38</v>
      </c>
      <c r="P216" s="2" t="s">
        <v>39</v>
      </c>
      <c r="Q216" s="2" t="s">
        <v>38</v>
      </c>
      <c r="R216" s="2" t="s">
        <v>38</v>
      </c>
      <c r="S216" s="2" t="s">
        <v>38</v>
      </c>
      <c r="T216" s="2" t="s">
        <v>38</v>
      </c>
      <c r="U216" s="2" t="s">
        <v>38</v>
      </c>
      <c r="V216" s="2" t="s">
        <v>38</v>
      </c>
      <c r="W216" s="2" t="s">
        <v>38</v>
      </c>
      <c r="X216" s="2" t="s">
        <v>38</v>
      </c>
      <c r="Y216" s="2" t="s">
        <v>38</v>
      </c>
      <c r="Z216" s="2" t="s">
        <v>38</v>
      </c>
      <c r="AA216" s="2" t="s">
        <v>38</v>
      </c>
      <c r="AB216" s="2" t="s">
        <v>38</v>
      </c>
      <c r="AC216" s="2" t="s">
        <v>38</v>
      </c>
      <c r="AD216" s="2" t="s">
        <v>38</v>
      </c>
      <c r="AE216" s="2" t="s">
        <v>38</v>
      </c>
    </row>
    <row r="217" spans="1:31" ht="409.5">
      <c r="A217" s="2">
        <v>2740577</v>
      </c>
      <c r="B217" s="2">
        <f>HYPERLINK("https://platform.v2.vetology.net/cases/2740577/screening-report/18?type=pdf&amp;v=v6&amp;scorecard=1&amp;secret_key=BX%25IJ%24%2F65ieZ%29f6", 2740577)</f>
        <v>2740577</v>
      </c>
      <c r="C217" s="2">
        <f>HYPERLINK("https://platform.v2.vetology.net/report/v/final/"&amp;2740577, 2740577)</f>
        <v>2740577</v>
      </c>
      <c r="D217" s="2" t="s">
        <v>801</v>
      </c>
      <c r="E217" s="2" t="s">
        <v>802</v>
      </c>
      <c r="F217" s="2" t="s">
        <v>803</v>
      </c>
      <c r="G217" s="2" t="s">
        <v>63</v>
      </c>
      <c r="H217" s="2" t="s">
        <v>804</v>
      </c>
      <c r="I217" s="2" t="s">
        <v>214</v>
      </c>
      <c r="J217" s="2" t="s">
        <v>50</v>
      </c>
      <c r="K217" s="2" t="s">
        <v>38</v>
      </c>
      <c r="L217" s="2" t="s">
        <v>39</v>
      </c>
      <c r="M217" s="2" t="s">
        <v>39</v>
      </c>
      <c r="N217" s="2" t="s">
        <v>38</v>
      </c>
      <c r="O217" s="2" t="s">
        <v>38</v>
      </c>
      <c r="P217" s="2" t="s">
        <v>38</v>
      </c>
      <c r="Q217" s="2" t="s">
        <v>38</v>
      </c>
      <c r="R217" s="2" t="s">
        <v>38</v>
      </c>
      <c r="S217" s="2" t="s">
        <v>38</v>
      </c>
      <c r="T217" s="2" t="s">
        <v>38</v>
      </c>
      <c r="U217" s="2" t="s">
        <v>38</v>
      </c>
      <c r="V217" s="2" t="s">
        <v>38</v>
      </c>
      <c r="W217" s="2" t="s">
        <v>38</v>
      </c>
      <c r="X217" s="2" t="s">
        <v>38</v>
      </c>
      <c r="Y217" s="2" t="s">
        <v>38</v>
      </c>
      <c r="Z217" s="2" t="s">
        <v>38</v>
      </c>
      <c r="AA217" s="2" t="s">
        <v>38</v>
      </c>
      <c r="AB217" s="2" t="s">
        <v>39</v>
      </c>
      <c r="AC217" s="2" t="s">
        <v>38</v>
      </c>
      <c r="AD217" s="2" t="s">
        <v>38</v>
      </c>
      <c r="AE217" s="2" t="s">
        <v>38</v>
      </c>
    </row>
    <row r="218" spans="1:31" ht="409.5">
      <c r="A218" s="2">
        <v>2740445</v>
      </c>
      <c r="B218" s="2">
        <f>HYPERLINK("https://platform.v2.vetology.net/cases/2740445/screening-report/18?type=pdf&amp;v=v6&amp;scorecard=1&amp;secret_key=BX%25IJ%24%2F65ieZ%29f6", 2740445)</f>
        <v>2740445</v>
      </c>
      <c r="C218" s="2">
        <f>HYPERLINK("https://platform.v2.vetology.net/report/v/final/"&amp;2740445, 2740445)</f>
        <v>2740445</v>
      </c>
      <c r="D218" s="2" t="s">
        <v>805</v>
      </c>
      <c r="E218" s="2" t="s">
        <v>806</v>
      </c>
      <c r="F218" s="2" t="s">
        <v>807</v>
      </c>
      <c r="G218" s="2" t="s">
        <v>63</v>
      </c>
      <c r="H218" s="2" t="s">
        <v>808</v>
      </c>
      <c r="I218" s="2" t="s">
        <v>809</v>
      </c>
      <c r="J218" s="2" t="s">
        <v>66</v>
      </c>
      <c r="K218" s="2" t="s">
        <v>38</v>
      </c>
      <c r="L218" s="2" t="s">
        <v>39</v>
      </c>
      <c r="M218" s="2" t="s">
        <v>39</v>
      </c>
      <c r="N218" s="2" t="s">
        <v>39</v>
      </c>
      <c r="O218" s="2" t="s">
        <v>39</v>
      </c>
      <c r="P218" s="2" t="s">
        <v>39</v>
      </c>
      <c r="Q218" s="2" t="s">
        <v>39</v>
      </c>
      <c r="R218" s="2" t="s">
        <v>38</v>
      </c>
      <c r="S218" s="2" t="s">
        <v>39</v>
      </c>
      <c r="T218" s="2" t="s">
        <v>38</v>
      </c>
      <c r="U218" s="2" t="s">
        <v>38</v>
      </c>
      <c r="V218" s="2" t="s">
        <v>38</v>
      </c>
      <c r="W218" s="2" t="s">
        <v>38</v>
      </c>
      <c r="X218" s="2" t="s">
        <v>38</v>
      </c>
      <c r="Y218" s="2" t="s">
        <v>38</v>
      </c>
      <c r="Z218" s="2" t="s">
        <v>39</v>
      </c>
      <c r="AA218" s="2" t="s">
        <v>38</v>
      </c>
      <c r="AB218" s="2" t="s">
        <v>39</v>
      </c>
      <c r="AC218" s="2" t="s">
        <v>38</v>
      </c>
      <c r="AD218" s="2" t="s">
        <v>38</v>
      </c>
      <c r="AE218" s="2" t="s">
        <v>38</v>
      </c>
    </row>
    <row r="219" spans="1:31" ht="409.5">
      <c r="A219" s="2">
        <v>2740436</v>
      </c>
      <c r="B219" s="2">
        <f>HYPERLINK("https://platform.v2.vetology.net/cases/2740436/screening-report/18?type=pdf&amp;v=v6&amp;scorecard=1&amp;secret_key=BX%25IJ%24%2F65ieZ%29f6", 2740436)</f>
        <v>2740436</v>
      </c>
      <c r="C219" s="2">
        <f>HYPERLINK("https://platform.v2.vetology.net/report/v/final/"&amp;2740436, 2740436)</f>
        <v>2740436</v>
      </c>
      <c r="D219" s="2" t="s">
        <v>810</v>
      </c>
      <c r="E219" s="2" t="s">
        <v>811</v>
      </c>
      <c r="F219" s="2" t="s">
        <v>812</v>
      </c>
      <c r="G219" s="2" t="s">
        <v>135</v>
      </c>
      <c r="H219" s="2" t="s">
        <v>136</v>
      </c>
      <c r="I219" s="2" t="s">
        <v>137</v>
      </c>
      <c r="J219" s="2" t="s">
        <v>66</v>
      </c>
      <c r="K219" s="2" t="s">
        <v>38</v>
      </c>
      <c r="L219" s="2" t="s">
        <v>39</v>
      </c>
      <c r="M219" s="2" t="s">
        <v>39</v>
      </c>
      <c r="N219" s="2" t="s">
        <v>38</v>
      </c>
      <c r="O219" s="2" t="s">
        <v>38</v>
      </c>
      <c r="P219" s="2" t="s">
        <v>38</v>
      </c>
      <c r="Q219" s="2" t="s">
        <v>38</v>
      </c>
      <c r="R219" s="2" t="s">
        <v>38</v>
      </c>
      <c r="S219" s="2" t="s">
        <v>38</v>
      </c>
      <c r="T219" s="2" t="s">
        <v>39</v>
      </c>
      <c r="U219" s="2" t="s">
        <v>38</v>
      </c>
      <c r="V219" s="2" t="s">
        <v>39</v>
      </c>
      <c r="W219" s="2" t="s">
        <v>38</v>
      </c>
      <c r="X219" s="2" t="s">
        <v>39</v>
      </c>
      <c r="Y219" s="2" t="s">
        <v>38</v>
      </c>
      <c r="Z219" s="2" t="s">
        <v>38</v>
      </c>
      <c r="AA219" s="2" t="s">
        <v>38</v>
      </c>
      <c r="AB219" s="2" t="s">
        <v>38</v>
      </c>
      <c r="AC219" s="2" t="s">
        <v>38</v>
      </c>
      <c r="AD219" s="2" t="s">
        <v>38</v>
      </c>
      <c r="AE219" s="2" t="s">
        <v>38</v>
      </c>
    </row>
    <row r="220" spans="1:31" ht="409.5">
      <c r="A220" s="2">
        <v>2740330</v>
      </c>
      <c r="B220" s="2">
        <f>HYPERLINK("https://platform.v2.vetology.net/cases/2740330/screening-report/18?type=pdf&amp;v=v6&amp;scorecard=1&amp;secret_key=BX%25IJ%24%2F65ieZ%29f6", 2740330)</f>
        <v>2740330</v>
      </c>
      <c r="C220" s="2">
        <f>HYPERLINK("https://platform.v2.vetology.net/report/v/final/"&amp;2740330, 2740330)</f>
        <v>2740330</v>
      </c>
      <c r="D220" s="2" t="s">
        <v>813</v>
      </c>
      <c r="E220" s="2" t="s">
        <v>814</v>
      </c>
      <c r="F220" s="2" t="s">
        <v>815</v>
      </c>
      <c r="G220" s="2" t="s">
        <v>135</v>
      </c>
      <c r="H220" s="2" t="s">
        <v>71</v>
      </c>
      <c r="I220" s="2" t="s">
        <v>44</v>
      </c>
      <c r="J220" s="2"/>
      <c r="K220" s="2" t="s">
        <v>38</v>
      </c>
      <c r="L220" s="2" t="s">
        <v>38</v>
      </c>
      <c r="M220" s="2" t="s">
        <v>39</v>
      </c>
      <c r="N220" s="2" t="s">
        <v>38</v>
      </c>
      <c r="O220" s="2" t="s">
        <v>38</v>
      </c>
      <c r="P220" s="2" t="s">
        <v>38</v>
      </c>
      <c r="Q220" s="2" t="s">
        <v>38</v>
      </c>
      <c r="R220" s="2" t="s">
        <v>38</v>
      </c>
      <c r="S220" s="2" t="s">
        <v>38</v>
      </c>
      <c r="T220" s="2" t="s">
        <v>39</v>
      </c>
      <c r="U220" s="2" t="s">
        <v>38</v>
      </c>
      <c r="V220" s="2" t="s">
        <v>39</v>
      </c>
      <c r="W220" s="2" t="s">
        <v>38</v>
      </c>
      <c r="X220" s="2" t="s">
        <v>39</v>
      </c>
      <c r="Y220" s="2" t="s">
        <v>38</v>
      </c>
      <c r="Z220" s="2" t="s">
        <v>38</v>
      </c>
      <c r="AA220" s="2" t="s">
        <v>38</v>
      </c>
      <c r="AB220" s="2" t="s">
        <v>38</v>
      </c>
      <c r="AC220" s="2" t="s">
        <v>38</v>
      </c>
      <c r="AD220" s="2" t="s">
        <v>38</v>
      </c>
      <c r="AE220" s="2" t="s">
        <v>38</v>
      </c>
    </row>
    <row r="221" spans="1:31" ht="409.5">
      <c r="A221" s="2">
        <v>2739975</v>
      </c>
      <c r="B221" s="2">
        <f>HYPERLINK("https://platform.v2.vetology.net/cases/2739975/screening-report/18?type=pdf&amp;v=v6&amp;scorecard=1&amp;secret_key=BX%25IJ%24%2F65ieZ%29f6", 2739975)</f>
        <v>2739975</v>
      </c>
      <c r="C221" s="2">
        <f>HYPERLINK("https://platform.v2.vetology.net/report/v/final/"&amp;2739975, 2739975)</f>
        <v>2739975</v>
      </c>
      <c r="D221" s="2" t="s">
        <v>816</v>
      </c>
      <c r="E221" s="2" t="s">
        <v>817</v>
      </c>
      <c r="F221" s="2" t="s">
        <v>81</v>
      </c>
      <c r="G221" s="2" t="s">
        <v>268</v>
      </c>
      <c r="H221" s="2" t="s">
        <v>818</v>
      </c>
      <c r="I221" s="2" t="s">
        <v>89</v>
      </c>
      <c r="J221" s="2" t="s">
        <v>66</v>
      </c>
      <c r="K221" s="2" t="s">
        <v>38</v>
      </c>
      <c r="L221" s="2" t="s">
        <v>39</v>
      </c>
      <c r="M221" s="2" t="s">
        <v>38</v>
      </c>
      <c r="N221" s="2" t="s">
        <v>38</v>
      </c>
      <c r="O221" s="2" t="s">
        <v>38</v>
      </c>
      <c r="P221" s="2" t="s">
        <v>39</v>
      </c>
      <c r="Q221" s="2" t="s">
        <v>38</v>
      </c>
      <c r="R221" s="2" t="s">
        <v>38</v>
      </c>
      <c r="S221" s="2" t="s">
        <v>38</v>
      </c>
      <c r="T221" s="2" t="s">
        <v>38</v>
      </c>
      <c r="U221" s="2" t="s">
        <v>38</v>
      </c>
      <c r="V221" s="2" t="s">
        <v>38</v>
      </c>
      <c r="W221" s="2" t="s">
        <v>38</v>
      </c>
      <c r="X221" s="2" t="s">
        <v>38</v>
      </c>
      <c r="Y221" s="2" t="s">
        <v>38</v>
      </c>
      <c r="Z221" s="2" t="s">
        <v>38</v>
      </c>
      <c r="AA221" s="2" t="s">
        <v>38</v>
      </c>
      <c r="AB221" s="2" t="s">
        <v>39</v>
      </c>
      <c r="AC221" s="2" t="s">
        <v>39</v>
      </c>
      <c r="AD221" s="2" t="s">
        <v>38</v>
      </c>
      <c r="AE221" s="2" t="s">
        <v>39</v>
      </c>
    </row>
    <row r="222" spans="1:31" ht="409.5">
      <c r="A222" s="2">
        <v>2739906</v>
      </c>
      <c r="B222" s="2">
        <f>HYPERLINK("https://platform.v2.vetology.net/cases/2739906/screening-report/18?type=pdf&amp;v=v6&amp;scorecard=1&amp;secret_key=BX%25IJ%24%2F65ieZ%29f6", 2739906)</f>
        <v>2739906</v>
      </c>
      <c r="C222" s="2">
        <f>HYPERLINK("https://platform.v2.vetology.net/report/v/final/"&amp;2739906, 2739906)</f>
        <v>2739906</v>
      </c>
      <c r="D222" s="2" t="s">
        <v>819</v>
      </c>
      <c r="E222" s="2" t="s">
        <v>820</v>
      </c>
      <c r="F222" s="2" t="s">
        <v>821</v>
      </c>
      <c r="G222" s="2" t="s">
        <v>93</v>
      </c>
      <c r="H222" s="2" t="s">
        <v>822</v>
      </c>
      <c r="I222" s="2" t="s">
        <v>36</v>
      </c>
      <c r="J222" s="2" t="s">
        <v>37</v>
      </c>
      <c r="K222" s="2" t="s">
        <v>38</v>
      </c>
      <c r="L222" s="2" t="s">
        <v>38</v>
      </c>
      <c r="M222" s="2" t="s">
        <v>38</v>
      </c>
      <c r="N222" s="2" t="s">
        <v>38</v>
      </c>
      <c r="O222" s="2" t="s">
        <v>38</v>
      </c>
      <c r="P222" s="2" t="s">
        <v>38</v>
      </c>
      <c r="Q222" s="2" t="s">
        <v>38</v>
      </c>
      <c r="R222" s="2" t="s">
        <v>38</v>
      </c>
      <c r="S222" s="2" t="s">
        <v>38</v>
      </c>
      <c r="T222" s="2" t="s">
        <v>38</v>
      </c>
      <c r="U222" s="2" t="s">
        <v>38</v>
      </c>
      <c r="V222" s="2" t="s">
        <v>38</v>
      </c>
      <c r="W222" s="2" t="s">
        <v>38</v>
      </c>
      <c r="X222" s="2" t="s">
        <v>38</v>
      </c>
      <c r="Y222" s="2" t="s">
        <v>38</v>
      </c>
      <c r="Z222" s="2" t="s">
        <v>38</v>
      </c>
      <c r="AA222" s="2" t="s">
        <v>38</v>
      </c>
      <c r="AB222" s="2" t="s">
        <v>39</v>
      </c>
      <c r="AC222" s="2" t="s">
        <v>38</v>
      </c>
      <c r="AD222" s="2" t="s">
        <v>38</v>
      </c>
      <c r="AE222" s="2" t="s">
        <v>38</v>
      </c>
    </row>
    <row r="223" spans="1:31" ht="409.5">
      <c r="A223" s="2">
        <v>2739889</v>
      </c>
      <c r="B223" s="2">
        <f>HYPERLINK("https://platform.v2.vetology.net/cases/2739889/screening-report/18?type=pdf&amp;v=v6&amp;scorecard=1&amp;secret_key=BX%25IJ%24%2F65ieZ%29f6", 2739889)</f>
        <v>2739889</v>
      </c>
      <c r="C223" s="2">
        <f>HYPERLINK("https://platform.v2.vetology.net/report/v/final/"&amp;2739889, 2739889)</f>
        <v>2739889</v>
      </c>
      <c r="D223" s="2" t="s">
        <v>823</v>
      </c>
      <c r="E223" s="2" t="s">
        <v>824</v>
      </c>
      <c r="F223" s="2" t="s">
        <v>825</v>
      </c>
      <c r="G223" s="2" t="s">
        <v>63</v>
      </c>
      <c r="H223" s="2" t="s">
        <v>71</v>
      </c>
      <c r="I223" s="2" t="s">
        <v>44</v>
      </c>
      <c r="J223" s="2" t="s">
        <v>106</v>
      </c>
      <c r="K223" s="2" t="s">
        <v>38</v>
      </c>
      <c r="L223" s="2" t="s">
        <v>38</v>
      </c>
      <c r="M223" s="2" t="s">
        <v>38</v>
      </c>
      <c r="N223" s="2" t="s">
        <v>38</v>
      </c>
      <c r="O223" s="2" t="s">
        <v>38</v>
      </c>
      <c r="P223" s="2" t="s">
        <v>38</v>
      </c>
      <c r="Q223" s="2" t="s">
        <v>38</v>
      </c>
      <c r="R223" s="2" t="s">
        <v>38</v>
      </c>
      <c r="S223" s="2" t="s">
        <v>38</v>
      </c>
      <c r="T223" s="2" t="s">
        <v>38</v>
      </c>
      <c r="U223" s="2" t="s">
        <v>38</v>
      </c>
      <c r="V223" s="2" t="s">
        <v>38</v>
      </c>
      <c r="W223" s="2" t="s">
        <v>38</v>
      </c>
      <c r="X223" s="2" t="s">
        <v>38</v>
      </c>
      <c r="Y223" s="2" t="s">
        <v>38</v>
      </c>
      <c r="Z223" s="2" t="s">
        <v>38</v>
      </c>
      <c r="AA223" s="2" t="s">
        <v>38</v>
      </c>
      <c r="AB223" s="2" t="s">
        <v>38</v>
      </c>
      <c r="AC223" s="2" t="s">
        <v>38</v>
      </c>
      <c r="AD223" s="2" t="s">
        <v>38</v>
      </c>
      <c r="AE223" s="2" t="s">
        <v>38</v>
      </c>
    </row>
    <row r="224" spans="1:31" ht="409.5">
      <c r="A224" s="2">
        <v>2739824</v>
      </c>
      <c r="B224" s="2">
        <f>HYPERLINK("https://platform.v2.vetology.net/cases/2739824/screening-report/18?type=pdf&amp;v=v6&amp;scorecard=1&amp;secret_key=BX%25IJ%24%2F65ieZ%29f6", 2739824)</f>
        <v>2739824</v>
      </c>
      <c r="C224" s="2">
        <f>HYPERLINK("https://platform.v2.vetology.net/report/v/final/"&amp;2739824, 2739824)</f>
        <v>2739824</v>
      </c>
      <c r="D224" s="2" t="s">
        <v>826</v>
      </c>
      <c r="E224" s="2" t="s">
        <v>827</v>
      </c>
      <c r="F224" s="2" t="s">
        <v>828</v>
      </c>
      <c r="G224" s="2" t="s">
        <v>58</v>
      </c>
      <c r="H224" s="2" t="s">
        <v>646</v>
      </c>
      <c r="I224" s="2" t="s">
        <v>167</v>
      </c>
      <c r="J224" s="2" t="s">
        <v>168</v>
      </c>
      <c r="K224" s="2" t="s">
        <v>38</v>
      </c>
      <c r="L224" s="2" t="s">
        <v>38</v>
      </c>
      <c r="M224" s="2" t="s">
        <v>39</v>
      </c>
      <c r="N224" s="2" t="s">
        <v>38</v>
      </c>
      <c r="O224" s="2" t="s">
        <v>38</v>
      </c>
      <c r="P224" s="2" t="s">
        <v>38</v>
      </c>
      <c r="Q224" s="2" t="s">
        <v>38</v>
      </c>
      <c r="R224" s="2" t="s">
        <v>38</v>
      </c>
      <c r="S224" s="2" t="s">
        <v>39</v>
      </c>
      <c r="T224" s="2" t="s">
        <v>38</v>
      </c>
      <c r="U224" s="2" t="s">
        <v>39</v>
      </c>
      <c r="V224" s="2" t="s">
        <v>38</v>
      </c>
      <c r="W224" s="2" t="s">
        <v>38</v>
      </c>
      <c r="X224" s="2" t="s">
        <v>39</v>
      </c>
      <c r="Y224" s="2" t="s">
        <v>38</v>
      </c>
      <c r="Z224" s="2" t="s">
        <v>39</v>
      </c>
      <c r="AA224" s="2" t="s">
        <v>38</v>
      </c>
      <c r="AB224" s="2" t="s">
        <v>38</v>
      </c>
      <c r="AC224" s="2" t="s">
        <v>39</v>
      </c>
      <c r="AD224" s="2" t="s">
        <v>38</v>
      </c>
      <c r="AE224" s="2" t="s">
        <v>38</v>
      </c>
    </row>
    <row r="225" spans="1:31" ht="409.5">
      <c r="A225" s="2">
        <v>2739715</v>
      </c>
      <c r="B225" s="2">
        <f>HYPERLINK("https://platform.v2.vetology.net/cases/2739715/screening-report/18?type=pdf&amp;v=v6&amp;scorecard=1&amp;secret_key=BX%25IJ%24%2F65ieZ%29f6", 2739715)</f>
        <v>2739715</v>
      </c>
      <c r="C225" s="2">
        <f>HYPERLINK("https://platform.v2.vetology.net/report/v/final/"&amp;2739715, 2739715)</f>
        <v>2739715</v>
      </c>
      <c r="D225" s="2" t="s">
        <v>829</v>
      </c>
      <c r="E225" s="2" t="s">
        <v>830</v>
      </c>
      <c r="F225" s="2" t="s">
        <v>831</v>
      </c>
      <c r="G225" s="2" t="s">
        <v>150</v>
      </c>
      <c r="H225" s="2" t="s">
        <v>78</v>
      </c>
      <c r="I225" s="2" t="s">
        <v>44</v>
      </c>
      <c r="J225" s="2"/>
      <c r="K225" s="2" t="s">
        <v>38</v>
      </c>
      <c r="L225" s="2" t="s">
        <v>39</v>
      </c>
      <c r="M225" s="2" t="s">
        <v>38</v>
      </c>
      <c r="N225" s="2" t="s">
        <v>38</v>
      </c>
      <c r="O225" s="2" t="s">
        <v>38</v>
      </c>
      <c r="P225" s="2" t="s">
        <v>38</v>
      </c>
      <c r="Q225" s="2" t="s">
        <v>38</v>
      </c>
      <c r="R225" s="2" t="s">
        <v>38</v>
      </c>
      <c r="S225" s="2" t="s">
        <v>38</v>
      </c>
      <c r="T225" s="2" t="s">
        <v>38</v>
      </c>
      <c r="U225" s="2" t="s">
        <v>38</v>
      </c>
      <c r="V225" s="2" t="s">
        <v>38</v>
      </c>
      <c r="W225" s="2" t="s">
        <v>38</v>
      </c>
      <c r="X225" s="2" t="s">
        <v>38</v>
      </c>
      <c r="Y225" s="2" t="s">
        <v>38</v>
      </c>
      <c r="Z225" s="2" t="s">
        <v>38</v>
      </c>
      <c r="AA225" s="2" t="s">
        <v>38</v>
      </c>
      <c r="AB225" s="2" t="s">
        <v>38</v>
      </c>
      <c r="AC225" s="2" t="s">
        <v>38</v>
      </c>
      <c r="AD225" s="2" t="s">
        <v>38</v>
      </c>
      <c r="AE225" s="2" t="s">
        <v>38</v>
      </c>
    </row>
    <row r="226" spans="1:31" ht="409.5">
      <c r="A226" s="2">
        <v>2739642</v>
      </c>
      <c r="B226" s="2">
        <f>HYPERLINK("https://platform.v2.vetology.net/cases/2739642/screening-report/18?type=pdf&amp;v=v6&amp;scorecard=1&amp;secret_key=BX%25IJ%24%2F65ieZ%29f6", 2739642)</f>
        <v>2739642</v>
      </c>
      <c r="C226" s="2">
        <f>HYPERLINK("https://platform.v2.vetology.net/report/v/final/"&amp;2739642, 2739642)</f>
        <v>2739642</v>
      </c>
      <c r="D226" s="2" t="s">
        <v>832</v>
      </c>
      <c r="E226" s="2" t="s">
        <v>833</v>
      </c>
      <c r="F226" s="2"/>
      <c r="G226" s="2" t="s">
        <v>150</v>
      </c>
      <c r="H226" s="2" t="s">
        <v>502</v>
      </c>
      <c r="I226" s="2" t="s">
        <v>503</v>
      </c>
      <c r="J226" s="2" t="s">
        <v>66</v>
      </c>
      <c r="K226" s="2" t="s">
        <v>38</v>
      </c>
      <c r="L226" s="2" t="s">
        <v>39</v>
      </c>
      <c r="M226" s="2" t="s">
        <v>39</v>
      </c>
      <c r="N226" s="2" t="s">
        <v>39</v>
      </c>
      <c r="O226" s="2" t="s">
        <v>39</v>
      </c>
      <c r="P226" s="2" t="s">
        <v>39</v>
      </c>
      <c r="Q226" s="2" t="s">
        <v>39</v>
      </c>
      <c r="R226" s="2" t="s">
        <v>38</v>
      </c>
      <c r="S226" s="2" t="s">
        <v>38</v>
      </c>
      <c r="T226" s="2" t="s">
        <v>39</v>
      </c>
      <c r="U226" s="2" t="s">
        <v>38</v>
      </c>
      <c r="V226" s="2" t="s">
        <v>38</v>
      </c>
      <c r="W226" s="2" t="s">
        <v>38</v>
      </c>
      <c r="X226" s="2" t="s">
        <v>39</v>
      </c>
      <c r="Y226" s="2" t="s">
        <v>39</v>
      </c>
      <c r="Z226" s="2" t="s">
        <v>39</v>
      </c>
      <c r="AA226" s="2" t="s">
        <v>38</v>
      </c>
      <c r="AB226" s="2" t="s">
        <v>39</v>
      </c>
      <c r="AC226" s="2" t="s">
        <v>39</v>
      </c>
      <c r="AD226" s="2" t="s">
        <v>38</v>
      </c>
      <c r="AE226" s="2" t="s">
        <v>39</v>
      </c>
    </row>
    <row r="227" spans="1:31" ht="409.5">
      <c r="A227" s="2">
        <v>2739585</v>
      </c>
      <c r="B227" s="2">
        <f>HYPERLINK("https://platform.v2.vetology.net/cases/2739585/screening-report/18?type=pdf&amp;v=v6&amp;scorecard=1&amp;secret_key=BX%25IJ%24%2F65ieZ%29f6", 2739585)</f>
        <v>2739585</v>
      </c>
      <c r="C227" s="2">
        <f>HYPERLINK("https://platform.v2.vetology.net/report/v/final/"&amp;2739585, 2739585)</f>
        <v>2739585</v>
      </c>
      <c r="D227" s="2" t="s">
        <v>834</v>
      </c>
      <c r="E227" s="2" t="s">
        <v>835</v>
      </c>
      <c r="F227" s="2" t="s">
        <v>836</v>
      </c>
      <c r="G227" s="2" t="s">
        <v>34</v>
      </c>
      <c r="H227" s="2" t="s">
        <v>78</v>
      </c>
      <c r="I227" s="2" t="s">
        <v>44</v>
      </c>
      <c r="J227" s="2"/>
      <c r="K227" s="2" t="s">
        <v>38</v>
      </c>
      <c r="L227" s="2" t="s">
        <v>39</v>
      </c>
      <c r="M227" s="2" t="s">
        <v>38</v>
      </c>
      <c r="N227" s="2" t="s">
        <v>38</v>
      </c>
      <c r="O227" s="2" t="s">
        <v>38</v>
      </c>
      <c r="P227" s="2" t="s">
        <v>38</v>
      </c>
      <c r="Q227" s="2" t="s">
        <v>38</v>
      </c>
      <c r="R227" s="2" t="s">
        <v>38</v>
      </c>
      <c r="S227" s="2" t="s">
        <v>38</v>
      </c>
      <c r="T227" s="2" t="s">
        <v>38</v>
      </c>
      <c r="U227" s="2" t="s">
        <v>38</v>
      </c>
      <c r="V227" s="2" t="s">
        <v>38</v>
      </c>
      <c r="W227" s="2" t="s">
        <v>38</v>
      </c>
      <c r="X227" s="2" t="s">
        <v>38</v>
      </c>
      <c r="Y227" s="2" t="s">
        <v>38</v>
      </c>
      <c r="Z227" s="2" t="s">
        <v>38</v>
      </c>
      <c r="AA227" s="2" t="s">
        <v>38</v>
      </c>
      <c r="AB227" s="2" t="s">
        <v>39</v>
      </c>
      <c r="AC227" s="2" t="s">
        <v>38</v>
      </c>
      <c r="AD227" s="2" t="s">
        <v>38</v>
      </c>
      <c r="AE227" s="2" t="s">
        <v>38</v>
      </c>
    </row>
    <row r="228" spans="1:31" ht="409.5">
      <c r="A228" s="2">
        <v>2739501</v>
      </c>
      <c r="B228" s="2">
        <f>HYPERLINK("https://platform.v2.vetology.net/cases/2739501/screening-report/18?type=pdf&amp;v=v6&amp;scorecard=1&amp;secret_key=BX%25IJ%24%2F65ieZ%29f6", 2739501)</f>
        <v>2739501</v>
      </c>
      <c r="C228" s="2">
        <f>HYPERLINK("https://platform.v2.vetology.net/report/v/final/"&amp;2739501, 2739501)</f>
        <v>2739501</v>
      </c>
      <c r="D228" s="2" t="s">
        <v>837</v>
      </c>
      <c r="E228" s="2" t="s">
        <v>838</v>
      </c>
      <c r="F228" s="2" t="s">
        <v>839</v>
      </c>
      <c r="G228" s="2" t="s">
        <v>63</v>
      </c>
      <c r="H228" s="2" t="s">
        <v>840</v>
      </c>
      <c r="I228" s="2" t="s">
        <v>841</v>
      </c>
      <c r="J228" s="2" t="s">
        <v>518</v>
      </c>
      <c r="K228" s="2" t="s">
        <v>38</v>
      </c>
      <c r="L228" s="2" t="s">
        <v>38</v>
      </c>
      <c r="M228" s="2" t="s">
        <v>39</v>
      </c>
      <c r="N228" s="2" t="s">
        <v>39</v>
      </c>
      <c r="O228" s="2" t="s">
        <v>38</v>
      </c>
      <c r="P228" s="2" t="s">
        <v>39</v>
      </c>
      <c r="Q228" s="2" t="s">
        <v>38</v>
      </c>
      <c r="R228" s="2" t="s">
        <v>38</v>
      </c>
      <c r="S228" s="2" t="s">
        <v>38</v>
      </c>
      <c r="T228" s="2" t="s">
        <v>39</v>
      </c>
      <c r="U228" s="2" t="s">
        <v>38</v>
      </c>
      <c r="V228" s="2" t="s">
        <v>39</v>
      </c>
      <c r="W228" s="2" t="s">
        <v>38</v>
      </c>
      <c r="X228" s="2" t="s">
        <v>38</v>
      </c>
      <c r="Y228" s="2" t="s">
        <v>38</v>
      </c>
      <c r="Z228" s="2" t="s">
        <v>38</v>
      </c>
      <c r="AA228" s="2" t="s">
        <v>38</v>
      </c>
      <c r="AB228" s="2" t="s">
        <v>39</v>
      </c>
      <c r="AC228" s="2" t="s">
        <v>38</v>
      </c>
      <c r="AD228" s="2" t="s">
        <v>38</v>
      </c>
      <c r="AE228" s="2" t="s">
        <v>39</v>
      </c>
    </row>
    <row r="229" spans="1:31" ht="409.5">
      <c r="A229" s="2">
        <v>2739361</v>
      </c>
      <c r="B229" s="2">
        <f>HYPERLINK("https://platform.v2.vetology.net/cases/2739361/screening-report/18?type=pdf&amp;v=v6&amp;scorecard=1&amp;secret_key=BX%25IJ%24%2F65ieZ%29f6", 2739361)</f>
        <v>2739361</v>
      </c>
      <c r="C229" s="2">
        <f>HYPERLINK("https://platform.v2.vetology.net/report/v/final/"&amp;2739361, 2739361)</f>
        <v>2739361</v>
      </c>
      <c r="D229" s="2" t="s">
        <v>842</v>
      </c>
      <c r="E229" s="2" t="s">
        <v>843</v>
      </c>
      <c r="F229" s="2" t="s">
        <v>844</v>
      </c>
      <c r="G229" s="2" t="s">
        <v>93</v>
      </c>
      <c r="H229" s="2" t="s">
        <v>845</v>
      </c>
      <c r="I229" s="2" t="s">
        <v>503</v>
      </c>
      <c r="J229" s="2" t="s">
        <v>66</v>
      </c>
      <c r="K229" s="2" t="s">
        <v>38</v>
      </c>
      <c r="L229" s="2" t="s">
        <v>39</v>
      </c>
      <c r="M229" s="2" t="s">
        <v>39</v>
      </c>
      <c r="N229" s="2" t="s">
        <v>39</v>
      </c>
      <c r="O229" s="2" t="s">
        <v>38</v>
      </c>
      <c r="P229" s="2" t="s">
        <v>39</v>
      </c>
      <c r="Q229" s="2" t="s">
        <v>38</v>
      </c>
      <c r="R229" s="2" t="s">
        <v>38</v>
      </c>
      <c r="S229" s="2" t="s">
        <v>38</v>
      </c>
      <c r="T229" s="2" t="s">
        <v>39</v>
      </c>
      <c r="U229" s="2" t="s">
        <v>38</v>
      </c>
      <c r="V229" s="2" t="s">
        <v>38</v>
      </c>
      <c r="W229" s="2" t="s">
        <v>39</v>
      </c>
      <c r="X229" s="2" t="s">
        <v>39</v>
      </c>
      <c r="Y229" s="2" t="s">
        <v>39</v>
      </c>
      <c r="Z229" s="2" t="s">
        <v>39</v>
      </c>
      <c r="AA229" s="2" t="s">
        <v>38</v>
      </c>
      <c r="AB229" s="2" t="s">
        <v>39</v>
      </c>
      <c r="AC229" s="2" t="s">
        <v>39</v>
      </c>
      <c r="AD229" s="2" t="s">
        <v>38</v>
      </c>
      <c r="AE229" s="2" t="s">
        <v>38</v>
      </c>
    </row>
    <row r="230" spans="1:31" ht="409.5">
      <c r="A230" s="2">
        <v>2739324</v>
      </c>
      <c r="B230" s="2">
        <f>HYPERLINK("https://platform.v2.vetology.net/cases/2739324/screening-report/18?type=pdf&amp;v=v6&amp;scorecard=1&amp;secret_key=BX%25IJ%24%2F65ieZ%29f6", 2739324)</f>
        <v>2739324</v>
      </c>
      <c r="C230" s="2">
        <f>HYPERLINK("https://platform.v2.vetology.net/report/v/final/"&amp;2739324, 2739324)</f>
        <v>2739324</v>
      </c>
      <c r="D230" s="2" t="s">
        <v>846</v>
      </c>
      <c r="E230" s="2" t="s">
        <v>847</v>
      </c>
      <c r="F230" s="2" t="s">
        <v>848</v>
      </c>
      <c r="G230" s="2" t="s">
        <v>34</v>
      </c>
      <c r="H230" s="2" t="s">
        <v>54</v>
      </c>
      <c r="I230" s="2" t="s">
        <v>44</v>
      </c>
      <c r="J230" s="2" t="s">
        <v>106</v>
      </c>
      <c r="K230" s="2" t="s">
        <v>38</v>
      </c>
      <c r="L230" s="2" t="s">
        <v>38</v>
      </c>
      <c r="M230" s="2" t="s">
        <v>38</v>
      </c>
      <c r="N230" s="2" t="s">
        <v>38</v>
      </c>
      <c r="O230" s="2" t="s">
        <v>38</v>
      </c>
      <c r="P230" s="2" t="s">
        <v>38</v>
      </c>
      <c r="Q230" s="2" t="s">
        <v>38</v>
      </c>
      <c r="R230" s="2" t="s">
        <v>38</v>
      </c>
      <c r="S230" s="2" t="s">
        <v>38</v>
      </c>
      <c r="T230" s="2" t="s">
        <v>38</v>
      </c>
      <c r="U230" s="2" t="s">
        <v>38</v>
      </c>
      <c r="V230" s="2" t="s">
        <v>38</v>
      </c>
      <c r="W230" s="2" t="s">
        <v>38</v>
      </c>
      <c r="X230" s="2" t="s">
        <v>38</v>
      </c>
      <c r="Y230" s="2" t="s">
        <v>38</v>
      </c>
      <c r="Z230" s="2" t="s">
        <v>38</v>
      </c>
      <c r="AA230" s="2" t="s">
        <v>38</v>
      </c>
      <c r="AB230" s="2" t="s">
        <v>38</v>
      </c>
      <c r="AC230" s="2" t="s">
        <v>38</v>
      </c>
      <c r="AD230" s="2" t="s">
        <v>38</v>
      </c>
      <c r="AE230" s="2" t="s">
        <v>38</v>
      </c>
    </row>
    <row r="231" spans="1:31" ht="409.5">
      <c r="A231" s="2">
        <v>2739241</v>
      </c>
      <c r="B231" s="2">
        <f>HYPERLINK("https://platform.v2.vetology.net/cases/2739241/screening-report/18?type=pdf&amp;v=v6&amp;scorecard=1&amp;secret_key=BX%25IJ%24%2F65ieZ%29f6", 2739241)</f>
        <v>2739241</v>
      </c>
      <c r="C231" s="2">
        <f>HYPERLINK("https://platform.v2.vetology.net/report/v/final/"&amp;2739241, 2739241)</f>
        <v>2739241</v>
      </c>
      <c r="D231" s="2" t="s">
        <v>849</v>
      </c>
      <c r="E231" s="2" t="s">
        <v>850</v>
      </c>
      <c r="F231" s="2"/>
      <c r="G231" s="2" t="s">
        <v>150</v>
      </c>
      <c r="H231" s="2" t="s">
        <v>851</v>
      </c>
      <c r="I231" s="2" t="s">
        <v>214</v>
      </c>
      <c r="J231" s="2" t="s">
        <v>50</v>
      </c>
      <c r="K231" s="2" t="s">
        <v>38</v>
      </c>
      <c r="L231" s="2" t="s">
        <v>39</v>
      </c>
      <c r="M231" s="2" t="s">
        <v>38</v>
      </c>
      <c r="N231" s="2" t="s">
        <v>38</v>
      </c>
      <c r="O231" s="2" t="s">
        <v>38</v>
      </c>
      <c r="P231" s="2" t="s">
        <v>38</v>
      </c>
      <c r="Q231" s="2" t="s">
        <v>38</v>
      </c>
      <c r="R231" s="2" t="s">
        <v>38</v>
      </c>
      <c r="S231" s="2" t="s">
        <v>38</v>
      </c>
      <c r="T231" s="2" t="s">
        <v>38</v>
      </c>
      <c r="U231" s="2" t="s">
        <v>38</v>
      </c>
      <c r="V231" s="2" t="s">
        <v>38</v>
      </c>
      <c r="W231" s="2" t="s">
        <v>38</v>
      </c>
      <c r="X231" s="2" t="s">
        <v>38</v>
      </c>
      <c r="Y231" s="2" t="s">
        <v>38</v>
      </c>
      <c r="Z231" s="2" t="s">
        <v>38</v>
      </c>
      <c r="AA231" s="2" t="s">
        <v>38</v>
      </c>
      <c r="AB231" s="2" t="s">
        <v>38</v>
      </c>
      <c r="AC231" s="2" t="s">
        <v>39</v>
      </c>
      <c r="AD231" s="2" t="s">
        <v>38</v>
      </c>
      <c r="AE231" s="2" t="s">
        <v>38</v>
      </c>
    </row>
    <row r="232" spans="1:31" ht="409.5">
      <c r="A232" s="2">
        <v>2739235</v>
      </c>
      <c r="B232" s="2">
        <f>HYPERLINK("https://platform.v2.vetology.net/cases/2739235/screening-report/18?type=pdf&amp;v=v6&amp;scorecard=1&amp;secret_key=BX%25IJ%24%2F65ieZ%29f6", 2739235)</f>
        <v>2739235</v>
      </c>
      <c r="C232" s="2">
        <f>HYPERLINK("https://platform.v2.vetology.net/report/v/final/"&amp;2739235, 2739235)</f>
        <v>2739235</v>
      </c>
      <c r="D232" s="2" t="s">
        <v>852</v>
      </c>
      <c r="E232" s="2" t="s">
        <v>853</v>
      </c>
      <c r="F232" s="2" t="s">
        <v>455</v>
      </c>
      <c r="G232" s="2" t="s">
        <v>58</v>
      </c>
      <c r="H232" s="2" t="s">
        <v>101</v>
      </c>
      <c r="I232" s="2" t="s">
        <v>44</v>
      </c>
      <c r="J232" s="2"/>
      <c r="K232" s="2" t="s">
        <v>38</v>
      </c>
      <c r="L232" s="2" t="s">
        <v>39</v>
      </c>
      <c r="M232" s="2" t="s">
        <v>38</v>
      </c>
      <c r="N232" s="2" t="s">
        <v>38</v>
      </c>
      <c r="O232" s="2" t="s">
        <v>38</v>
      </c>
      <c r="P232" s="2" t="s">
        <v>38</v>
      </c>
      <c r="Q232" s="2" t="s">
        <v>38</v>
      </c>
      <c r="R232" s="2" t="s">
        <v>38</v>
      </c>
      <c r="S232" s="2" t="s">
        <v>38</v>
      </c>
      <c r="T232" s="2" t="s">
        <v>38</v>
      </c>
      <c r="U232" s="2" t="s">
        <v>38</v>
      </c>
      <c r="V232" s="2" t="s">
        <v>38</v>
      </c>
      <c r="W232" s="2" t="s">
        <v>38</v>
      </c>
      <c r="X232" s="2" t="s">
        <v>38</v>
      </c>
      <c r="Y232" s="2" t="s">
        <v>38</v>
      </c>
      <c r="Z232" s="2" t="s">
        <v>38</v>
      </c>
      <c r="AA232" s="2" t="s">
        <v>38</v>
      </c>
      <c r="AB232" s="2" t="s">
        <v>38</v>
      </c>
      <c r="AC232" s="2" t="s">
        <v>38</v>
      </c>
      <c r="AD232" s="2" t="s">
        <v>38</v>
      </c>
      <c r="AE232" s="2" t="s">
        <v>38</v>
      </c>
    </row>
    <row r="233" spans="1:31" ht="409.5">
      <c r="A233" s="2">
        <v>2739037</v>
      </c>
      <c r="B233" s="2">
        <f>HYPERLINK("https://platform.v2.vetology.net/cases/2739037/screening-report/18?type=pdf&amp;v=v6&amp;scorecard=1&amp;secret_key=BX%25IJ%24%2F65ieZ%29f6", 2739037)</f>
        <v>2739037</v>
      </c>
      <c r="C233" s="2">
        <f>HYPERLINK("https://platform.v2.vetology.net/report/v/final/"&amp;2739037, 2739037)</f>
        <v>2739037</v>
      </c>
      <c r="D233" s="2" t="s">
        <v>854</v>
      </c>
      <c r="E233" s="2" t="s">
        <v>855</v>
      </c>
      <c r="F233" s="2" t="s">
        <v>856</v>
      </c>
      <c r="G233" s="2" t="s">
        <v>34</v>
      </c>
      <c r="H233" s="2" t="s">
        <v>857</v>
      </c>
      <c r="I233" s="2" t="s">
        <v>137</v>
      </c>
      <c r="J233" s="2" t="s">
        <v>66</v>
      </c>
      <c r="K233" s="2" t="s">
        <v>38</v>
      </c>
      <c r="L233" s="2" t="s">
        <v>38</v>
      </c>
      <c r="M233" s="2" t="s">
        <v>38</v>
      </c>
      <c r="N233" s="2" t="s">
        <v>38</v>
      </c>
      <c r="O233" s="2" t="s">
        <v>38</v>
      </c>
      <c r="P233" s="2" t="s">
        <v>38</v>
      </c>
      <c r="Q233" s="2" t="s">
        <v>38</v>
      </c>
      <c r="R233" s="2" t="s">
        <v>38</v>
      </c>
      <c r="S233" s="2" t="s">
        <v>38</v>
      </c>
      <c r="T233" s="2" t="s">
        <v>38</v>
      </c>
      <c r="U233" s="2" t="s">
        <v>38</v>
      </c>
      <c r="V233" s="2" t="s">
        <v>38</v>
      </c>
      <c r="W233" s="2" t="s">
        <v>38</v>
      </c>
      <c r="X233" s="2" t="s">
        <v>38</v>
      </c>
      <c r="Y233" s="2" t="s">
        <v>38</v>
      </c>
      <c r="Z233" s="2" t="s">
        <v>38</v>
      </c>
      <c r="AA233" s="2" t="s">
        <v>38</v>
      </c>
      <c r="AB233" s="2" t="s">
        <v>38</v>
      </c>
      <c r="AC233" s="2" t="s">
        <v>38</v>
      </c>
      <c r="AD233" s="2" t="s">
        <v>38</v>
      </c>
      <c r="AE233" s="2" t="s">
        <v>38</v>
      </c>
    </row>
    <row r="234" spans="1:31" ht="409.5">
      <c r="A234" s="2">
        <v>2738804</v>
      </c>
      <c r="B234" s="2">
        <f>HYPERLINK("https://platform.v2.vetology.net/cases/2738804/screening-report/18?type=pdf&amp;v=v6&amp;scorecard=1&amp;secret_key=BX%25IJ%24%2F65ieZ%29f6", 2738804)</f>
        <v>2738804</v>
      </c>
      <c r="C234" s="2">
        <f>HYPERLINK("https://platform.v2.vetology.net/report/v/final/"&amp;2738804, 2738804)</f>
        <v>2738804</v>
      </c>
      <c r="D234" s="2" t="s">
        <v>858</v>
      </c>
      <c r="E234" s="2" t="s">
        <v>859</v>
      </c>
      <c r="F234" s="2"/>
      <c r="G234" s="2" t="s">
        <v>141</v>
      </c>
      <c r="H234" s="2" t="s">
        <v>860</v>
      </c>
      <c r="I234" s="2" t="s">
        <v>145</v>
      </c>
      <c r="J234" s="2" t="s">
        <v>146</v>
      </c>
      <c r="K234" s="2" t="s">
        <v>38</v>
      </c>
      <c r="L234" s="2" t="s">
        <v>39</v>
      </c>
      <c r="M234" s="2" t="s">
        <v>38</v>
      </c>
      <c r="N234" s="2" t="s">
        <v>38</v>
      </c>
      <c r="O234" s="2" t="s">
        <v>38</v>
      </c>
      <c r="P234" s="2" t="s">
        <v>38</v>
      </c>
      <c r="Q234" s="2" t="s">
        <v>38</v>
      </c>
      <c r="R234" s="2" t="s">
        <v>38</v>
      </c>
      <c r="S234" s="2" t="s">
        <v>38</v>
      </c>
      <c r="T234" s="2" t="s">
        <v>39</v>
      </c>
      <c r="U234" s="2" t="s">
        <v>38</v>
      </c>
      <c r="V234" s="2" t="s">
        <v>38</v>
      </c>
      <c r="W234" s="2" t="s">
        <v>38</v>
      </c>
      <c r="X234" s="2" t="s">
        <v>38</v>
      </c>
      <c r="Y234" s="2" t="s">
        <v>38</v>
      </c>
      <c r="Z234" s="2" t="s">
        <v>38</v>
      </c>
      <c r="AA234" s="2" t="s">
        <v>38</v>
      </c>
      <c r="AB234" s="2" t="s">
        <v>38</v>
      </c>
      <c r="AC234" s="2" t="s">
        <v>38</v>
      </c>
      <c r="AD234" s="2" t="s">
        <v>38</v>
      </c>
      <c r="AE234" s="2" t="s">
        <v>38</v>
      </c>
    </row>
    <row r="235" spans="1:31" ht="409.5">
      <c r="A235" s="2">
        <v>2738793</v>
      </c>
      <c r="B235" s="2">
        <f>HYPERLINK("https://platform.v2.vetology.net/cases/2738793/screening-report/18?type=pdf&amp;v=v6&amp;scorecard=1&amp;secret_key=BX%25IJ%24%2F65ieZ%29f6", 2738793)</f>
        <v>2738793</v>
      </c>
      <c r="C235" s="2">
        <f>HYPERLINK("https://platform.v2.vetology.net/report/v/final/"&amp;2738793, 2738793)</f>
        <v>2738793</v>
      </c>
      <c r="D235" s="2" t="s">
        <v>861</v>
      </c>
      <c r="E235" s="2" t="s">
        <v>862</v>
      </c>
      <c r="F235" s="2" t="s">
        <v>863</v>
      </c>
      <c r="G235" s="2" t="s">
        <v>63</v>
      </c>
      <c r="H235" s="2" t="s">
        <v>78</v>
      </c>
      <c r="I235" s="2" t="s">
        <v>44</v>
      </c>
      <c r="J235" s="2" t="s">
        <v>106</v>
      </c>
      <c r="K235" s="2" t="s">
        <v>38</v>
      </c>
      <c r="L235" s="2" t="s">
        <v>38</v>
      </c>
      <c r="M235" s="2" t="s">
        <v>39</v>
      </c>
      <c r="N235" s="2" t="s">
        <v>38</v>
      </c>
      <c r="O235" s="2" t="s">
        <v>38</v>
      </c>
      <c r="P235" s="2" t="s">
        <v>38</v>
      </c>
      <c r="Q235" s="2" t="s">
        <v>38</v>
      </c>
      <c r="R235" s="2" t="s">
        <v>38</v>
      </c>
      <c r="S235" s="2" t="s">
        <v>38</v>
      </c>
      <c r="T235" s="2" t="s">
        <v>38</v>
      </c>
      <c r="U235" s="2" t="s">
        <v>38</v>
      </c>
      <c r="V235" s="2" t="s">
        <v>38</v>
      </c>
      <c r="W235" s="2" t="s">
        <v>38</v>
      </c>
      <c r="X235" s="2" t="s">
        <v>38</v>
      </c>
      <c r="Y235" s="2" t="s">
        <v>38</v>
      </c>
      <c r="Z235" s="2" t="s">
        <v>39</v>
      </c>
      <c r="AA235" s="2" t="s">
        <v>38</v>
      </c>
      <c r="AB235" s="2" t="s">
        <v>38</v>
      </c>
      <c r="AC235" s="2" t="s">
        <v>38</v>
      </c>
      <c r="AD235" s="2" t="s">
        <v>38</v>
      </c>
      <c r="AE235" s="2" t="s">
        <v>38</v>
      </c>
    </row>
    <row r="236" spans="1:31" ht="409.5">
      <c r="A236" s="2">
        <v>2738607</v>
      </c>
      <c r="B236" s="2">
        <f>HYPERLINK("https://platform.v2.vetology.net/cases/2738607/screening-report/18?type=pdf&amp;v=v6&amp;scorecard=1&amp;secret_key=BX%25IJ%24%2F65ieZ%29f6", 2738607)</f>
        <v>2738607</v>
      </c>
      <c r="C236" s="2">
        <f>HYPERLINK("https://platform.v2.vetology.net/report/v/final/"&amp;2738607, 2738607)</f>
        <v>2738607</v>
      </c>
      <c r="D236" s="2" t="s">
        <v>864</v>
      </c>
      <c r="E236" s="2" t="s">
        <v>865</v>
      </c>
      <c r="F236" s="2"/>
      <c r="G236" s="2" t="s">
        <v>268</v>
      </c>
      <c r="H236" s="2" t="s">
        <v>78</v>
      </c>
      <c r="I236" s="2" t="s">
        <v>44</v>
      </c>
      <c r="J236" s="2" t="s">
        <v>106</v>
      </c>
      <c r="K236" s="2" t="s">
        <v>38</v>
      </c>
      <c r="L236" s="2" t="s">
        <v>38</v>
      </c>
      <c r="M236" s="2" t="s">
        <v>38</v>
      </c>
      <c r="N236" s="2" t="s">
        <v>38</v>
      </c>
      <c r="O236" s="2" t="s">
        <v>38</v>
      </c>
      <c r="P236" s="2" t="s">
        <v>38</v>
      </c>
      <c r="Q236" s="2" t="s">
        <v>38</v>
      </c>
      <c r="R236" s="2" t="s">
        <v>38</v>
      </c>
      <c r="S236" s="2" t="s">
        <v>38</v>
      </c>
      <c r="T236" s="2" t="s">
        <v>38</v>
      </c>
      <c r="U236" s="2" t="s">
        <v>38</v>
      </c>
      <c r="V236" s="2" t="s">
        <v>38</v>
      </c>
      <c r="W236" s="2" t="s">
        <v>38</v>
      </c>
      <c r="X236" s="2" t="s">
        <v>38</v>
      </c>
      <c r="Y236" s="2" t="s">
        <v>38</v>
      </c>
      <c r="Z236" s="2" t="s">
        <v>38</v>
      </c>
      <c r="AA236" s="2" t="s">
        <v>38</v>
      </c>
      <c r="AB236" s="2" t="s">
        <v>38</v>
      </c>
      <c r="AC236" s="2" t="s">
        <v>38</v>
      </c>
      <c r="AD236" s="2" t="s">
        <v>38</v>
      </c>
      <c r="AE236" s="2" t="s">
        <v>38</v>
      </c>
    </row>
    <row r="237" spans="1:31" ht="409.5">
      <c r="A237" s="2">
        <v>2738491</v>
      </c>
      <c r="B237" s="2">
        <f>HYPERLINK("https://platform.v2.vetology.net/cases/2738491/screening-report/18?type=pdf&amp;v=v6&amp;scorecard=1&amp;secret_key=BX%25IJ%24%2F65ieZ%29f6", 2738491)</f>
        <v>2738491</v>
      </c>
      <c r="C237" s="2">
        <f>HYPERLINK("https://platform.v2.vetology.net/report/v/final/"&amp;2738491, 2738491)</f>
        <v>2738491</v>
      </c>
      <c r="D237" s="2" t="s">
        <v>866</v>
      </c>
      <c r="E237" s="2" t="s">
        <v>867</v>
      </c>
      <c r="F237" s="2" t="s">
        <v>868</v>
      </c>
      <c r="G237" s="2" t="s">
        <v>464</v>
      </c>
      <c r="H237" s="2" t="s">
        <v>869</v>
      </c>
      <c r="I237" s="2" t="s">
        <v>870</v>
      </c>
      <c r="J237" s="2" t="s">
        <v>518</v>
      </c>
      <c r="K237" s="2" t="s">
        <v>38</v>
      </c>
      <c r="L237" s="2" t="s">
        <v>39</v>
      </c>
      <c r="M237" s="2" t="s">
        <v>39</v>
      </c>
      <c r="N237" s="2" t="s">
        <v>38</v>
      </c>
      <c r="O237" s="2" t="s">
        <v>39</v>
      </c>
      <c r="P237" s="2" t="s">
        <v>39</v>
      </c>
      <c r="Q237" s="2" t="s">
        <v>38</v>
      </c>
      <c r="R237" s="2" t="s">
        <v>38</v>
      </c>
      <c r="S237" s="2" t="s">
        <v>39</v>
      </c>
      <c r="T237" s="2" t="s">
        <v>39</v>
      </c>
      <c r="U237" s="2" t="s">
        <v>38</v>
      </c>
      <c r="V237" s="2" t="s">
        <v>39</v>
      </c>
      <c r="W237" s="2" t="s">
        <v>38</v>
      </c>
      <c r="X237" s="2" t="s">
        <v>39</v>
      </c>
      <c r="Y237" s="2" t="s">
        <v>39</v>
      </c>
      <c r="Z237" s="2" t="s">
        <v>39</v>
      </c>
      <c r="AA237" s="2" t="s">
        <v>38</v>
      </c>
      <c r="AB237" s="2" t="s">
        <v>39</v>
      </c>
      <c r="AC237" s="2" t="s">
        <v>39</v>
      </c>
      <c r="AD237" s="2" t="s">
        <v>38</v>
      </c>
      <c r="AE237" s="2" t="s">
        <v>38</v>
      </c>
    </row>
    <row r="238" spans="1:31" ht="409.5">
      <c r="A238" s="2">
        <v>2738470</v>
      </c>
      <c r="B238" s="2">
        <f>HYPERLINK("https://platform.v2.vetology.net/cases/2738470/screening-report/18?type=pdf&amp;v=v6&amp;scorecard=1&amp;secret_key=BX%25IJ%24%2F65ieZ%29f6", 2738470)</f>
        <v>2738470</v>
      </c>
      <c r="C238" s="2">
        <f>HYPERLINK("https://platform.v2.vetology.net/report/v/final/"&amp;2738470, 2738470)</f>
        <v>2738470</v>
      </c>
      <c r="D238" s="2" t="s">
        <v>871</v>
      </c>
      <c r="E238" s="2" t="s">
        <v>872</v>
      </c>
      <c r="F238" s="2" t="s">
        <v>81</v>
      </c>
      <c r="G238" s="2" t="s">
        <v>268</v>
      </c>
      <c r="H238" s="2" t="s">
        <v>54</v>
      </c>
      <c r="I238" s="2" t="s">
        <v>44</v>
      </c>
      <c r="J238" s="2"/>
      <c r="K238" s="2" t="s">
        <v>38</v>
      </c>
      <c r="L238" s="2" t="s">
        <v>38</v>
      </c>
      <c r="M238" s="2" t="s">
        <v>39</v>
      </c>
      <c r="N238" s="2" t="s">
        <v>38</v>
      </c>
      <c r="O238" s="2" t="s">
        <v>38</v>
      </c>
      <c r="P238" s="2" t="s">
        <v>38</v>
      </c>
      <c r="Q238" s="2" t="s">
        <v>38</v>
      </c>
      <c r="R238" s="2" t="s">
        <v>38</v>
      </c>
      <c r="S238" s="2" t="s">
        <v>38</v>
      </c>
      <c r="T238" s="2" t="s">
        <v>38</v>
      </c>
      <c r="U238" s="2" t="s">
        <v>38</v>
      </c>
      <c r="V238" s="2" t="s">
        <v>38</v>
      </c>
      <c r="W238" s="2" t="s">
        <v>38</v>
      </c>
      <c r="X238" s="2" t="s">
        <v>38</v>
      </c>
      <c r="Y238" s="2" t="s">
        <v>38</v>
      </c>
      <c r="Z238" s="2" t="s">
        <v>38</v>
      </c>
      <c r="AA238" s="2" t="s">
        <v>38</v>
      </c>
      <c r="AB238" s="2" t="s">
        <v>38</v>
      </c>
      <c r="AC238" s="2" t="s">
        <v>38</v>
      </c>
      <c r="AD238" s="2" t="s">
        <v>38</v>
      </c>
      <c r="AE238" s="2" t="s">
        <v>38</v>
      </c>
    </row>
    <row r="239" spans="1:31" ht="409.5">
      <c r="A239" s="2">
        <v>2738389</v>
      </c>
      <c r="B239" s="2">
        <f>HYPERLINK("https://platform.v2.vetology.net/cases/2738389/screening-report/18?type=pdf&amp;v=v6&amp;scorecard=1&amp;secret_key=BX%25IJ%24%2F65ieZ%29f6", 2738389)</f>
        <v>2738389</v>
      </c>
      <c r="C239" s="2">
        <f>HYPERLINK("https://platform.v2.vetology.net/report/v/final/"&amp;2738389, 2738389)</f>
        <v>2738389</v>
      </c>
      <c r="D239" s="2" t="s">
        <v>873</v>
      </c>
      <c r="E239" s="2" t="s">
        <v>874</v>
      </c>
      <c r="F239" s="2" t="s">
        <v>81</v>
      </c>
      <c r="G239" s="2" t="s">
        <v>82</v>
      </c>
      <c r="H239" s="2" t="s">
        <v>78</v>
      </c>
      <c r="I239" s="2" t="s">
        <v>44</v>
      </c>
      <c r="J239" s="2"/>
      <c r="K239" s="2" t="s">
        <v>38</v>
      </c>
      <c r="L239" s="2" t="s">
        <v>38</v>
      </c>
      <c r="M239" s="2" t="s">
        <v>39</v>
      </c>
      <c r="N239" s="2" t="s">
        <v>38</v>
      </c>
      <c r="O239" s="2" t="s">
        <v>38</v>
      </c>
      <c r="P239" s="2" t="s">
        <v>39</v>
      </c>
      <c r="Q239" s="2" t="s">
        <v>39</v>
      </c>
      <c r="R239" s="2" t="s">
        <v>38</v>
      </c>
      <c r="S239" s="2" t="s">
        <v>38</v>
      </c>
      <c r="T239" s="2" t="s">
        <v>38</v>
      </c>
      <c r="U239" s="2" t="s">
        <v>38</v>
      </c>
      <c r="V239" s="2" t="s">
        <v>38</v>
      </c>
      <c r="W239" s="2" t="s">
        <v>38</v>
      </c>
      <c r="X239" s="2" t="s">
        <v>38</v>
      </c>
      <c r="Y239" s="2" t="s">
        <v>38</v>
      </c>
      <c r="Z239" s="2" t="s">
        <v>38</v>
      </c>
      <c r="AA239" s="2" t="s">
        <v>38</v>
      </c>
      <c r="AB239" s="2" t="s">
        <v>38</v>
      </c>
      <c r="AC239" s="2" t="s">
        <v>38</v>
      </c>
      <c r="AD239" s="2" t="s">
        <v>38</v>
      </c>
      <c r="AE239" s="2" t="s">
        <v>38</v>
      </c>
    </row>
    <row r="240" spans="1:31" ht="409.5">
      <c r="A240" s="2">
        <v>2738328</v>
      </c>
      <c r="B240" s="2">
        <f>HYPERLINK("https://platform.v2.vetology.net/cases/2738328/screening-report/18?type=pdf&amp;v=v6&amp;scorecard=1&amp;secret_key=BX%25IJ%24%2F65ieZ%29f6", 2738328)</f>
        <v>2738328</v>
      </c>
      <c r="C240" s="2">
        <f>HYPERLINK("https://platform.v2.vetology.net/report/v/final/"&amp;2738328, 2738328)</f>
        <v>2738328</v>
      </c>
      <c r="D240" s="2" t="s">
        <v>875</v>
      </c>
      <c r="E240" s="2" t="s">
        <v>876</v>
      </c>
      <c r="F240" s="2" t="s">
        <v>877</v>
      </c>
      <c r="G240" s="2" t="s">
        <v>58</v>
      </c>
      <c r="H240" s="2" t="s">
        <v>54</v>
      </c>
      <c r="I240" s="2" t="s">
        <v>44</v>
      </c>
      <c r="J240" s="2"/>
      <c r="K240" s="2" t="s">
        <v>38</v>
      </c>
      <c r="L240" s="2" t="s">
        <v>38</v>
      </c>
      <c r="M240" s="2" t="s">
        <v>38</v>
      </c>
      <c r="N240" s="2" t="s">
        <v>38</v>
      </c>
      <c r="O240" s="2" t="s">
        <v>38</v>
      </c>
      <c r="P240" s="2" t="s">
        <v>38</v>
      </c>
      <c r="Q240" s="2" t="s">
        <v>38</v>
      </c>
      <c r="R240" s="2" t="s">
        <v>38</v>
      </c>
      <c r="S240" s="2" t="s">
        <v>38</v>
      </c>
      <c r="T240" s="2" t="s">
        <v>39</v>
      </c>
      <c r="U240" s="2" t="s">
        <v>38</v>
      </c>
      <c r="V240" s="2" t="s">
        <v>39</v>
      </c>
      <c r="W240" s="2" t="s">
        <v>38</v>
      </c>
      <c r="X240" s="2" t="s">
        <v>39</v>
      </c>
      <c r="Y240" s="2" t="s">
        <v>38</v>
      </c>
      <c r="Z240" s="2" t="s">
        <v>38</v>
      </c>
      <c r="AA240" s="2" t="s">
        <v>38</v>
      </c>
      <c r="AB240" s="2" t="s">
        <v>38</v>
      </c>
      <c r="AC240" s="2" t="s">
        <v>38</v>
      </c>
      <c r="AD240" s="2" t="s">
        <v>38</v>
      </c>
      <c r="AE240" s="2" t="s">
        <v>38</v>
      </c>
    </row>
    <row r="241" spans="1:31" ht="409.5">
      <c r="A241" s="2">
        <v>2738324</v>
      </c>
      <c r="B241" s="2">
        <f>HYPERLINK("https://platform.v2.vetology.net/cases/2738324/screening-report/18?type=pdf&amp;v=v6&amp;scorecard=1&amp;secret_key=BX%25IJ%24%2F65ieZ%29f6", 2738324)</f>
        <v>2738324</v>
      </c>
      <c r="C241" s="2">
        <f>HYPERLINK("https://platform.v2.vetology.net/report/v/final/"&amp;2738324, 2738324)</f>
        <v>2738324</v>
      </c>
      <c r="D241" s="2" t="s">
        <v>878</v>
      </c>
      <c r="E241" s="2" t="s">
        <v>879</v>
      </c>
      <c r="F241" s="2" t="s">
        <v>880</v>
      </c>
      <c r="G241" s="2" t="s">
        <v>63</v>
      </c>
      <c r="H241" s="2" t="s">
        <v>129</v>
      </c>
      <c r="I241" s="2" t="s">
        <v>44</v>
      </c>
      <c r="J241" s="2"/>
      <c r="K241" s="2" t="s">
        <v>38</v>
      </c>
      <c r="L241" s="2" t="s">
        <v>39</v>
      </c>
      <c r="M241" s="2" t="s">
        <v>38</v>
      </c>
      <c r="N241" s="2" t="s">
        <v>38</v>
      </c>
      <c r="O241" s="2" t="s">
        <v>38</v>
      </c>
      <c r="P241" s="2" t="s">
        <v>38</v>
      </c>
      <c r="Q241" s="2" t="s">
        <v>38</v>
      </c>
      <c r="R241" s="2" t="s">
        <v>38</v>
      </c>
      <c r="S241" s="2" t="s">
        <v>38</v>
      </c>
      <c r="T241" s="2" t="s">
        <v>39</v>
      </c>
      <c r="U241" s="2" t="s">
        <v>38</v>
      </c>
      <c r="V241" s="2" t="s">
        <v>39</v>
      </c>
      <c r="W241" s="2" t="s">
        <v>38</v>
      </c>
      <c r="X241" s="2" t="s">
        <v>39</v>
      </c>
      <c r="Y241" s="2" t="s">
        <v>38</v>
      </c>
      <c r="Z241" s="2" t="s">
        <v>39</v>
      </c>
      <c r="AA241" s="2" t="s">
        <v>38</v>
      </c>
      <c r="AB241" s="2" t="s">
        <v>38</v>
      </c>
      <c r="AC241" s="2" t="s">
        <v>38</v>
      </c>
      <c r="AD241" s="2" t="s">
        <v>38</v>
      </c>
      <c r="AE241" s="2" t="s">
        <v>38</v>
      </c>
    </row>
    <row r="242" spans="1:31" ht="409.5">
      <c r="A242" s="2">
        <v>2738218</v>
      </c>
      <c r="B242" s="2">
        <f>HYPERLINK("https://platform.v2.vetology.net/cases/2738218/screening-report/18?type=pdf&amp;v=v6&amp;scorecard=1&amp;secret_key=BX%25IJ%24%2F65ieZ%29f6", 2738218)</f>
        <v>2738218</v>
      </c>
      <c r="C242" s="2">
        <f>HYPERLINK("https://platform.v2.vetology.net/report/v/final/"&amp;2738218, 2738218)</f>
        <v>2738218</v>
      </c>
      <c r="D242" s="2" t="s">
        <v>881</v>
      </c>
      <c r="E242" s="2" t="s">
        <v>882</v>
      </c>
      <c r="F242" s="2" t="s">
        <v>81</v>
      </c>
      <c r="G242" s="2" t="s">
        <v>82</v>
      </c>
      <c r="H242" s="2" t="s">
        <v>360</v>
      </c>
      <c r="I242" s="2" t="s">
        <v>284</v>
      </c>
      <c r="J242" s="2" t="s">
        <v>285</v>
      </c>
      <c r="K242" s="2" t="s">
        <v>38</v>
      </c>
      <c r="L242" s="2" t="s">
        <v>38</v>
      </c>
      <c r="M242" s="2" t="s">
        <v>38</v>
      </c>
      <c r="N242" s="2" t="s">
        <v>38</v>
      </c>
      <c r="O242" s="2" t="s">
        <v>38</v>
      </c>
      <c r="P242" s="2" t="s">
        <v>38</v>
      </c>
      <c r="Q242" s="2" t="s">
        <v>38</v>
      </c>
      <c r="R242" s="2" t="s">
        <v>38</v>
      </c>
      <c r="S242" s="2" t="s">
        <v>38</v>
      </c>
      <c r="T242" s="2" t="s">
        <v>39</v>
      </c>
      <c r="U242" s="2" t="s">
        <v>38</v>
      </c>
      <c r="V242" s="2" t="s">
        <v>39</v>
      </c>
      <c r="W242" s="2" t="s">
        <v>38</v>
      </c>
      <c r="X242" s="2" t="s">
        <v>39</v>
      </c>
      <c r="Y242" s="2" t="s">
        <v>38</v>
      </c>
      <c r="Z242" s="2" t="s">
        <v>38</v>
      </c>
      <c r="AA242" s="2" t="s">
        <v>38</v>
      </c>
      <c r="AB242" s="2" t="s">
        <v>38</v>
      </c>
      <c r="AC242" s="2" t="s">
        <v>38</v>
      </c>
      <c r="AD242" s="2" t="s">
        <v>38</v>
      </c>
      <c r="AE242" s="2" t="s">
        <v>38</v>
      </c>
    </row>
    <row r="243" spans="1:31" ht="409.5">
      <c r="A243" s="2">
        <v>2737653</v>
      </c>
      <c r="B243" s="2">
        <f>HYPERLINK("https://platform.v2.vetology.net/cases/2737653/screening-report/18?type=pdf&amp;v=v6&amp;scorecard=1&amp;secret_key=BX%25IJ%24%2F65ieZ%29f6", 2737653)</f>
        <v>2737653</v>
      </c>
      <c r="C243" s="2">
        <f>HYPERLINK("https://platform.v2.vetology.net/report/v/final/"&amp;2737653, 2737653)</f>
        <v>2737653</v>
      </c>
      <c r="D243" s="2" t="s">
        <v>883</v>
      </c>
      <c r="E243" s="2" t="s">
        <v>884</v>
      </c>
      <c r="F243" s="2" t="s">
        <v>885</v>
      </c>
      <c r="G243" s="2" t="s">
        <v>63</v>
      </c>
      <c r="H243" s="2" t="s">
        <v>71</v>
      </c>
      <c r="I243" s="2" t="s">
        <v>44</v>
      </c>
      <c r="J243" s="2" t="s">
        <v>106</v>
      </c>
      <c r="K243" s="2" t="s">
        <v>38</v>
      </c>
      <c r="L243" s="2" t="s">
        <v>39</v>
      </c>
      <c r="M243" s="2" t="s">
        <v>38</v>
      </c>
      <c r="N243" s="2" t="s">
        <v>38</v>
      </c>
      <c r="O243" s="2" t="s">
        <v>38</v>
      </c>
      <c r="P243" s="2" t="s">
        <v>38</v>
      </c>
      <c r="Q243" s="2" t="s">
        <v>38</v>
      </c>
      <c r="R243" s="2" t="s">
        <v>38</v>
      </c>
      <c r="S243" s="2" t="s">
        <v>38</v>
      </c>
      <c r="T243" s="2" t="s">
        <v>38</v>
      </c>
      <c r="U243" s="2" t="s">
        <v>38</v>
      </c>
      <c r="V243" s="2" t="s">
        <v>38</v>
      </c>
      <c r="W243" s="2" t="s">
        <v>38</v>
      </c>
      <c r="X243" s="2" t="s">
        <v>38</v>
      </c>
      <c r="Y243" s="2" t="s">
        <v>38</v>
      </c>
      <c r="Z243" s="2" t="s">
        <v>38</v>
      </c>
      <c r="AA243" s="2" t="s">
        <v>38</v>
      </c>
      <c r="AB243" s="2" t="s">
        <v>39</v>
      </c>
      <c r="AC243" s="2" t="s">
        <v>38</v>
      </c>
      <c r="AD243" s="2" t="s">
        <v>38</v>
      </c>
      <c r="AE243" s="2" t="s">
        <v>38</v>
      </c>
    </row>
    <row r="244" spans="1:31" ht="409.5">
      <c r="A244" s="2">
        <v>2737609</v>
      </c>
      <c r="B244" s="2">
        <f>HYPERLINK("https://platform.v2.vetology.net/cases/2737609/screening-report/18?type=pdf&amp;v=v6&amp;scorecard=1&amp;secret_key=BX%25IJ%24%2F65ieZ%29f6", 2737609)</f>
        <v>2737609</v>
      </c>
      <c r="C244" s="2">
        <f>HYPERLINK("https://platform.v2.vetology.net/report/v/final/"&amp;2737609, 2737609)</f>
        <v>2737609</v>
      </c>
      <c r="D244" s="2" t="s">
        <v>886</v>
      </c>
      <c r="E244" s="2" t="s">
        <v>887</v>
      </c>
      <c r="F244" s="2" t="s">
        <v>888</v>
      </c>
      <c r="G244" s="2" t="s">
        <v>58</v>
      </c>
      <c r="H244" s="2" t="s">
        <v>889</v>
      </c>
      <c r="I244" s="2" t="s">
        <v>49</v>
      </c>
      <c r="J244" s="2" t="s">
        <v>50</v>
      </c>
      <c r="K244" s="2" t="s">
        <v>39</v>
      </c>
      <c r="L244" s="2" t="s">
        <v>39</v>
      </c>
      <c r="M244" s="2" t="s">
        <v>39</v>
      </c>
      <c r="N244" s="2" t="s">
        <v>38</v>
      </c>
      <c r="O244" s="2" t="s">
        <v>39</v>
      </c>
      <c r="P244" s="2" t="s">
        <v>38</v>
      </c>
      <c r="Q244" s="2" t="s">
        <v>38</v>
      </c>
      <c r="R244" s="2" t="s">
        <v>38</v>
      </c>
      <c r="S244" s="2" t="s">
        <v>39</v>
      </c>
      <c r="T244" s="2" t="s">
        <v>39</v>
      </c>
      <c r="U244" s="2" t="s">
        <v>39</v>
      </c>
      <c r="V244" s="2" t="s">
        <v>39</v>
      </c>
      <c r="W244" s="2" t="s">
        <v>38</v>
      </c>
      <c r="X244" s="2" t="s">
        <v>39</v>
      </c>
      <c r="Y244" s="2" t="s">
        <v>38</v>
      </c>
      <c r="Z244" s="2" t="s">
        <v>39</v>
      </c>
      <c r="AA244" s="2" t="s">
        <v>38</v>
      </c>
      <c r="AB244" s="2" t="s">
        <v>38</v>
      </c>
      <c r="AC244" s="2" t="s">
        <v>38</v>
      </c>
      <c r="AD244" s="2" t="s">
        <v>38</v>
      </c>
      <c r="AE244" s="2" t="s">
        <v>38</v>
      </c>
    </row>
    <row r="245" spans="1:31" ht="409.5">
      <c r="A245" s="2">
        <v>2737114</v>
      </c>
      <c r="B245" s="2">
        <f>HYPERLINK("https://platform.v2.vetology.net/cases/2737114/screening-report/18?type=pdf&amp;v=v6&amp;scorecard=1&amp;secret_key=BX%25IJ%24%2F65ieZ%29f6", 2737114)</f>
        <v>2737114</v>
      </c>
      <c r="C245" s="2">
        <f>HYPERLINK("https://platform.v2.vetology.net/report/v/final/"&amp;2737114, 2737114)</f>
        <v>2737114</v>
      </c>
      <c r="D245" s="2" t="s">
        <v>890</v>
      </c>
      <c r="E245" s="2" t="s">
        <v>891</v>
      </c>
      <c r="F245" s="2" t="s">
        <v>687</v>
      </c>
      <c r="G245" s="2" t="s">
        <v>150</v>
      </c>
      <c r="H245" s="2" t="s">
        <v>892</v>
      </c>
      <c r="I245" s="2" t="s">
        <v>207</v>
      </c>
      <c r="J245" s="2" t="s">
        <v>208</v>
      </c>
      <c r="K245" s="2" t="s">
        <v>38</v>
      </c>
      <c r="L245" s="2" t="s">
        <v>39</v>
      </c>
      <c r="M245" s="2" t="s">
        <v>38</v>
      </c>
      <c r="N245" s="2" t="s">
        <v>38</v>
      </c>
      <c r="O245" s="2" t="s">
        <v>38</v>
      </c>
      <c r="P245" s="2" t="s">
        <v>38</v>
      </c>
      <c r="Q245" s="2" t="s">
        <v>38</v>
      </c>
      <c r="R245" s="2" t="s">
        <v>38</v>
      </c>
      <c r="S245" s="2" t="s">
        <v>38</v>
      </c>
      <c r="T245" s="2" t="s">
        <v>38</v>
      </c>
      <c r="U245" s="2" t="s">
        <v>38</v>
      </c>
      <c r="V245" s="2" t="s">
        <v>38</v>
      </c>
      <c r="W245" s="2" t="s">
        <v>38</v>
      </c>
      <c r="X245" s="2" t="s">
        <v>38</v>
      </c>
      <c r="Y245" s="2" t="s">
        <v>38</v>
      </c>
      <c r="Z245" s="2" t="s">
        <v>38</v>
      </c>
      <c r="AA245" s="2" t="s">
        <v>38</v>
      </c>
      <c r="AB245" s="2" t="s">
        <v>38</v>
      </c>
      <c r="AC245" s="2" t="s">
        <v>38</v>
      </c>
      <c r="AD245" s="2" t="s">
        <v>38</v>
      </c>
      <c r="AE245" s="2" t="s">
        <v>38</v>
      </c>
    </row>
    <row r="246" spans="1:31" ht="409.5">
      <c r="A246" s="2">
        <v>2737075</v>
      </c>
      <c r="B246" s="2">
        <f>HYPERLINK("https://platform.v2.vetology.net/cases/2737075/screening-report/18?type=pdf&amp;v=v6&amp;scorecard=1&amp;secret_key=BX%25IJ%24%2F65ieZ%29f6", 2737075)</f>
        <v>2737075</v>
      </c>
      <c r="C246" s="2">
        <f>HYPERLINK("https://platform.v2.vetology.net/report/v/final/"&amp;2737075, 2737075)</f>
        <v>2737075</v>
      </c>
      <c r="D246" s="2" t="s">
        <v>893</v>
      </c>
      <c r="E246" s="2" t="s">
        <v>894</v>
      </c>
      <c r="F246" s="2" t="s">
        <v>895</v>
      </c>
      <c r="G246" s="2" t="s">
        <v>150</v>
      </c>
      <c r="H246" s="2" t="s">
        <v>896</v>
      </c>
      <c r="I246" s="2" t="s">
        <v>897</v>
      </c>
      <c r="J246" s="2" t="s">
        <v>898</v>
      </c>
      <c r="K246" s="2" t="s">
        <v>39</v>
      </c>
      <c r="L246" s="2" t="s">
        <v>39</v>
      </c>
      <c r="M246" s="2" t="s">
        <v>39</v>
      </c>
      <c r="N246" s="2" t="s">
        <v>39</v>
      </c>
      <c r="O246" s="2" t="s">
        <v>39</v>
      </c>
      <c r="P246" s="2" t="s">
        <v>39</v>
      </c>
      <c r="Q246" s="2" t="s">
        <v>39</v>
      </c>
      <c r="R246" s="2" t="s">
        <v>39</v>
      </c>
      <c r="S246" s="2" t="s">
        <v>39</v>
      </c>
      <c r="T246" s="2" t="s">
        <v>39</v>
      </c>
      <c r="U246" s="2" t="s">
        <v>39</v>
      </c>
      <c r="V246" s="2" t="s">
        <v>39</v>
      </c>
      <c r="W246" s="2" t="s">
        <v>39</v>
      </c>
      <c r="X246" s="2" t="s">
        <v>39</v>
      </c>
      <c r="Y246" s="2" t="s">
        <v>39</v>
      </c>
      <c r="Z246" s="2" t="s">
        <v>39</v>
      </c>
      <c r="AA246" s="2" t="s">
        <v>39</v>
      </c>
      <c r="AB246" s="2" t="s">
        <v>39</v>
      </c>
      <c r="AC246" s="2" t="s">
        <v>39</v>
      </c>
      <c r="AD246" s="2" t="s">
        <v>39</v>
      </c>
      <c r="AE246" s="2" t="s">
        <v>39</v>
      </c>
    </row>
    <row r="247" spans="1:31" ht="409.5">
      <c r="A247" s="2">
        <v>2737074</v>
      </c>
      <c r="B247" s="2">
        <f>HYPERLINK("https://platform.v2.vetology.net/cases/2737074/screening-report/18?type=pdf&amp;v=v6&amp;scorecard=1&amp;secret_key=BX%25IJ%24%2F65ieZ%29f6", 2737074)</f>
        <v>2737074</v>
      </c>
      <c r="C247" s="2">
        <f>HYPERLINK("https://platform.v2.vetology.net/report/v/final/"&amp;2737074, 2737074)</f>
        <v>2737074</v>
      </c>
      <c r="D247" s="2" t="s">
        <v>899</v>
      </c>
      <c r="E247" s="2" t="s">
        <v>900</v>
      </c>
      <c r="F247" s="2"/>
      <c r="G247" s="2" t="s">
        <v>150</v>
      </c>
      <c r="H247" s="2" t="s">
        <v>901</v>
      </c>
      <c r="I247" s="2" t="s">
        <v>689</v>
      </c>
      <c r="J247" s="2" t="s">
        <v>690</v>
      </c>
      <c r="K247" s="2" t="s">
        <v>38</v>
      </c>
      <c r="L247" s="2" t="s">
        <v>39</v>
      </c>
      <c r="M247" s="2" t="s">
        <v>38</v>
      </c>
      <c r="N247" s="2" t="s">
        <v>38</v>
      </c>
      <c r="O247" s="2" t="s">
        <v>38</v>
      </c>
      <c r="P247" s="2" t="s">
        <v>38</v>
      </c>
      <c r="Q247" s="2" t="s">
        <v>38</v>
      </c>
      <c r="R247" s="2" t="s">
        <v>38</v>
      </c>
      <c r="S247" s="2" t="s">
        <v>38</v>
      </c>
      <c r="T247" s="2" t="s">
        <v>39</v>
      </c>
      <c r="U247" s="2" t="s">
        <v>38</v>
      </c>
      <c r="V247" s="2" t="s">
        <v>39</v>
      </c>
      <c r="W247" s="2" t="s">
        <v>38</v>
      </c>
      <c r="X247" s="2" t="s">
        <v>39</v>
      </c>
      <c r="Y247" s="2" t="s">
        <v>38</v>
      </c>
      <c r="Z247" s="2" t="s">
        <v>39</v>
      </c>
      <c r="AA247" s="2" t="s">
        <v>38</v>
      </c>
      <c r="AB247" s="2" t="s">
        <v>39</v>
      </c>
      <c r="AC247" s="2" t="s">
        <v>38</v>
      </c>
      <c r="AD247" s="2" t="s">
        <v>38</v>
      </c>
      <c r="AE247" s="2" t="s">
        <v>38</v>
      </c>
    </row>
    <row r="248" spans="1:31" ht="409.5">
      <c r="A248" s="2">
        <v>2737050</v>
      </c>
      <c r="B248" s="2">
        <f>HYPERLINK("https://platform.v2.vetology.net/cases/2737050/screening-report/18?type=pdf&amp;v=v6&amp;scorecard=1&amp;secret_key=BX%25IJ%24%2F65ieZ%29f6", 2737050)</f>
        <v>2737050</v>
      </c>
      <c r="C248" s="2">
        <f>HYPERLINK("https://platform.v2.vetology.net/report/v/final/"&amp;2737050, 2737050)</f>
        <v>2737050</v>
      </c>
      <c r="D248" s="2" t="s">
        <v>902</v>
      </c>
      <c r="E248" s="2" t="s">
        <v>903</v>
      </c>
      <c r="F248" s="2" t="s">
        <v>904</v>
      </c>
      <c r="G248" s="2" t="s">
        <v>63</v>
      </c>
      <c r="H248" s="2" t="s">
        <v>54</v>
      </c>
      <c r="I248" s="2" t="s">
        <v>44</v>
      </c>
      <c r="J248" s="2"/>
      <c r="K248" s="2" t="s">
        <v>38</v>
      </c>
      <c r="L248" s="2" t="s">
        <v>38</v>
      </c>
      <c r="M248" s="2" t="s">
        <v>39</v>
      </c>
      <c r="N248" s="2" t="s">
        <v>38</v>
      </c>
      <c r="O248" s="2" t="s">
        <v>38</v>
      </c>
      <c r="P248" s="2" t="s">
        <v>38</v>
      </c>
      <c r="Q248" s="2" t="s">
        <v>38</v>
      </c>
      <c r="R248" s="2" t="s">
        <v>38</v>
      </c>
      <c r="S248" s="2" t="s">
        <v>38</v>
      </c>
      <c r="T248" s="2" t="s">
        <v>39</v>
      </c>
      <c r="U248" s="2" t="s">
        <v>38</v>
      </c>
      <c r="V248" s="2" t="s">
        <v>39</v>
      </c>
      <c r="W248" s="2" t="s">
        <v>38</v>
      </c>
      <c r="X248" s="2" t="s">
        <v>39</v>
      </c>
      <c r="Y248" s="2" t="s">
        <v>38</v>
      </c>
      <c r="Z248" s="2" t="s">
        <v>38</v>
      </c>
      <c r="AA248" s="2" t="s">
        <v>38</v>
      </c>
      <c r="AB248" s="2" t="s">
        <v>38</v>
      </c>
      <c r="AC248" s="2" t="s">
        <v>38</v>
      </c>
      <c r="AD248" s="2" t="s">
        <v>38</v>
      </c>
      <c r="AE248" s="2" t="s">
        <v>38</v>
      </c>
    </row>
    <row r="249" spans="1:31" ht="409.5">
      <c r="A249" s="2">
        <v>2737033</v>
      </c>
      <c r="B249" s="2">
        <f>HYPERLINK("https://platform.v2.vetology.net/cases/2737033/screening-report/18?type=pdf&amp;v=v6&amp;scorecard=1&amp;secret_key=BX%25IJ%24%2F65ieZ%29f6", 2737033)</f>
        <v>2737033</v>
      </c>
      <c r="C249" s="2">
        <f>HYPERLINK("https://platform.v2.vetology.net/report/v/final/"&amp;2737033, 2737033)</f>
        <v>2737033</v>
      </c>
      <c r="D249" s="2" t="s">
        <v>905</v>
      </c>
      <c r="E249" s="2" t="s">
        <v>906</v>
      </c>
      <c r="F249" s="2" t="s">
        <v>455</v>
      </c>
      <c r="G249" s="2" t="s">
        <v>58</v>
      </c>
      <c r="H249" s="2" t="s">
        <v>71</v>
      </c>
      <c r="I249" s="2" t="s">
        <v>44</v>
      </c>
      <c r="J249" s="2"/>
      <c r="K249" s="2" t="s">
        <v>38</v>
      </c>
      <c r="L249" s="2" t="s">
        <v>38</v>
      </c>
      <c r="M249" s="2" t="s">
        <v>38</v>
      </c>
      <c r="N249" s="2" t="s">
        <v>38</v>
      </c>
      <c r="O249" s="2" t="s">
        <v>38</v>
      </c>
      <c r="P249" s="2" t="s">
        <v>38</v>
      </c>
      <c r="Q249" s="2" t="s">
        <v>38</v>
      </c>
      <c r="R249" s="2" t="s">
        <v>38</v>
      </c>
      <c r="S249" s="2" t="s">
        <v>38</v>
      </c>
      <c r="T249" s="2" t="s">
        <v>38</v>
      </c>
      <c r="U249" s="2" t="s">
        <v>38</v>
      </c>
      <c r="V249" s="2" t="s">
        <v>38</v>
      </c>
      <c r="W249" s="2" t="s">
        <v>38</v>
      </c>
      <c r="X249" s="2" t="s">
        <v>38</v>
      </c>
      <c r="Y249" s="2" t="s">
        <v>38</v>
      </c>
      <c r="Z249" s="2" t="s">
        <v>38</v>
      </c>
      <c r="AA249" s="2" t="s">
        <v>38</v>
      </c>
      <c r="AB249" s="2" t="s">
        <v>38</v>
      </c>
      <c r="AC249" s="2" t="s">
        <v>38</v>
      </c>
      <c r="AD249" s="2" t="s">
        <v>38</v>
      </c>
      <c r="AE249" s="2" t="s">
        <v>38</v>
      </c>
    </row>
    <row r="250" spans="1:31" ht="409.5">
      <c r="A250" s="2">
        <v>2736686</v>
      </c>
      <c r="B250" s="2">
        <f>HYPERLINK("https://platform.v2.vetology.net/cases/2736686/screening-report/18?type=pdf&amp;v=v6&amp;scorecard=1&amp;secret_key=BX%25IJ%24%2F65ieZ%29f6", 2736686)</f>
        <v>2736686</v>
      </c>
      <c r="C250" s="2">
        <f>HYPERLINK("https://platform.v2.vetology.net/report/v/final/"&amp;2736686, 2736686)</f>
        <v>2736686</v>
      </c>
      <c r="D250" s="2" t="s">
        <v>907</v>
      </c>
      <c r="E250" s="2" t="s">
        <v>908</v>
      </c>
      <c r="F250" s="2" t="s">
        <v>81</v>
      </c>
      <c r="G250" s="2" t="s">
        <v>82</v>
      </c>
      <c r="H250" s="2" t="s">
        <v>909</v>
      </c>
      <c r="I250" s="2" t="s">
        <v>84</v>
      </c>
      <c r="J250" s="2" t="s">
        <v>85</v>
      </c>
      <c r="K250" s="2" t="s">
        <v>38</v>
      </c>
      <c r="L250" s="2" t="s">
        <v>39</v>
      </c>
      <c r="M250" s="2" t="s">
        <v>39</v>
      </c>
      <c r="N250" s="2" t="s">
        <v>38</v>
      </c>
      <c r="O250" s="2" t="s">
        <v>38</v>
      </c>
      <c r="P250" s="2" t="s">
        <v>38</v>
      </c>
      <c r="Q250" s="2" t="s">
        <v>38</v>
      </c>
      <c r="R250" s="2" t="s">
        <v>38</v>
      </c>
      <c r="S250" s="2" t="s">
        <v>38</v>
      </c>
      <c r="T250" s="2" t="s">
        <v>39</v>
      </c>
      <c r="U250" s="2" t="s">
        <v>38</v>
      </c>
      <c r="V250" s="2" t="s">
        <v>38</v>
      </c>
      <c r="W250" s="2" t="s">
        <v>38</v>
      </c>
      <c r="X250" s="2" t="s">
        <v>39</v>
      </c>
      <c r="Y250" s="2" t="s">
        <v>38</v>
      </c>
      <c r="Z250" s="2" t="s">
        <v>38</v>
      </c>
      <c r="AA250" s="2" t="s">
        <v>38</v>
      </c>
      <c r="AB250" s="2" t="s">
        <v>39</v>
      </c>
      <c r="AC250" s="2" t="s">
        <v>39</v>
      </c>
      <c r="AD250" s="2" t="s">
        <v>38</v>
      </c>
      <c r="AE250" s="2" t="s">
        <v>38</v>
      </c>
    </row>
    <row r="251" spans="1:31" ht="409.5">
      <c r="A251" s="2">
        <v>2736685</v>
      </c>
      <c r="B251" s="2">
        <f>HYPERLINK("https://platform.v2.vetology.net/cases/2736685/screening-report/18?type=pdf&amp;v=v6&amp;scorecard=1&amp;secret_key=BX%25IJ%24%2F65ieZ%29f6", 2736685)</f>
        <v>2736685</v>
      </c>
      <c r="C251" s="2">
        <f>HYPERLINK("https://platform.v2.vetology.net/report/v/final/"&amp;2736685, 2736685)</f>
        <v>2736685</v>
      </c>
      <c r="D251" s="2" t="s">
        <v>910</v>
      </c>
      <c r="E251" s="2" t="s">
        <v>911</v>
      </c>
      <c r="F251" s="2"/>
      <c r="G251" s="2" t="s">
        <v>150</v>
      </c>
      <c r="H251" s="2" t="s">
        <v>54</v>
      </c>
      <c r="I251" s="2" t="s">
        <v>44</v>
      </c>
      <c r="J251" s="2"/>
      <c r="K251" s="2" t="s">
        <v>38</v>
      </c>
      <c r="L251" s="2" t="s">
        <v>38</v>
      </c>
      <c r="M251" s="2" t="s">
        <v>38</v>
      </c>
      <c r="N251" s="2" t="s">
        <v>38</v>
      </c>
      <c r="O251" s="2" t="s">
        <v>38</v>
      </c>
      <c r="P251" s="2" t="s">
        <v>38</v>
      </c>
      <c r="Q251" s="2" t="s">
        <v>38</v>
      </c>
      <c r="R251" s="2" t="s">
        <v>38</v>
      </c>
      <c r="S251" s="2" t="s">
        <v>38</v>
      </c>
      <c r="T251" s="2" t="s">
        <v>38</v>
      </c>
      <c r="U251" s="2" t="s">
        <v>38</v>
      </c>
      <c r="V251" s="2" t="s">
        <v>38</v>
      </c>
      <c r="W251" s="2" t="s">
        <v>38</v>
      </c>
      <c r="X251" s="2" t="s">
        <v>38</v>
      </c>
      <c r="Y251" s="2" t="s">
        <v>38</v>
      </c>
      <c r="Z251" s="2" t="s">
        <v>38</v>
      </c>
      <c r="AA251" s="2" t="s">
        <v>38</v>
      </c>
      <c r="AB251" s="2" t="s">
        <v>38</v>
      </c>
      <c r="AC251" s="2" t="s">
        <v>38</v>
      </c>
      <c r="AD251" s="2" t="s">
        <v>38</v>
      </c>
      <c r="AE251" s="2" t="s">
        <v>38</v>
      </c>
    </row>
    <row r="252" spans="1:31" ht="409.5">
      <c r="A252" s="2">
        <v>2736673</v>
      </c>
      <c r="B252" s="2">
        <f>HYPERLINK("https://platform.v2.vetology.net/cases/2736673/screening-report/18?type=pdf&amp;v=v6&amp;scorecard=1&amp;secret_key=BX%25IJ%24%2F65ieZ%29f6", 2736673)</f>
        <v>2736673</v>
      </c>
      <c r="C252" s="2">
        <f>HYPERLINK("https://platform.v2.vetology.net/report/v/final/"&amp;2736673, 2736673)</f>
        <v>2736673</v>
      </c>
      <c r="D252" s="2" t="s">
        <v>912</v>
      </c>
      <c r="E252" s="2" t="s">
        <v>913</v>
      </c>
      <c r="F252" s="2" t="s">
        <v>81</v>
      </c>
      <c r="G252" s="2" t="s">
        <v>82</v>
      </c>
      <c r="H252" s="2" t="s">
        <v>54</v>
      </c>
      <c r="I252" s="2" t="s">
        <v>44</v>
      </c>
      <c r="J252" s="2"/>
      <c r="K252" s="2" t="s">
        <v>38</v>
      </c>
      <c r="L252" s="2" t="s">
        <v>38</v>
      </c>
      <c r="M252" s="2" t="s">
        <v>39</v>
      </c>
      <c r="N252" s="2" t="s">
        <v>38</v>
      </c>
      <c r="O252" s="2" t="s">
        <v>38</v>
      </c>
      <c r="P252" s="2" t="s">
        <v>38</v>
      </c>
      <c r="Q252" s="2" t="s">
        <v>38</v>
      </c>
      <c r="R252" s="2" t="s">
        <v>38</v>
      </c>
      <c r="S252" s="2" t="s">
        <v>38</v>
      </c>
      <c r="T252" s="2" t="s">
        <v>39</v>
      </c>
      <c r="U252" s="2" t="s">
        <v>38</v>
      </c>
      <c r="V252" s="2" t="s">
        <v>38</v>
      </c>
      <c r="W252" s="2" t="s">
        <v>38</v>
      </c>
      <c r="X252" s="2" t="s">
        <v>38</v>
      </c>
      <c r="Y252" s="2" t="s">
        <v>38</v>
      </c>
      <c r="Z252" s="2" t="s">
        <v>38</v>
      </c>
      <c r="AA252" s="2" t="s">
        <v>38</v>
      </c>
      <c r="AB252" s="2" t="s">
        <v>39</v>
      </c>
      <c r="AC252" s="2" t="s">
        <v>38</v>
      </c>
      <c r="AD252" s="2" t="s">
        <v>38</v>
      </c>
      <c r="AE252" s="2" t="s">
        <v>38</v>
      </c>
    </row>
    <row r="253" spans="1:31" ht="409.5">
      <c r="A253" s="2">
        <v>2736496</v>
      </c>
      <c r="B253" s="2">
        <f>HYPERLINK("https://platform.v2.vetology.net/cases/2736496/screening-report/18?type=pdf&amp;v=v6&amp;scorecard=1&amp;secret_key=BX%25IJ%24%2F65ieZ%29f6", 2736496)</f>
        <v>2736496</v>
      </c>
      <c r="C253" s="2">
        <f>HYPERLINK("https://platform.v2.vetology.net/report/v/final/"&amp;2736496, 2736496)</f>
        <v>2736496</v>
      </c>
      <c r="D253" s="2" t="s">
        <v>914</v>
      </c>
      <c r="E253" s="2" t="s">
        <v>915</v>
      </c>
      <c r="F253" s="2" t="s">
        <v>149</v>
      </c>
      <c r="G253" s="2" t="s">
        <v>150</v>
      </c>
      <c r="H253" s="2" t="s">
        <v>916</v>
      </c>
      <c r="I253" s="2" t="s">
        <v>89</v>
      </c>
      <c r="J253" s="2" t="s">
        <v>66</v>
      </c>
      <c r="K253" s="2" t="s">
        <v>38</v>
      </c>
      <c r="L253" s="2" t="s">
        <v>38</v>
      </c>
      <c r="M253" s="2" t="s">
        <v>39</v>
      </c>
      <c r="N253" s="2" t="s">
        <v>38</v>
      </c>
      <c r="O253" s="2" t="s">
        <v>38</v>
      </c>
      <c r="P253" s="2" t="s">
        <v>38</v>
      </c>
      <c r="Q253" s="2" t="s">
        <v>38</v>
      </c>
      <c r="R253" s="2" t="s">
        <v>38</v>
      </c>
      <c r="S253" s="2" t="s">
        <v>38</v>
      </c>
      <c r="T253" s="2" t="s">
        <v>39</v>
      </c>
      <c r="U253" s="2" t="s">
        <v>38</v>
      </c>
      <c r="V253" s="2" t="s">
        <v>38</v>
      </c>
      <c r="W253" s="2" t="s">
        <v>38</v>
      </c>
      <c r="X253" s="2" t="s">
        <v>39</v>
      </c>
      <c r="Y253" s="2" t="s">
        <v>38</v>
      </c>
      <c r="Z253" s="2" t="s">
        <v>38</v>
      </c>
      <c r="AA253" s="2" t="s">
        <v>38</v>
      </c>
      <c r="AB253" s="2" t="s">
        <v>38</v>
      </c>
      <c r="AC253" s="2" t="s">
        <v>39</v>
      </c>
      <c r="AD253" s="2" t="s">
        <v>38</v>
      </c>
      <c r="AE253" s="2" t="s">
        <v>39</v>
      </c>
    </row>
    <row r="254" spans="1:31" ht="409.5">
      <c r="A254" s="2">
        <v>2736458</v>
      </c>
      <c r="B254" s="2">
        <f>HYPERLINK("https://platform.v2.vetology.net/cases/2736458/screening-report/18?type=pdf&amp;v=v6&amp;scorecard=1&amp;secret_key=BX%25IJ%24%2F65ieZ%29f6", 2736458)</f>
        <v>2736458</v>
      </c>
      <c r="C254" s="2">
        <f>HYPERLINK("https://platform.v2.vetology.net/report/v/final/"&amp;2736458, 2736458)</f>
        <v>2736458</v>
      </c>
      <c r="D254" s="2" t="s">
        <v>917</v>
      </c>
      <c r="E254" s="2" t="s">
        <v>918</v>
      </c>
      <c r="F254" s="2" t="s">
        <v>919</v>
      </c>
      <c r="G254" s="2" t="s">
        <v>58</v>
      </c>
      <c r="H254" s="2" t="s">
        <v>283</v>
      </c>
      <c r="I254" s="2" t="s">
        <v>284</v>
      </c>
      <c r="J254" s="2" t="s">
        <v>285</v>
      </c>
      <c r="K254" s="2" t="s">
        <v>38</v>
      </c>
      <c r="L254" s="2" t="s">
        <v>38</v>
      </c>
      <c r="M254" s="2" t="s">
        <v>38</v>
      </c>
      <c r="N254" s="2" t="s">
        <v>38</v>
      </c>
      <c r="O254" s="2" t="s">
        <v>38</v>
      </c>
      <c r="P254" s="2" t="s">
        <v>38</v>
      </c>
      <c r="Q254" s="2" t="s">
        <v>38</v>
      </c>
      <c r="R254" s="2" t="s">
        <v>38</v>
      </c>
      <c r="S254" s="2" t="s">
        <v>38</v>
      </c>
      <c r="T254" s="2" t="s">
        <v>38</v>
      </c>
      <c r="U254" s="2" t="s">
        <v>38</v>
      </c>
      <c r="V254" s="2" t="s">
        <v>38</v>
      </c>
      <c r="W254" s="2" t="s">
        <v>38</v>
      </c>
      <c r="X254" s="2" t="s">
        <v>39</v>
      </c>
      <c r="Y254" s="2" t="s">
        <v>38</v>
      </c>
      <c r="Z254" s="2" t="s">
        <v>38</v>
      </c>
      <c r="AA254" s="2" t="s">
        <v>38</v>
      </c>
      <c r="AB254" s="2" t="s">
        <v>38</v>
      </c>
      <c r="AC254" s="2" t="s">
        <v>38</v>
      </c>
      <c r="AD254" s="2" t="s">
        <v>38</v>
      </c>
      <c r="AE254" s="2" t="s">
        <v>39</v>
      </c>
    </row>
    <row r="255" spans="1:31" ht="409.5">
      <c r="A255" s="2">
        <v>2736457</v>
      </c>
      <c r="B255" s="2">
        <f>HYPERLINK("https://platform.v2.vetology.net/cases/2736457/screening-report/18?type=pdf&amp;v=v6&amp;scorecard=1&amp;secret_key=BX%25IJ%24%2F65ieZ%29f6", 2736457)</f>
        <v>2736457</v>
      </c>
      <c r="C255" s="2">
        <f>HYPERLINK("https://platform.v2.vetology.net/report/v/final/"&amp;2736457, 2736457)</f>
        <v>2736457</v>
      </c>
      <c r="D255" s="2" t="s">
        <v>920</v>
      </c>
      <c r="E255" s="2" t="s">
        <v>921</v>
      </c>
      <c r="F255" s="2" t="s">
        <v>922</v>
      </c>
      <c r="G255" s="2" t="s">
        <v>58</v>
      </c>
      <c r="H255" s="2" t="s">
        <v>54</v>
      </c>
      <c r="I255" s="2" t="s">
        <v>44</v>
      </c>
      <c r="J255" s="2"/>
      <c r="K255" s="2" t="s">
        <v>38</v>
      </c>
      <c r="L255" s="2" t="s">
        <v>38</v>
      </c>
      <c r="M255" s="2" t="s">
        <v>38</v>
      </c>
      <c r="N255" s="2" t="s">
        <v>38</v>
      </c>
      <c r="O255" s="2" t="s">
        <v>38</v>
      </c>
      <c r="P255" s="2" t="s">
        <v>38</v>
      </c>
      <c r="Q255" s="2" t="s">
        <v>38</v>
      </c>
      <c r="R255" s="2" t="s">
        <v>38</v>
      </c>
      <c r="S255" s="2" t="s">
        <v>38</v>
      </c>
      <c r="T255" s="2" t="s">
        <v>39</v>
      </c>
      <c r="U255" s="2" t="s">
        <v>38</v>
      </c>
      <c r="V255" s="2" t="s">
        <v>38</v>
      </c>
      <c r="W255" s="2" t="s">
        <v>38</v>
      </c>
      <c r="X255" s="2" t="s">
        <v>38</v>
      </c>
      <c r="Y255" s="2" t="s">
        <v>38</v>
      </c>
      <c r="Z255" s="2" t="s">
        <v>38</v>
      </c>
      <c r="AA255" s="2" t="s">
        <v>38</v>
      </c>
      <c r="AB255" s="2" t="s">
        <v>38</v>
      </c>
      <c r="AC255" s="2" t="s">
        <v>38</v>
      </c>
      <c r="AD255" s="2" t="s">
        <v>38</v>
      </c>
      <c r="AE255" s="2" t="s">
        <v>38</v>
      </c>
    </row>
    <row r="256" spans="1:31" ht="409.5">
      <c r="A256" s="2">
        <v>2736421</v>
      </c>
      <c r="B256" s="2">
        <f>HYPERLINK("https://platform.v2.vetology.net/cases/2736421/screening-report/18?type=pdf&amp;v=v6&amp;scorecard=1&amp;secret_key=BX%25IJ%24%2F65ieZ%29f6", 2736421)</f>
        <v>2736421</v>
      </c>
      <c r="C256" s="2">
        <f>HYPERLINK("https://platform.v2.vetology.net/report/v/final/"&amp;2736421, 2736421)</f>
        <v>2736421</v>
      </c>
      <c r="D256" s="2" t="s">
        <v>923</v>
      </c>
      <c r="E256" s="2" t="s">
        <v>924</v>
      </c>
      <c r="F256" s="2" t="s">
        <v>925</v>
      </c>
      <c r="G256" s="2" t="s">
        <v>34</v>
      </c>
      <c r="H256" s="2" t="s">
        <v>607</v>
      </c>
      <c r="I256" s="2" t="s">
        <v>137</v>
      </c>
      <c r="J256" s="2" t="s">
        <v>66</v>
      </c>
      <c r="K256" s="2" t="s">
        <v>38</v>
      </c>
      <c r="L256" s="2" t="s">
        <v>39</v>
      </c>
      <c r="M256" s="2" t="s">
        <v>39</v>
      </c>
      <c r="N256" s="2" t="s">
        <v>38</v>
      </c>
      <c r="O256" s="2" t="s">
        <v>38</v>
      </c>
      <c r="P256" s="2" t="s">
        <v>38</v>
      </c>
      <c r="Q256" s="2" t="s">
        <v>38</v>
      </c>
      <c r="R256" s="2" t="s">
        <v>38</v>
      </c>
      <c r="S256" s="2" t="s">
        <v>38</v>
      </c>
      <c r="T256" s="2" t="s">
        <v>38</v>
      </c>
      <c r="U256" s="2" t="s">
        <v>38</v>
      </c>
      <c r="V256" s="2" t="s">
        <v>38</v>
      </c>
      <c r="W256" s="2" t="s">
        <v>38</v>
      </c>
      <c r="X256" s="2" t="s">
        <v>38</v>
      </c>
      <c r="Y256" s="2" t="s">
        <v>38</v>
      </c>
      <c r="Z256" s="2" t="s">
        <v>38</v>
      </c>
      <c r="AA256" s="2" t="s">
        <v>38</v>
      </c>
      <c r="AB256" s="2" t="s">
        <v>38</v>
      </c>
      <c r="AC256" s="2" t="s">
        <v>38</v>
      </c>
      <c r="AD256" s="2" t="s">
        <v>38</v>
      </c>
      <c r="AE256" s="2" t="s">
        <v>38</v>
      </c>
    </row>
    <row r="257" spans="1:31" ht="409.5">
      <c r="A257" s="2">
        <v>2736221</v>
      </c>
      <c r="B257" s="2">
        <f>HYPERLINK("https://platform.v2.vetology.net/cases/2736221/screening-report/18?type=pdf&amp;v=v6&amp;scorecard=1&amp;secret_key=BX%25IJ%24%2F65ieZ%29f6", 2736221)</f>
        <v>2736221</v>
      </c>
      <c r="C257" s="2">
        <f>HYPERLINK("https://platform.v2.vetology.net/report/v/final/"&amp;2736221, 2736221)</f>
        <v>2736221</v>
      </c>
      <c r="D257" s="2" t="s">
        <v>926</v>
      </c>
      <c r="E257" s="2" t="s">
        <v>927</v>
      </c>
      <c r="F257" s="2" t="s">
        <v>81</v>
      </c>
      <c r="G257" s="2" t="s">
        <v>82</v>
      </c>
      <c r="H257" s="2" t="s">
        <v>928</v>
      </c>
      <c r="I257" s="2" t="s">
        <v>137</v>
      </c>
      <c r="J257" s="2" t="s">
        <v>66</v>
      </c>
      <c r="K257" s="2" t="s">
        <v>38</v>
      </c>
      <c r="L257" s="2" t="s">
        <v>38</v>
      </c>
      <c r="M257" s="2" t="s">
        <v>39</v>
      </c>
      <c r="N257" s="2" t="s">
        <v>39</v>
      </c>
      <c r="O257" s="2" t="s">
        <v>38</v>
      </c>
      <c r="P257" s="2" t="s">
        <v>38</v>
      </c>
      <c r="Q257" s="2" t="s">
        <v>39</v>
      </c>
      <c r="R257" s="2" t="s">
        <v>38</v>
      </c>
      <c r="S257" s="2" t="s">
        <v>38</v>
      </c>
      <c r="T257" s="2" t="s">
        <v>38</v>
      </c>
      <c r="U257" s="2" t="s">
        <v>38</v>
      </c>
      <c r="V257" s="2" t="s">
        <v>38</v>
      </c>
      <c r="W257" s="2" t="s">
        <v>38</v>
      </c>
      <c r="X257" s="2" t="s">
        <v>38</v>
      </c>
      <c r="Y257" s="2" t="s">
        <v>38</v>
      </c>
      <c r="Z257" s="2" t="s">
        <v>38</v>
      </c>
      <c r="AA257" s="2" t="s">
        <v>38</v>
      </c>
      <c r="AB257" s="2" t="s">
        <v>39</v>
      </c>
      <c r="AC257" s="2" t="s">
        <v>39</v>
      </c>
      <c r="AD257" s="2" t="s">
        <v>38</v>
      </c>
      <c r="AE257" s="2" t="s">
        <v>39</v>
      </c>
    </row>
    <row r="258" spans="1:31" ht="409.5">
      <c r="A258" s="2">
        <v>2736171</v>
      </c>
      <c r="B258" s="2">
        <f>HYPERLINK("https://platform.v2.vetology.net/cases/2736171/screening-report/18?type=pdf&amp;v=v6&amp;scorecard=1&amp;secret_key=BX%25IJ%24%2F65ieZ%29f6", 2736171)</f>
        <v>2736171</v>
      </c>
      <c r="C258" s="2">
        <f>HYPERLINK("https://platform.v2.vetology.net/report/v/final/"&amp;2736171, 2736171)</f>
        <v>2736171</v>
      </c>
      <c r="D258" s="2" t="s">
        <v>929</v>
      </c>
      <c r="E258" s="2" t="s">
        <v>930</v>
      </c>
      <c r="F258" s="2" t="s">
        <v>81</v>
      </c>
      <c r="G258" s="2" t="s">
        <v>82</v>
      </c>
      <c r="H258" s="2" t="s">
        <v>931</v>
      </c>
      <c r="I258" s="2" t="s">
        <v>111</v>
      </c>
      <c r="J258" s="2" t="s">
        <v>112</v>
      </c>
      <c r="K258" s="2" t="s">
        <v>39</v>
      </c>
      <c r="L258" s="2" t="s">
        <v>39</v>
      </c>
      <c r="M258" s="2" t="s">
        <v>39</v>
      </c>
      <c r="N258" s="2" t="s">
        <v>39</v>
      </c>
      <c r="O258" s="2" t="s">
        <v>39</v>
      </c>
      <c r="P258" s="2" t="s">
        <v>39</v>
      </c>
      <c r="Q258" s="2" t="s">
        <v>39</v>
      </c>
      <c r="R258" s="2" t="s">
        <v>39</v>
      </c>
      <c r="S258" s="2" t="s">
        <v>39</v>
      </c>
      <c r="T258" s="2" t="s">
        <v>39</v>
      </c>
      <c r="U258" s="2" t="s">
        <v>39</v>
      </c>
      <c r="V258" s="2" t="s">
        <v>39</v>
      </c>
      <c r="W258" s="2" t="s">
        <v>39</v>
      </c>
      <c r="X258" s="2" t="s">
        <v>39</v>
      </c>
      <c r="Y258" s="2" t="s">
        <v>39</v>
      </c>
      <c r="Z258" s="2" t="s">
        <v>39</v>
      </c>
      <c r="AA258" s="2" t="s">
        <v>39</v>
      </c>
      <c r="AB258" s="2" t="s">
        <v>39</v>
      </c>
      <c r="AC258" s="2" t="s">
        <v>39</v>
      </c>
      <c r="AD258" s="2" t="s">
        <v>39</v>
      </c>
      <c r="AE258" s="2" t="s">
        <v>39</v>
      </c>
    </row>
    <row r="259" spans="1:31" ht="409.5">
      <c r="A259" s="2">
        <v>2736138</v>
      </c>
      <c r="B259" s="2">
        <f>HYPERLINK("https://platform.v2.vetology.net/cases/2736138/screening-report/18?type=pdf&amp;v=v6&amp;scorecard=1&amp;secret_key=BX%25IJ%24%2F65ieZ%29f6", 2736138)</f>
        <v>2736138</v>
      </c>
      <c r="C259" s="2">
        <f>HYPERLINK("https://platform.v2.vetology.net/report/v/final/"&amp;2736138, 2736138)</f>
        <v>2736138</v>
      </c>
      <c r="D259" s="2" t="s">
        <v>932</v>
      </c>
      <c r="E259" s="2" t="s">
        <v>933</v>
      </c>
      <c r="F259" s="2" t="s">
        <v>934</v>
      </c>
      <c r="G259" s="2" t="s">
        <v>63</v>
      </c>
      <c r="H259" s="2" t="s">
        <v>406</v>
      </c>
      <c r="I259" s="2" t="s">
        <v>407</v>
      </c>
      <c r="J259" s="2" t="s">
        <v>66</v>
      </c>
      <c r="K259" s="2" t="s">
        <v>38</v>
      </c>
      <c r="L259" s="2" t="s">
        <v>38</v>
      </c>
      <c r="M259" s="2" t="s">
        <v>39</v>
      </c>
      <c r="N259" s="2" t="s">
        <v>39</v>
      </c>
      <c r="O259" s="2" t="s">
        <v>38</v>
      </c>
      <c r="P259" s="2" t="s">
        <v>39</v>
      </c>
      <c r="Q259" s="2" t="s">
        <v>39</v>
      </c>
      <c r="R259" s="2" t="s">
        <v>38</v>
      </c>
      <c r="S259" s="2" t="s">
        <v>38</v>
      </c>
      <c r="T259" s="2" t="s">
        <v>38</v>
      </c>
      <c r="U259" s="2" t="s">
        <v>38</v>
      </c>
      <c r="V259" s="2" t="s">
        <v>38</v>
      </c>
      <c r="W259" s="2" t="s">
        <v>38</v>
      </c>
      <c r="X259" s="2" t="s">
        <v>38</v>
      </c>
      <c r="Y259" s="2" t="s">
        <v>38</v>
      </c>
      <c r="Z259" s="2" t="s">
        <v>38</v>
      </c>
      <c r="AA259" s="2" t="s">
        <v>38</v>
      </c>
      <c r="AB259" s="2" t="s">
        <v>39</v>
      </c>
      <c r="AC259" s="2" t="s">
        <v>39</v>
      </c>
      <c r="AD259" s="2" t="s">
        <v>38</v>
      </c>
      <c r="AE259" s="2" t="s">
        <v>39</v>
      </c>
    </row>
    <row r="260" spans="1:31" ht="409.5">
      <c r="A260" s="2">
        <v>2735957</v>
      </c>
      <c r="B260" s="2">
        <f>HYPERLINK("https://platform.v2.vetology.net/cases/2735957/screening-report/18?type=pdf&amp;v=v6&amp;scorecard=1&amp;secret_key=BX%25IJ%24%2F65ieZ%29f6", 2735957)</f>
        <v>2735957</v>
      </c>
      <c r="C260" s="2">
        <f>HYPERLINK("https://platform.v2.vetology.net/report/v/final/"&amp;2735957, 2735957)</f>
        <v>2735957</v>
      </c>
      <c r="D260" s="2" t="s">
        <v>935</v>
      </c>
      <c r="E260" s="2" t="s">
        <v>936</v>
      </c>
      <c r="F260" s="2" t="s">
        <v>455</v>
      </c>
      <c r="G260" s="2" t="s">
        <v>58</v>
      </c>
      <c r="H260" s="2" t="s">
        <v>937</v>
      </c>
      <c r="I260" s="2" t="s">
        <v>418</v>
      </c>
      <c r="J260" s="2" t="s">
        <v>419</v>
      </c>
      <c r="K260" s="2" t="s">
        <v>38</v>
      </c>
      <c r="L260" s="2" t="s">
        <v>39</v>
      </c>
      <c r="M260" s="2" t="s">
        <v>39</v>
      </c>
      <c r="N260" s="2" t="s">
        <v>38</v>
      </c>
      <c r="O260" s="2" t="s">
        <v>38</v>
      </c>
      <c r="P260" s="2" t="s">
        <v>38</v>
      </c>
      <c r="Q260" s="2" t="s">
        <v>38</v>
      </c>
      <c r="R260" s="2" t="s">
        <v>38</v>
      </c>
      <c r="S260" s="2" t="s">
        <v>39</v>
      </c>
      <c r="T260" s="2" t="s">
        <v>39</v>
      </c>
      <c r="U260" s="2" t="s">
        <v>38</v>
      </c>
      <c r="V260" s="2" t="s">
        <v>38</v>
      </c>
      <c r="W260" s="2" t="s">
        <v>38</v>
      </c>
      <c r="X260" s="2" t="s">
        <v>38</v>
      </c>
      <c r="Y260" s="2" t="s">
        <v>38</v>
      </c>
      <c r="Z260" s="2" t="s">
        <v>39</v>
      </c>
      <c r="AA260" s="2" t="s">
        <v>38</v>
      </c>
      <c r="AB260" s="2" t="s">
        <v>38</v>
      </c>
      <c r="AC260" s="2" t="s">
        <v>39</v>
      </c>
      <c r="AD260" s="2" t="s">
        <v>38</v>
      </c>
      <c r="AE260" s="2" t="s">
        <v>38</v>
      </c>
    </row>
    <row r="261" spans="1:31" ht="409.5">
      <c r="A261" s="2">
        <v>2735823</v>
      </c>
      <c r="B261" s="2">
        <f>HYPERLINK("https://platform.v2.vetology.net/cases/2735823/screening-report/18?type=pdf&amp;v=v6&amp;scorecard=1&amp;secret_key=BX%25IJ%24%2F65ieZ%29f6", 2735823)</f>
        <v>2735823</v>
      </c>
      <c r="C261" s="2">
        <f>HYPERLINK("https://platform.v2.vetology.net/report/v/final/"&amp;2735823, 2735823)</f>
        <v>2735823</v>
      </c>
      <c r="D261" s="2" t="s">
        <v>938</v>
      </c>
      <c r="E261" s="2" t="s">
        <v>939</v>
      </c>
      <c r="F261" s="2" t="s">
        <v>940</v>
      </c>
      <c r="G261" s="2" t="s">
        <v>93</v>
      </c>
      <c r="H261" s="2" t="s">
        <v>54</v>
      </c>
      <c r="I261" s="2" t="s">
        <v>44</v>
      </c>
      <c r="J261" s="2"/>
      <c r="K261" s="2" t="s">
        <v>38</v>
      </c>
      <c r="L261" s="2" t="s">
        <v>39</v>
      </c>
      <c r="M261" s="2" t="s">
        <v>38</v>
      </c>
      <c r="N261" s="2" t="s">
        <v>38</v>
      </c>
      <c r="O261" s="2" t="s">
        <v>38</v>
      </c>
      <c r="P261" s="2" t="s">
        <v>38</v>
      </c>
      <c r="Q261" s="2" t="s">
        <v>38</v>
      </c>
      <c r="R261" s="2" t="s">
        <v>38</v>
      </c>
      <c r="S261" s="2" t="s">
        <v>38</v>
      </c>
      <c r="T261" s="2" t="s">
        <v>39</v>
      </c>
      <c r="U261" s="2" t="s">
        <v>38</v>
      </c>
      <c r="V261" s="2" t="s">
        <v>39</v>
      </c>
      <c r="W261" s="2" t="s">
        <v>38</v>
      </c>
      <c r="X261" s="2" t="s">
        <v>39</v>
      </c>
      <c r="Y261" s="2" t="s">
        <v>38</v>
      </c>
      <c r="Z261" s="2" t="s">
        <v>38</v>
      </c>
      <c r="AA261" s="2" t="s">
        <v>38</v>
      </c>
      <c r="AB261" s="2" t="s">
        <v>38</v>
      </c>
      <c r="AC261" s="2" t="s">
        <v>38</v>
      </c>
      <c r="AD261" s="2" t="s">
        <v>38</v>
      </c>
      <c r="AE261" s="2" t="s">
        <v>38</v>
      </c>
    </row>
    <row r="262" spans="1:31" ht="409.5">
      <c r="A262" s="2">
        <v>2735746</v>
      </c>
      <c r="B262" s="2">
        <f>HYPERLINK("https://platform.v2.vetology.net/cases/2735746/screening-report/18?type=pdf&amp;v=v6&amp;scorecard=1&amp;secret_key=BX%25IJ%24%2F65ieZ%29f6", 2735746)</f>
        <v>2735746</v>
      </c>
      <c r="C262" s="2">
        <f>HYPERLINK("https://platform.v2.vetology.net/report/v/final/"&amp;2735746, 2735746)</f>
        <v>2735746</v>
      </c>
      <c r="D262" s="2" t="s">
        <v>941</v>
      </c>
      <c r="E262" s="2" t="s">
        <v>942</v>
      </c>
      <c r="F262" s="2"/>
      <c r="G262" s="2" t="s">
        <v>141</v>
      </c>
      <c r="H262" s="2" t="s">
        <v>157</v>
      </c>
      <c r="I262" s="2" t="s">
        <v>158</v>
      </c>
      <c r="J262" s="2" t="s">
        <v>50</v>
      </c>
      <c r="K262" s="2" t="s">
        <v>38</v>
      </c>
      <c r="L262" s="2" t="s">
        <v>38</v>
      </c>
      <c r="M262" s="2" t="s">
        <v>39</v>
      </c>
      <c r="N262" s="2" t="s">
        <v>38</v>
      </c>
      <c r="O262" s="2" t="s">
        <v>38</v>
      </c>
      <c r="P262" s="2" t="s">
        <v>38</v>
      </c>
      <c r="Q262" s="2" t="s">
        <v>38</v>
      </c>
      <c r="R262" s="2" t="s">
        <v>38</v>
      </c>
      <c r="S262" s="2" t="s">
        <v>38</v>
      </c>
      <c r="T262" s="2" t="s">
        <v>39</v>
      </c>
      <c r="U262" s="2" t="s">
        <v>38</v>
      </c>
      <c r="V262" s="2" t="s">
        <v>39</v>
      </c>
      <c r="W262" s="2" t="s">
        <v>38</v>
      </c>
      <c r="X262" s="2" t="s">
        <v>39</v>
      </c>
      <c r="Y262" s="2" t="s">
        <v>38</v>
      </c>
      <c r="Z262" s="2" t="s">
        <v>38</v>
      </c>
      <c r="AA262" s="2" t="s">
        <v>38</v>
      </c>
      <c r="AB262" s="2" t="s">
        <v>38</v>
      </c>
      <c r="AC262" s="2" t="s">
        <v>38</v>
      </c>
      <c r="AD262" s="2" t="s">
        <v>38</v>
      </c>
      <c r="AE262" s="2" t="s">
        <v>38</v>
      </c>
    </row>
    <row r="263" spans="1:31" ht="409.5">
      <c r="A263" s="2">
        <v>2735649</v>
      </c>
      <c r="B263" s="2">
        <f>HYPERLINK("https://platform.v2.vetology.net/cases/2735649/screening-report/18?type=pdf&amp;v=v6&amp;scorecard=1&amp;secret_key=BX%25IJ%24%2F65ieZ%29f6", 2735649)</f>
        <v>2735649</v>
      </c>
      <c r="C263" s="2">
        <f>HYPERLINK("https://platform.v2.vetology.net/report/v/final/"&amp;2735649, 2735649)</f>
        <v>2735649</v>
      </c>
      <c r="D263" s="2" t="s">
        <v>943</v>
      </c>
      <c r="E263" s="2" t="s">
        <v>944</v>
      </c>
      <c r="F263" s="2" t="s">
        <v>945</v>
      </c>
      <c r="G263" s="2" t="s">
        <v>58</v>
      </c>
      <c r="H263" s="2" t="s">
        <v>283</v>
      </c>
      <c r="I263" s="2" t="s">
        <v>284</v>
      </c>
      <c r="J263" s="2" t="s">
        <v>285</v>
      </c>
      <c r="K263" s="2" t="s">
        <v>38</v>
      </c>
      <c r="L263" s="2" t="s">
        <v>39</v>
      </c>
      <c r="M263" s="2" t="s">
        <v>38</v>
      </c>
      <c r="N263" s="2" t="s">
        <v>38</v>
      </c>
      <c r="O263" s="2" t="s">
        <v>38</v>
      </c>
      <c r="P263" s="2" t="s">
        <v>38</v>
      </c>
      <c r="Q263" s="2" t="s">
        <v>38</v>
      </c>
      <c r="R263" s="2" t="s">
        <v>38</v>
      </c>
      <c r="S263" s="2" t="s">
        <v>38</v>
      </c>
      <c r="T263" s="2" t="s">
        <v>38</v>
      </c>
      <c r="U263" s="2" t="s">
        <v>38</v>
      </c>
      <c r="V263" s="2" t="s">
        <v>39</v>
      </c>
      <c r="W263" s="2" t="s">
        <v>38</v>
      </c>
      <c r="X263" s="2" t="s">
        <v>39</v>
      </c>
      <c r="Y263" s="2" t="s">
        <v>38</v>
      </c>
      <c r="Z263" s="2" t="s">
        <v>38</v>
      </c>
      <c r="AA263" s="2" t="s">
        <v>38</v>
      </c>
      <c r="AB263" s="2" t="s">
        <v>38</v>
      </c>
      <c r="AC263" s="2" t="s">
        <v>38</v>
      </c>
      <c r="AD263" s="2" t="s">
        <v>38</v>
      </c>
      <c r="AE263" s="2" t="s">
        <v>38</v>
      </c>
    </row>
    <row r="264" spans="1:31" ht="409.5">
      <c r="A264" s="2">
        <v>2735505</v>
      </c>
      <c r="B264" s="2">
        <f>HYPERLINK("https://platform.v2.vetology.net/cases/2735505/screening-report/18?type=pdf&amp;v=v6&amp;scorecard=1&amp;secret_key=BX%25IJ%24%2F65ieZ%29f6", 2735505)</f>
        <v>2735505</v>
      </c>
      <c r="C264" s="2">
        <f>HYPERLINK("https://platform.v2.vetology.net/report/v/final/"&amp;2735505, 2735505)</f>
        <v>2735505</v>
      </c>
      <c r="D264" s="2" t="s">
        <v>946</v>
      </c>
      <c r="E264" s="2" t="s">
        <v>947</v>
      </c>
      <c r="F264" s="2" t="s">
        <v>948</v>
      </c>
      <c r="G264" s="2" t="s">
        <v>58</v>
      </c>
      <c r="H264" s="2" t="s">
        <v>54</v>
      </c>
      <c r="I264" s="2" t="s">
        <v>44</v>
      </c>
      <c r="J264" s="2"/>
      <c r="K264" s="2" t="s">
        <v>38</v>
      </c>
      <c r="L264" s="2" t="s">
        <v>38</v>
      </c>
      <c r="M264" s="2" t="s">
        <v>38</v>
      </c>
      <c r="N264" s="2" t="s">
        <v>38</v>
      </c>
      <c r="O264" s="2" t="s">
        <v>38</v>
      </c>
      <c r="P264" s="2" t="s">
        <v>38</v>
      </c>
      <c r="Q264" s="2" t="s">
        <v>38</v>
      </c>
      <c r="R264" s="2" t="s">
        <v>38</v>
      </c>
      <c r="S264" s="2" t="s">
        <v>38</v>
      </c>
      <c r="T264" s="2" t="s">
        <v>39</v>
      </c>
      <c r="U264" s="2" t="s">
        <v>38</v>
      </c>
      <c r="V264" s="2" t="s">
        <v>38</v>
      </c>
      <c r="W264" s="2" t="s">
        <v>38</v>
      </c>
      <c r="X264" s="2" t="s">
        <v>39</v>
      </c>
      <c r="Y264" s="2" t="s">
        <v>38</v>
      </c>
      <c r="Z264" s="2" t="s">
        <v>38</v>
      </c>
      <c r="AA264" s="2" t="s">
        <v>38</v>
      </c>
      <c r="AB264" s="2" t="s">
        <v>38</v>
      </c>
      <c r="AC264" s="2" t="s">
        <v>38</v>
      </c>
      <c r="AD264" s="2" t="s">
        <v>38</v>
      </c>
      <c r="AE264" s="2" t="s">
        <v>39</v>
      </c>
    </row>
    <row r="265" spans="1:31" ht="409.5">
      <c r="A265" s="2">
        <v>2735461</v>
      </c>
      <c r="B265" s="2">
        <f>HYPERLINK("https://platform.v2.vetology.net/cases/2735461/screening-report/18?type=pdf&amp;v=v6&amp;scorecard=1&amp;secret_key=BX%25IJ%24%2F65ieZ%29f6", 2735461)</f>
        <v>2735461</v>
      </c>
      <c r="C265" s="2">
        <f>HYPERLINK("https://platform.v2.vetology.net/report/v/final/"&amp;2735461, 2735461)</f>
        <v>2735461</v>
      </c>
      <c r="D265" s="2" t="s">
        <v>949</v>
      </c>
      <c r="E265" s="2" t="s">
        <v>950</v>
      </c>
      <c r="F265" s="2" t="s">
        <v>81</v>
      </c>
      <c r="G265" s="2" t="s">
        <v>268</v>
      </c>
      <c r="H265" s="2" t="s">
        <v>951</v>
      </c>
      <c r="I265" s="2" t="s">
        <v>214</v>
      </c>
      <c r="J265" s="2" t="s">
        <v>50</v>
      </c>
      <c r="K265" s="2" t="s">
        <v>38</v>
      </c>
      <c r="L265" s="2" t="s">
        <v>38</v>
      </c>
      <c r="M265" s="2" t="s">
        <v>38</v>
      </c>
      <c r="N265" s="2" t="s">
        <v>38</v>
      </c>
      <c r="O265" s="2" t="s">
        <v>39</v>
      </c>
      <c r="P265" s="2" t="s">
        <v>38</v>
      </c>
      <c r="Q265" s="2" t="s">
        <v>38</v>
      </c>
      <c r="R265" s="2" t="s">
        <v>38</v>
      </c>
      <c r="S265" s="2" t="s">
        <v>38</v>
      </c>
      <c r="T265" s="2" t="s">
        <v>39</v>
      </c>
      <c r="U265" s="2" t="s">
        <v>38</v>
      </c>
      <c r="V265" s="2" t="s">
        <v>39</v>
      </c>
      <c r="W265" s="2" t="s">
        <v>38</v>
      </c>
      <c r="X265" s="2" t="s">
        <v>39</v>
      </c>
      <c r="Y265" s="2" t="s">
        <v>38</v>
      </c>
      <c r="Z265" s="2" t="s">
        <v>38</v>
      </c>
      <c r="AA265" s="2" t="s">
        <v>38</v>
      </c>
      <c r="AB265" s="2" t="s">
        <v>38</v>
      </c>
      <c r="AC265" s="2" t="s">
        <v>38</v>
      </c>
      <c r="AD265" s="2" t="s">
        <v>38</v>
      </c>
      <c r="AE265" s="2" t="s">
        <v>39</v>
      </c>
    </row>
    <row r="266" spans="1:31" ht="409.5">
      <c r="A266" s="2">
        <v>2735291</v>
      </c>
      <c r="B266" s="2">
        <f>HYPERLINK("https://platform.v2.vetology.net/cases/2735291/screening-report/18?type=pdf&amp;v=v6&amp;scorecard=1&amp;secret_key=BX%25IJ%24%2F65ieZ%29f6", 2735291)</f>
        <v>2735291</v>
      </c>
      <c r="C266" s="2">
        <f>HYPERLINK("https://platform.v2.vetology.net/report/v/final/"&amp;2735291, 2735291)</f>
        <v>2735291</v>
      </c>
      <c r="D266" s="2" t="s">
        <v>952</v>
      </c>
      <c r="E266" s="2" t="s">
        <v>953</v>
      </c>
      <c r="F266" s="2" t="s">
        <v>81</v>
      </c>
      <c r="G266" s="2" t="s">
        <v>268</v>
      </c>
      <c r="H266" s="2" t="s">
        <v>283</v>
      </c>
      <c r="I266" s="2" t="s">
        <v>284</v>
      </c>
      <c r="J266" s="2" t="s">
        <v>285</v>
      </c>
      <c r="K266" s="2" t="s">
        <v>38</v>
      </c>
      <c r="L266" s="2" t="s">
        <v>38</v>
      </c>
      <c r="M266" s="2" t="s">
        <v>38</v>
      </c>
      <c r="N266" s="2" t="s">
        <v>38</v>
      </c>
      <c r="O266" s="2" t="s">
        <v>38</v>
      </c>
      <c r="P266" s="2" t="s">
        <v>38</v>
      </c>
      <c r="Q266" s="2" t="s">
        <v>38</v>
      </c>
      <c r="R266" s="2" t="s">
        <v>38</v>
      </c>
      <c r="S266" s="2" t="s">
        <v>38</v>
      </c>
      <c r="T266" s="2" t="s">
        <v>38</v>
      </c>
      <c r="U266" s="2" t="s">
        <v>38</v>
      </c>
      <c r="V266" s="2" t="s">
        <v>38</v>
      </c>
      <c r="W266" s="2" t="s">
        <v>38</v>
      </c>
      <c r="X266" s="2" t="s">
        <v>38</v>
      </c>
      <c r="Y266" s="2" t="s">
        <v>38</v>
      </c>
      <c r="Z266" s="2" t="s">
        <v>38</v>
      </c>
      <c r="AA266" s="2" t="s">
        <v>38</v>
      </c>
      <c r="AB266" s="2" t="s">
        <v>38</v>
      </c>
      <c r="AC266" s="2" t="s">
        <v>38</v>
      </c>
      <c r="AD266" s="2" t="s">
        <v>38</v>
      </c>
      <c r="AE266" s="2" t="s">
        <v>38</v>
      </c>
    </row>
    <row r="267" spans="1:31" ht="409.5">
      <c r="A267" s="2">
        <v>2735249</v>
      </c>
      <c r="B267" s="2">
        <f>HYPERLINK("https://platform.v2.vetology.net/cases/2735249/screening-report/18?type=pdf&amp;v=v6&amp;scorecard=1&amp;secret_key=BX%25IJ%24%2F65ieZ%29f6", 2735249)</f>
        <v>2735249</v>
      </c>
      <c r="C267" s="2">
        <f>HYPERLINK("https://platform.v2.vetology.net/report/v/final/"&amp;2735249, 2735249)</f>
        <v>2735249</v>
      </c>
      <c r="D267" s="2" t="s">
        <v>954</v>
      </c>
      <c r="E267" s="2" t="s">
        <v>955</v>
      </c>
      <c r="F267" s="2" t="s">
        <v>81</v>
      </c>
      <c r="G267" s="2" t="s">
        <v>82</v>
      </c>
      <c r="H267" s="2" t="s">
        <v>956</v>
      </c>
      <c r="I267" s="2" t="s">
        <v>957</v>
      </c>
      <c r="J267" s="2" t="s">
        <v>66</v>
      </c>
      <c r="K267" s="2" t="s">
        <v>38</v>
      </c>
      <c r="L267" s="2" t="s">
        <v>38</v>
      </c>
      <c r="M267" s="2" t="s">
        <v>39</v>
      </c>
      <c r="N267" s="2" t="s">
        <v>38</v>
      </c>
      <c r="O267" s="2" t="s">
        <v>39</v>
      </c>
      <c r="P267" s="2" t="s">
        <v>38</v>
      </c>
      <c r="Q267" s="2" t="s">
        <v>38</v>
      </c>
      <c r="R267" s="2" t="s">
        <v>38</v>
      </c>
      <c r="S267" s="2" t="s">
        <v>38</v>
      </c>
      <c r="T267" s="2" t="s">
        <v>39</v>
      </c>
      <c r="U267" s="2" t="s">
        <v>38</v>
      </c>
      <c r="V267" s="2" t="s">
        <v>39</v>
      </c>
      <c r="W267" s="2" t="s">
        <v>38</v>
      </c>
      <c r="X267" s="2" t="s">
        <v>39</v>
      </c>
      <c r="Y267" s="2" t="s">
        <v>38</v>
      </c>
      <c r="Z267" s="2" t="s">
        <v>39</v>
      </c>
      <c r="AA267" s="2" t="s">
        <v>38</v>
      </c>
      <c r="AB267" s="2" t="s">
        <v>39</v>
      </c>
      <c r="AC267" s="2" t="s">
        <v>38</v>
      </c>
      <c r="AD267" s="2" t="s">
        <v>38</v>
      </c>
      <c r="AE267" s="2" t="s">
        <v>38</v>
      </c>
    </row>
    <row r="268" spans="1:31" ht="409.5">
      <c r="A268" s="2">
        <v>2735187</v>
      </c>
      <c r="B268" s="2">
        <f>HYPERLINK("https://platform.v2.vetology.net/cases/2735187/screening-report/18?type=pdf&amp;v=v6&amp;scorecard=1&amp;secret_key=BX%25IJ%24%2F65ieZ%29f6", 2735187)</f>
        <v>2735187</v>
      </c>
      <c r="C268" s="2">
        <f>HYPERLINK("https://platform.v2.vetology.net/report/v/final/"&amp;2735187, 2735187)</f>
        <v>2735187</v>
      </c>
      <c r="D268" s="2" t="s">
        <v>958</v>
      </c>
      <c r="E268" s="2" t="s">
        <v>959</v>
      </c>
      <c r="F268" s="2" t="s">
        <v>960</v>
      </c>
      <c r="G268" s="2" t="s">
        <v>58</v>
      </c>
      <c r="H268" s="2" t="s">
        <v>54</v>
      </c>
      <c r="I268" s="2" t="s">
        <v>44</v>
      </c>
      <c r="J268" s="2"/>
      <c r="K268" s="2" t="s">
        <v>38</v>
      </c>
      <c r="L268" s="2" t="s">
        <v>39</v>
      </c>
      <c r="M268" s="2" t="s">
        <v>38</v>
      </c>
      <c r="N268" s="2" t="s">
        <v>38</v>
      </c>
      <c r="O268" s="2" t="s">
        <v>38</v>
      </c>
      <c r="P268" s="2" t="s">
        <v>38</v>
      </c>
      <c r="Q268" s="2" t="s">
        <v>38</v>
      </c>
      <c r="R268" s="2" t="s">
        <v>38</v>
      </c>
      <c r="S268" s="2" t="s">
        <v>38</v>
      </c>
      <c r="T268" s="2" t="s">
        <v>38</v>
      </c>
      <c r="U268" s="2" t="s">
        <v>38</v>
      </c>
      <c r="V268" s="2" t="s">
        <v>38</v>
      </c>
      <c r="W268" s="2" t="s">
        <v>38</v>
      </c>
      <c r="X268" s="2" t="s">
        <v>38</v>
      </c>
      <c r="Y268" s="2" t="s">
        <v>38</v>
      </c>
      <c r="Z268" s="2" t="s">
        <v>38</v>
      </c>
      <c r="AA268" s="2" t="s">
        <v>38</v>
      </c>
      <c r="AB268" s="2" t="s">
        <v>38</v>
      </c>
      <c r="AC268" s="2" t="s">
        <v>38</v>
      </c>
      <c r="AD268" s="2" t="s">
        <v>38</v>
      </c>
      <c r="AE268" s="2" t="s">
        <v>38</v>
      </c>
    </row>
    <row r="269" spans="1:31" ht="409.5">
      <c r="A269" s="2">
        <v>2735173</v>
      </c>
      <c r="B269" s="2">
        <f>HYPERLINK("https://platform.v2.vetology.net/cases/2735173/screening-report/18?type=pdf&amp;v=v6&amp;scorecard=1&amp;secret_key=BX%25IJ%24%2F65ieZ%29f6", 2735173)</f>
        <v>2735173</v>
      </c>
      <c r="C269" s="2">
        <f>HYPERLINK("https://platform.v2.vetology.net/report/v/final/"&amp;2735173, 2735173)</f>
        <v>2735173</v>
      </c>
      <c r="D269" s="2" t="s">
        <v>961</v>
      </c>
      <c r="E269" s="2" t="s">
        <v>962</v>
      </c>
      <c r="F269" s="2" t="s">
        <v>81</v>
      </c>
      <c r="G269" s="2" t="s">
        <v>82</v>
      </c>
      <c r="H269" s="2" t="s">
        <v>723</v>
      </c>
      <c r="I269" s="2" t="s">
        <v>44</v>
      </c>
      <c r="J269" s="2"/>
      <c r="K269" s="2" t="s">
        <v>38</v>
      </c>
      <c r="L269" s="2" t="s">
        <v>38</v>
      </c>
      <c r="M269" s="2" t="s">
        <v>38</v>
      </c>
      <c r="N269" s="2" t="s">
        <v>38</v>
      </c>
      <c r="O269" s="2" t="s">
        <v>38</v>
      </c>
      <c r="P269" s="2" t="s">
        <v>38</v>
      </c>
      <c r="Q269" s="2" t="s">
        <v>38</v>
      </c>
      <c r="R269" s="2" t="s">
        <v>38</v>
      </c>
      <c r="S269" s="2" t="s">
        <v>39</v>
      </c>
      <c r="T269" s="2" t="s">
        <v>38</v>
      </c>
      <c r="U269" s="2" t="s">
        <v>38</v>
      </c>
      <c r="V269" s="2" t="s">
        <v>38</v>
      </c>
      <c r="W269" s="2" t="s">
        <v>38</v>
      </c>
      <c r="X269" s="2" t="s">
        <v>38</v>
      </c>
      <c r="Y269" s="2" t="s">
        <v>38</v>
      </c>
      <c r="Z269" s="2" t="s">
        <v>38</v>
      </c>
      <c r="AA269" s="2" t="s">
        <v>38</v>
      </c>
      <c r="AB269" s="2" t="s">
        <v>38</v>
      </c>
      <c r="AC269" s="2" t="s">
        <v>38</v>
      </c>
      <c r="AD269" s="2" t="s">
        <v>38</v>
      </c>
      <c r="AE269" s="2" t="s">
        <v>38</v>
      </c>
    </row>
    <row r="270" spans="1:31" ht="409.5">
      <c r="A270" s="2">
        <v>2735120</v>
      </c>
      <c r="B270" s="2">
        <f>HYPERLINK("https://platform.v2.vetology.net/cases/2735120/screening-report/18?type=pdf&amp;v=v6&amp;scorecard=1&amp;secret_key=BX%25IJ%24%2F65ieZ%29f6", 2735120)</f>
        <v>2735120</v>
      </c>
      <c r="C270" s="2">
        <f>HYPERLINK("https://platform.v2.vetology.net/report/v/final/"&amp;2735120, 2735120)</f>
        <v>2735120</v>
      </c>
      <c r="D270" s="2" t="s">
        <v>963</v>
      </c>
      <c r="E270" s="2" t="s">
        <v>964</v>
      </c>
      <c r="F270" s="2" t="s">
        <v>81</v>
      </c>
      <c r="G270" s="2" t="s">
        <v>82</v>
      </c>
      <c r="H270" s="2" t="s">
        <v>965</v>
      </c>
      <c r="I270" s="2" t="s">
        <v>966</v>
      </c>
      <c r="J270" s="2" t="s">
        <v>66</v>
      </c>
      <c r="K270" s="2" t="s">
        <v>38</v>
      </c>
      <c r="L270" s="2" t="s">
        <v>39</v>
      </c>
      <c r="M270" s="2" t="s">
        <v>39</v>
      </c>
      <c r="N270" s="2" t="s">
        <v>38</v>
      </c>
      <c r="O270" s="2" t="s">
        <v>39</v>
      </c>
      <c r="P270" s="2" t="s">
        <v>39</v>
      </c>
      <c r="Q270" s="2" t="s">
        <v>38</v>
      </c>
      <c r="R270" s="2" t="s">
        <v>38</v>
      </c>
      <c r="S270" s="2" t="s">
        <v>38</v>
      </c>
      <c r="T270" s="2" t="s">
        <v>38</v>
      </c>
      <c r="U270" s="2" t="s">
        <v>38</v>
      </c>
      <c r="V270" s="2" t="s">
        <v>38</v>
      </c>
      <c r="W270" s="2" t="s">
        <v>38</v>
      </c>
      <c r="X270" s="2" t="s">
        <v>38</v>
      </c>
      <c r="Y270" s="2" t="s">
        <v>39</v>
      </c>
      <c r="Z270" s="2" t="s">
        <v>38</v>
      </c>
      <c r="AA270" s="2" t="s">
        <v>38</v>
      </c>
      <c r="AB270" s="2" t="s">
        <v>39</v>
      </c>
      <c r="AC270" s="2" t="s">
        <v>39</v>
      </c>
      <c r="AD270" s="2" t="s">
        <v>38</v>
      </c>
      <c r="AE270" s="2" t="s">
        <v>39</v>
      </c>
    </row>
    <row r="271" spans="1:31" ht="409.5">
      <c r="A271" s="2">
        <v>2734834</v>
      </c>
      <c r="B271" s="2">
        <f>HYPERLINK("https://platform.v2.vetology.net/cases/2734834/screening-report/18?type=pdf&amp;v=v6&amp;scorecard=1&amp;secret_key=BX%25IJ%24%2F65ieZ%29f6", 2734834)</f>
        <v>2734834</v>
      </c>
      <c r="C271" s="2">
        <f>HYPERLINK("https://platform.v2.vetology.net/report/v/final/"&amp;2734834, 2734834)</f>
        <v>2734834</v>
      </c>
      <c r="D271" s="2" t="s">
        <v>967</v>
      </c>
      <c r="E271" s="2" t="s">
        <v>968</v>
      </c>
      <c r="F271" s="2" t="s">
        <v>969</v>
      </c>
      <c r="G271" s="2" t="s">
        <v>93</v>
      </c>
      <c r="H271" s="2" t="s">
        <v>970</v>
      </c>
      <c r="I271" s="2" t="s">
        <v>700</v>
      </c>
      <c r="J271" s="2" t="s">
        <v>701</v>
      </c>
      <c r="K271" s="2" t="s">
        <v>38</v>
      </c>
      <c r="L271" s="2" t="s">
        <v>39</v>
      </c>
      <c r="M271" s="2" t="s">
        <v>38</v>
      </c>
      <c r="N271" s="2" t="s">
        <v>38</v>
      </c>
      <c r="O271" s="2" t="s">
        <v>38</v>
      </c>
      <c r="P271" s="2" t="s">
        <v>39</v>
      </c>
      <c r="Q271" s="2" t="s">
        <v>38</v>
      </c>
      <c r="R271" s="2" t="s">
        <v>38</v>
      </c>
      <c r="S271" s="2" t="s">
        <v>38</v>
      </c>
      <c r="T271" s="2" t="s">
        <v>39</v>
      </c>
      <c r="U271" s="2" t="s">
        <v>39</v>
      </c>
      <c r="V271" s="2" t="s">
        <v>39</v>
      </c>
      <c r="W271" s="2" t="s">
        <v>38</v>
      </c>
      <c r="X271" s="2" t="s">
        <v>39</v>
      </c>
      <c r="Y271" s="2" t="s">
        <v>38</v>
      </c>
      <c r="Z271" s="2" t="s">
        <v>38</v>
      </c>
      <c r="AA271" s="2" t="s">
        <v>38</v>
      </c>
      <c r="AB271" s="2" t="s">
        <v>38</v>
      </c>
      <c r="AC271" s="2" t="s">
        <v>38</v>
      </c>
      <c r="AD271" s="2" t="s">
        <v>38</v>
      </c>
      <c r="AE271" s="2" t="s">
        <v>38</v>
      </c>
    </row>
    <row r="272" spans="1:31" ht="409.5">
      <c r="A272" s="2">
        <v>2734660</v>
      </c>
      <c r="B272" s="2">
        <f>HYPERLINK("https://platform.v2.vetology.net/cases/2734660/screening-report/18?type=pdf&amp;v=v6&amp;scorecard=1&amp;secret_key=BX%25IJ%24%2F65ieZ%29f6", 2734660)</f>
        <v>2734660</v>
      </c>
      <c r="C272" s="2">
        <f>HYPERLINK("https://platform.v2.vetology.net/report/v/final/"&amp;2734660, 2734660)</f>
        <v>2734660</v>
      </c>
      <c r="D272" s="2" t="s">
        <v>971</v>
      </c>
      <c r="E272" s="2" t="s">
        <v>238</v>
      </c>
      <c r="F272" s="2" t="s">
        <v>687</v>
      </c>
      <c r="G272" s="2" t="s">
        <v>150</v>
      </c>
      <c r="H272" s="2" t="s">
        <v>488</v>
      </c>
      <c r="I272" s="2" t="s">
        <v>89</v>
      </c>
      <c r="J272" s="2" t="s">
        <v>66</v>
      </c>
      <c r="K272" s="2" t="s">
        <v>38</v>
      </c>
      <c r="L272" s="2" t="s">
        <v>39</v>
      </c>
      <c r="M272" s="2" t="s">
        <v>39</v>
      </c>
      <c r="N272" s="2" t="s">
        <v>38</v>
      </c>
      <c r="O272" s="2" t="s">
        <v>38</v>
      </c>
      <c r="P272" s="2" t="s">
        <v>38</v>
      </c>
      <c r="Q272" s="2" t="s">
        <v>38</v>
      </c>
      <c r="R272" s="2" t="s">
        <v>38</v>
      </c>
      <c r="S272" s="2" t="s">
        <v>39</v>
      </c>
      <c r="T272" s="2" t="s">
        <v>38</v>
      </c>
      <c r="U272" s="2" t="s">
        <v>38</v>
      </c>
      <c r="V272" s="2" t="s">
        <v>38</v>
      </c>
      <c r="W272" s="2" t="s">
        <v>38</v>
      </c>
      <c r="X272" s="2" t="s">
        <v>38</v>
      </c>
      <c r="Y272" s="2" t="s">
        <v>38</v>
      </c>
      <c r="Z272" s="2" t="s">
        <v>38</v>
      </c>
      <c r="AA272" s="2" t="s">
        <v>38</v>
      </c>
      <c r="AB272" s="2" t="s">
        <v>39</v>
      </c>
      <c r="AC272" s="2" t="s">
        <v>38</v>
      </c>
      <c r="AD272" s="2" t="s">
        <v>38</v>
      </c>
      <c r="AE272" s="2" t="s">
        <v>39</v>
      </c>
    </row>
    <row r="273" spans="1:31" ht="409.5">
      <c r="A273" s="2">
        <v>2734529</v>
      </c>
      <c r="B273" s="2">
        <f>HYPERLINK("https://platform.v2.vetology.net/cases/2734529/screening-report/18?type=pdf&amp;v=v6&amp;scorecard=1&amp;secret_key=BX%25IJ%24%2F65ieZ%29f6", 2734529)</f>
        <v>2734529</v>
      </c>
      <c r="C273" s="2">
        <f>HYPERLINK("https://platform.v2.vetology.net/report/v/final/"&amp;2734529, 2734529)</f>
        <v>2734529</v>
      </c>
      <c r="D273" s="2" t="s">
        <v>972</v>
      </c>
      <c r="E273" s="2" t="s">
        <v>973</v>
      </c>
      <c r="F273" s="2" t="s">
        <v>974</v>
      </c>
      <c r="G273" s="2" t="s">
        <v>63</v>
      </c>
      <c r="H273" s="2" t="s">
        <v>144</v>
      </c>
      <c r="I273" s="2" t="s">
        <v>145</v>
      </c>
      <c r="J273" s="2" t="s">
        <v>146</v>
      </c>
      <c r="K273" s="2" t="s">
        <v>38</v>
      </c>
      <c r="L273" s="2" t="s">
        <v>38</v>
      </c>
      <c r="M273" s="2" t="s">
        <v>39</v>
      </c>
      <c r="N273" s="2" t="s">
        <v>38</v>
      </c>
      <c r="O273" s="2" t="s">
        <v>38</v>
      </c>
      <c r="P273" s="2" t="s">
        <v>39</v>
      </c>
      <c r="Q273" s="2" t="s">
        <v>38</v>
      </c>
      <c r="R273" s="2" t="s">
        <v>38</v>
      </c>
      <c r="S273" s="2" t="s">
        <v>38</v>
      </c>
      <c r="T273" s="2" t="s">
        <v>38</v>
      </c>
      <c r="U273" s="2" t="s">
        <v>38</v>
      </c>
      <c r="V273" s="2" t="s">
        <v>38</v>
      </c>
      <c r="W273" s="2" t="s">
        <v>38</v>
      </c>
      <c r="X273" s="2" t="s">
        <v>38</v>
      </c>
      <c r="Y273" s="2" t="s">
        <v>38</v>
      </c>
      <c r="Z273" s="2" t="s">
        <v>38</v>
      </c>
      <c r="AA273" s="2" t="s">
        <v>38</v>
      </c>
      <c r="AB273" s="2" t="s">
        <v>39</v>
      </c>
      <c r="AC273" s="2" t="s">
        <v>38</v>
      </c>
      <c r="AD273" s="2" t="s">
        <v>38</v>
      </c>
      <c r="AE273" s="2" t="s">
        <v>38</v>
      </c>
    </row>
    <row r="274" spans="1:31" ht="409.5">
      <c r="A274" s="2">
        <v>2734527</v>
      </c>
      <c r="B274" s="2">
        <f>HYPERLINK("https://platform.v2.vetology.net/cases/2734527/screening-report/18?type=pdf&amp;v=v6&amp;scorecard=1&amp;secret_key=BX%25IJ%24%2F65ieZ%29f6", 2734527)</f>
        <v>2734527</v>
      </c>
      <c r="C274" s="2">
        <f>HYPERLINK("https://platform.v2.vetology.net/report/v/final/"&amp;2734527, 2734527)</f>
        <v>2734527</v>
      </c>
      <c r="D274" s="2" t="s">
        <v>975</v>
      </c>
      <c r="E274" s="2" t="s">
        <v>976</v>
      </c>
      <c r="F274" s="2" t="s">
        <v>977</v>
      </c>
      <c r="G274" s="2" t="s">
        <v>58</v>
      </c>
      <c r="H274" s="2" t="s">
        <v>978</v>
      </c>
      <c r="I274" s="2" t="s">
        <v>284</v>
      </c>
      <c r="J274" s="2" t="s">
        <v>285</v>
      </c>
      <c r="K274" s="2" t="s">
        <v>38</v>
      </c>
      <c r="L274" s="2" t="s">
        <v>38</v>
      </c>
      <c r="M274" s="2" t="s">
        <v>38</v>
      </c>
      <c r="N274" s="2" t="s">
        <v>38</v>
      </c>
      <c r="O274" s="2" t="s">
        <v>38</v>
      </c>
      <c r="P274" s="2" t="s">
        <v>38</v>
      </c>
      <c r="Q274" s="2" t="s">
        <v>38</v>
      </c>
      <c r="R274" s="2" t="s">
        <v>38</v>
      </c>
      <c r="S274" s="2" t="s">
        <v>38</v>
      </c>
      <c r="T274" s="2" t="s">
        <v>39</v>
      </c>
      <c r="U274" s="2" t="s">
        <v>38</v>
      </c>
      <c r="V274" s="2" t="s">
        <v>38</v>
      </c>
      <c r="W274" s="2" t="s">
        <v>38</v>
      </c>
      <c r="X274" s="2" t="s">
        <v>38</v>
      </c>
      <c r="Y274" s="2" t="s">
        <v>38</v>
      </c>
      <c r="Z274" s="2" t="s">
        <v>38</v>
      </c>
      <c r="AA274" s="2" t="s">
        <v>38</v>
      </c>
      <c r="AB274" s="2" t="s">
        <v>38</v>
      </c>
      <c r="AC274" s="2" t="s">
        <v>38</v>
      </c>
      <c r="AD274" s="2" t="s">
        <v>38</v>
      </c>
      <c r="AE274" s="2" t="s">
        <v>38</v>
      </c>
    </row>
    <row r="275" spans="1:31" ht="409.5">
      <c r="A275" s="2">
        <v>2734199</v>
      </c>
      <c r="B275" s="2">
        <f>HYPERLINK("https://platform.v2.vetology.net/cases/2734199/screening-report/18?type=pdf&amp;v=v6&amp;scorecard=1&amp;secret_key=BX%25IJ%24%2F65ieZ%29f6", 2734199)</f>
        <v>2734199</v>
      </c>
      <c r="C275" s="2">
        <f>HYPERLINK("https://platform.v2.vetology.net/report/v/final/"&amp;2734199, 2734199)</f>
        <v>2734199</v>
      </c>
      <c r="D275" s="2" t="s">
        <v>979</v>
      </c>
      <c r="E275" s="2" t="s">
        <v>980</v>
      </c>
      <c r="F275" s="2" t="s">
        <v>981</v>
      </c>
      <c r="G275" s="2" t="s">
        <v>34</v>
      </c>
      <c r="H275" s="2" t="s">
        <v>78</v>
      </c>
      <c r="I275" s="2" t="s">
        <v>44</v>
      </c>
      <c r="J275" s="2" t="s">
        <v>106</v>
      </c>
      <c r="K275" s="2" t="s">
        <v>38</v>
      </c>
      <c r="L275" s="2" t="s">
        <v>39</v>
      </c>
      <c r="M275" s="2" t="s">
        <v>38</v>
      </c>
      <c r="N275" s="2" t="s">
        <v>38</v>
      </c>
      <c r="O275" s="2" t="s">
        <v>38</v>
      </c>
      <c r="P275" s="2" t="s">
        <v>38</v>
      </c>
      <c r="Q275" s="2" t="s">
        <v>38</v>
      </c>
      <c r="R275" s="2" t="s">
        <v>38</v>
      </c>
      <c r="S275" s="2" t="s">
        <v>38</v>
      </c>
      <c r="T275" s="2" t="s">
        <v>38</v>
      </c>
      <c r="U275" s="2" t="s">
        <v>38</v>
      </c>
      <c r="V275" s="2" t="s">
        <v>38</v>
      </c>
      <c r="W275" s="2" t="s">
        <v>38</v>
      </c>
      <c r="X275" s="2" t="s">
        <v>38</v>
      </c>
      <c r="Y275" s="2" t="s">
        <v>38</v>
      </c>
      <c r="Z275" s="2" t="s">
        <v>38</v>
      </c>
      <c r="AA275" s="2" t="s">
        <v>38</v>
      </c>
      <c r="AB275" s="2" t="s">
        <v>39</v>
      </c>
      <c r="AC275" s="2" t="s">
        <v>38</v>
      </c>
      <c r="AD275" s="2" t="s">
        <v>38</v>
      </c>
      <c r="AE275" s="2" t="s">
        <v>38</v>
      </c>
    </row>
    <row r="276" spans="1:31" ht="409.5">
      <c r="A276" s="2">
        <v>2734153</v>
      </c>
      <c r="B276" s="2">
        <f>HYPERLINK("https://platform.v2.vetology.net/cases/2734153/screening-report/18?type=pdf&amp;v=v6&amp;scorecard=1&amp;secret_key=BX%25IJ%24%2F65ieZ%29f6", 2734153)</f>
        <v>2734153</v>
      </c>
      <c r="C276" s="2">
        <f>HYPERLINK("https://platform.v2.vetology.net/report/v/final/"&amp;2734153, 2734153)</f>
        <v>2734153</v>
      </c>
      <c r="D276" s="2" t="s">
        <v>982</v>
      </c>
      <c r="E276" s="2" t="s">
        <v>911</v>
      </c>
      <c r="F276" s="2"/>
      <c r="G276" s="2" t="s">
        <v>150</v>
      </c>
      <c r="H276" s="2" t="s">
        <v>983</v>
      </c>
      <c r="I276" s="2" t="s">
        <v>245</v>
      </c>
      <c r="J276" s="2" t="s">
        <v>246</v>
      </c>
      <c r="K276" s="2" t="s">
        <v>38</v>
      </c>
      <c r="L276" s="2" t="s">
        <v>39</v>
      </c>
      <c r="M276" s="2" t="s">
        <v>39</v>
      </c>
      <c r="N276" s="2" t="s">
        <v>38</v>
      </c>
      <c r="O276" s="2" t="s">
        <v>38</v>
      </c>
      <c r="P276" s="2" t="s">
        <v>38</v>
      </c>
      <c r="Q276" s="2" t="s">
        <v>38</v>
      </c>
      <c r="R276" s="2" t="s">
        <v>38</v>
      </c>
      <c r="S276" s="2" t="s">
        <v>38</v>
      </c>
      <c r="T276" s="2" t="s">
        <v>39</v>
      </c>
      <c r="U276" s="2" t="s">
        <v>39</v>
      </c>
      <c r="V276" s="2" t="s">
        <v>38</v>
      </c>
      <c r="W276" s="2" t="s">
        <v>38</v>
      </c>
      <c r="X276" s="2" t="s">
        <v>38</v>
      </c>
      <c r="Y276" s="2" t="s">
        <v>38</v>
      </c>
      <c r="Z276" s="2" t="s">
        <v>39</v>
      </c>
      <c r="AA276" s="2" t="s">
        <v>38</v>
      </c>
      <c r="AB276" s="2" t="s">
        <v>39</v>
      </c>
      <c r="AC276" s="2" t="s">
        <v>39</v>
      </c>
      <c r="AD276" s="2" t="s">
        <v>38</v>
      </c>
      <c r="AE276" s="2" t="s">
        <v>38</v>
      </c>
    </row>
    <row r="277" spans="1:31" ht="409.5">
      <c r="A277" s="2">
        <v>2734051</v>
      </c>
      <c r="B277" s="2">
        <f>HYPERLINK("https://platform.v2.vetology.net/cases/2734051/screening-report/18?type=pdf&amp;v=v6&amp;scorecard=1&amp;secret_key=BX%25IJ%24%2F65ieZ%29f6", 2734051)</f>
        <v>2734051</v>
      </c>
      <c r="C277" s="2">
        <f>HYPERLINK("https://platform.v2.vetology.net/report/v/final/"&amp;2734051, 2734051)</f>
        <v>2734051</v>
      </c>
      <c r="D277" s="2" t="s">
        <v>984</v>
      </c>
      <c r="E277" s="2" t="s">
        <v>985</v>
      </c>
      <c r="F277" s="2" t="s">
        <v>986</v>
      </c>
      <c r="G277" s="2" t="s">
        <v>34</v>
      </c>
      <c r="H277" s="2" t="s">
        <v>987</v>
      </c>
      <c r="I277" s="2" t="s">
        <v>988</v>
      </c>
      <c r="J277" s="2" t="s">
        <v>989</v>
      </c>
      <c r="K277" s="2" t="s">
        <v>39</v>
      </c>
      <c r="L277" s="2" t="s">
        <v>39</v>
      </c>
      <c r="M277" s="2" t="s">
        <v>39</v>
      </c>
      <c r="N277" s="2" t="s">
        <v>39</v>
      </c>
      <c r="O277" s="2" t="s">
        <v>39</v>
      </c>
      <c r="P277" s="2" t="s">
        <v>39</v>
      </c>
      <c r="Q277" s="2" t="s">
        <v>39</v>
      </c>
      <c r="R277" s="2" t="s">
        <v>39</v>
      </c>
      <c r="S277" s="2" t="s">
        <v>39</v>
      </c>
      <c r="T277" s="2" t="s">
        <v>39</v>
      </c>
      <c r="U277" s="2" t="s">
        <v>39</v>
      </c>
      <c r="V277" s="2" t="s">
        <v>39</v>
      </c>
      <c r="W277" s="2" t="s">
        <v>39</v>
      </c>
      <c r="X277" s="2" t="s">
        <v>39</v>
      </c>
      <c r="Y277" s="2" t="s">
        <v>39</v>
      </c>
      <c r="Z277" s="2" t="s">
        <v>39</v>
      </c>
      <c r="AA277" s="2" t="s">
        <v>39</v>
      </c>
      <c r="AB277" s="2" t="s">
        <v>39</v>
      </c>
      <c r="AC277" s="2" t="s">
        <v>39</v>
      </c>
      <c r="AD277" s="2" t="s">
        <v>39</v>
      </c>
      <c r="AE277" s="2" t="s">
        <v>39</v>
      </c>
    </row>
    <row r="278" spans="1:31" ht="409.5">
      <c r="A278" s="2">
        <v>2733831</v>
      </c>
      <c r="B278" s="2">
        <f>HYPERLINK("https://platform.v2.vetology.net/cases/2733831/screening-report/18?type=pdf&amp;v=v6&amp;scorecard=1&amp;secret_key=BX%25IJ%24%2F65ieZ%29f6", 2733831)</f>
        <v>2733831</v>
      </c>
      <c r="C278" s="2">
        <f>HYPERLINK("https://platform.v2.vetology.net/report/v/final/"&amp;2733831, 2733831)</f>
        <v>2733831</v>
      </c>
      <c r="D278" s="2" t="s">
        <v>990</v>
      </c>
      <c r="E278" s="2" t="s">
        <v>179</v>
      </c>
      <c r="F278" s="2" t="s">
        <v>81</v>
      </c>
      <c r="G278" s="2" t="s">
        <v>82</v>
      </c>
      <c r="H278" s="2" t="s">
        <v>991</v>
      </c>
      <c r="I278" s="2" t="s">
        <v>681</v>
      </c>
      <c r="J278" s="2" t="s">
        <v>50</v>
      </c>
      <c r="K278" s="2" t="s">
        <v>38</v>
      </c>
      <c r="L278" s="2" t="s">
        <v>38</v>
      </c>
      <c r="M278" s="2" t="s">
        <v>39</v>
      </c>
      <c r="N278" s="2" t="s">
        <v>38</v>
      </c>
      <c r="O278" s="2" t="s">
        <v>38</v>
      </c>
      <c r="P278" s="2" t="s">
        <v>38</v>
      </c>
      <c r="Q278" s="2" t="s">
        <v>38</v>
      </c>
      <c r="R278" s="2" t="s">
        <v>38</v>
      </c>
      <c r="S278" s="2" t="s">
        <v>38</v>
      </c>
      <c r="T278" s="2" t="s">
        <v>38</v>
      </c>
      <c r="U278" s="2" t="s">
        <v>38</v>
      </c>
      <c r="V278" s="2" t="s">
        <v>38</v>
      </c>
      <c r="W278" s="2" t="s">
        <v>38</v>
      </c>
      <c r="X278" s="2" t="s">
        <v>39</v>
      </c>
      <c r="Y278" s="2" t="s">
        <v>38</v>
      </c>
      <c r="Z278" s="2" t="s">
        <v>38</v>
      </c>
      <c r="AA278" s="2" t="s">
        <v>38</v>
      </c>
      <c r="AB278" s="2" t="s">
        <v>38</v>
      </c>
      <c r="AC278" s="2" t="s">
        <v>39</v>
      </c>
      <c r="AD278" s="2" t="s">
        <v>38</v>
      </c>
      <c r="AE278" s="2" t="s">
        <v>39</v>
      </c>
    </row>
    <row r="279" spans="1:31" ht="409.5">
      <c r="A279" s="2">
        <v>2733804</v>
      </c>
      <c r="B279" s="2">
        <f>HYPERLINK("https://platform.v2.vetology.net/cases/2733804/screening-report/18?type=pdf&amp;v=v6&amp;scorecard=1&amp;secret_key=BX%25IJ%24%2F65ieZ%29f6", 2733804)</f>
        <v>2733804</v>
      </c>
      <c r="C279" s="2">
        <f>HYPERLINK("https://platform.v2.vetology.net/report/v/final/"&amp;2733804, 2733804)</f>
        <v>2733804</v>
      </c>
      <c r="D279" s="2" t="s">
        <v>992</v>
      </c>
      <c r="E279" s="2" t="s">
        <v>993</v>
      </c>
      <c r="F279" s="2" t="s">
        <v>81</v>
      </c>
      <c r="G279" s="2" t="s">
        <v>150</v>
      </c>
      <c r="H279" s="2" t="s">
        <v>54</v>
      </c>
      <c r="I279" s="2" t="s">
        <v>44</v>
      </c>
      <c r="J279" s="2"/>
      <c r="K279" s="2" t="s">
        <v>38</v>
      </c>
      <c r="L279" s="2" t="s">
        <v>38</v>
      </c>
      <c r="M279" s="2" t="s">
        <v>38</v>
      </c>
      <c r="N279" s="2" t="s">
        <v>38</v>
      </c>
      <c r="O279" s="2" t="s">
        <v>38</v>
      </c>
      <c r="P279" s="2" t="s">
        <v>38</v>
      </c>
      <c r="Q279" s="2" t="s">
        <v>38</v>
      </c>
      <c r="R279" s="2" t="s">
        <v>38</v>
      </c>
      <c r="S279" s="2" t="s">
        <v>38</v>
      </c>
      <c r="T279" s="2" t="s">
        <v>38</v>
      </c>
      <c r="U279" s="2" t="s">
        <v>38</v>
      </c>
      <c r="V279" s="2" t="s">
        <v>38</v>
      </c>
      <c r="W279" s="2" t="s">
        <v>38</v>
      </c>
      <c r="X279" s="2" t="s">
        <v>38</v>
      </c>
      <c r="Y279" s="2" t="s">
        <v>38</v>
      </c>
      <c r="Z279" s="2" t="s">
        <v>38</v>
      </c>
      <c r="AA279" s="2" t="s">
        <v>38</v>
      </c>
      <c r="AB279" s="2" t="s">
        <v>38</v>
      </c>
      <c r="AC279" s="2" t="s">
        <v>39</v>
      </c>
      <c r="AD279" s="2" t="s">
        <v>38</v>
      </c>
      <c r="AE279" s="2" t="s">
        <v>38</v>
      </c>
    </row>
    <row r="280" spans="1:31" ht="409.5">
      <c r="A280" s="2">
        <v>2733787</v>
      </c>
      <c r="B280" s="2">
        <f>HYPERLINK("https://platform.v2.vetology.net/cases/2733787/screening-report/18?type=pdf&amp;v=v6&amp;scorecard=1&amp;secret_key=BX%25IJ%24%2F65ieZ%29f6", 2733787)</f>
        <v>2733787</v>
      </c>
      <c r="C280" s="2">
        <f>HYPERLINK("https://platform.v2.vetology.net/report/v/final/"&amp;2733787, 2733787)</f>
        <v>2733787</v>
      </c>
      <c r="D280" s="2" t="s">
        <v>994</v>
      </c>
      <c r="E280" s="2" t="s">
        <v>995</v>
      </c>
      <c r="F280" s="2" t="s">
        <v>996</v>
      </c>
      <c r="G280" s="2" t="s">
        <v>63</v>
      </c>
      <c r="H280" s="2" t="s">
        <v>54</v>
      </c>
      <c r="I280" s="2" t="s">
        <v>44</v>
      </c>
      <c r="J280" s="2"/>
      <c r="K280" s="2" t="s">
        <v>38</v>
      </c>
      <c r="L280" s="2" t="s">
        <v>39</v>
      </c>
      <c r="M280" s="2" t="s">
        <v>38</v>
      </c>
      <c r="N280" s="2" t="s">
        <v>38</v>
      </c>
      <c r="O280" s="2" t="s">
        <v>38</v>
      </c>
      <c r="P280" s="2" t="s">
        <v>38</v>
      </c>
      <c r="Q280" s="2" t="s">
        <v>38</v>
      </c>
      <c r="R280" s="2" t="s">
        <v>38</v>
      </c>
      <c r="S280" s="2" t="s">
        <v>38</v>
      </c>
      <c r="T280" s="2" t="s">
        <v>38</v>
      </c>
      <c r="U280" s="2" t="s">
        <v>38</v>
      </c>
      <c r="V280" s="2" t="s">
        <v>38</v>
      </c>
      <c r="W280" s="2" t="s">
        <v>38</v>
      </c>
      <c r="X280" s="2" t="s">
        <v>38</v>
      </c>
      <c r="Y280" s="2" t="s">
        <v>38</v>
      </c>
      <c r="Z280" s="2" t="s">
        <v>38</v>
      </c>
      <c r="AA280" s="2" t="s">
        <v>38</v>
      </c>
      <c r="AB280" s="2" t="s">
        <v>39</v>
      </c>
      <c r="AC280" s="2" t="s">
        <v>38</v>
      </c>
      <c r="AD280" s="2" t="s">
        <v>38</v>
      </c>
      <c r="AE280" s="2" t="s">
        <v>38</v>
      </c>
    </row>
    <row r="281" spans="1:31" ht="409.5">
      <c r="A281" s="2">
        <v>2733786</v>
      </c>
      <c r="B281" s="2">
        <f>HYPERLINK("https://platform.v2.vetology.net/cases/2733786/screening-report/18?type=pdf&amp;v=v6&amp;scorecard=1&amp;secret_key=BX%25IJ%24%2F65ieZ%29f6", 2733786)</f>
        <v>2733786</v>
      </c>
      <c r="C281" s="2">
        <f>HYPERLINK("https://platform.v2.vetology.net/report/v/final/"&amp;2733786, 2733786)</f>
        <v>2733786</v>
      </c>
      <c r="D281" s="2" t="s">
        <v>997</v>
      </c>
      <c r="E281" s="2" t="s">
        <v>998</v>
      </c>
      <c r="F281" s="2" t="s">
        <v>999</v>
      </c>
      <c r="G281" s="2" t="s">
        <v>58</v>
      </c>
      <c r="H281" s="2" t="s">
        <v>78</v>
      </c>
      <c r="I281" s="2" t="s">
        <v>44</v>
      </c>
      <c r="J281" s="2"/>
      <c r="K281" s="2" t="s">
        <v>38</v>
      </c>
      <c r="L281" s="2" t="s">
        <v>39</v>
      </c>
      <c r="M281" s="2" t="s">
        <v>38</v>
      </c>
      <c r="N281" s="2" t="s">
        <v>38</v>
      </c>
      <c r="O281" s="2" t="s">
        <v>38</v>
      </c>
      <c r="P281" s="2" t="s">
        <v>38</v>
      </c>
      <c r="Q281" s="2" t="s">
        <v>38</v>
      </c>
      <c r="R281" s="2" t="s">
        <v>38</v>
      </c>
      <c r="S281" s="2" t="s">
        <v>38</v>
      </c>
      <c r="T281" s="2" t="s">
        <v>39</v>
      </c>
      <c r="U281" s="2" t="s">
        <v>38</v>
      </c>
      <c r="V281" s="2" t="s">
        <v>39</v>
      </c>
      <c r="W281" s="2" t="s">
        <v>38</v>
      </c>
      <c r="X281" s="2" t="s">
        <v>39</v>
      </c>
      <c r="Y281" s="2" t="s">
        <v>38</v>
      </c>
      <c r="Z281" s="2" t="s">
        <v>38</v>
      </c>
      <c r="AA281" s="2" t="s">
        <v>38</v>
      </c>
      <c r="AB281" s="2" t="s">
        <v>38</v>
      </c>
      <c r="AC281" s="2" t="s">
        <v>38</v>
      </c>
      <c r="AD281" s="2" t="s">
        <v>38</v>
      </c>
      <c r="AE281" s="2" t="s">
        <v>38</v>
      </c>
    </row>
    <row r="282" spans="1:31" ht="409.5">
      <c r="A282" s="2">
        <v>2733432</v>
      </c>
      <c r="B282" s="2">
        <f>HYPERLINK("https://platform.v2.vetology.net/cases/2733432/screening-report/18?type=pdf&amp;v=v6&amp;scorecard=1&amp;secret_key=BX%25IJ%24%2F65ieZ%29f6", 2733432)</f>
        <v>2733432</v>
      </c>
      <c r="C282" s="2">
        <f>HYPERLINK("https://platform.v2.vetology.net/report/v/final/"&amp;2733432, 2733432)</f>
        <v>2733432</v>
      </c>
      <c r="D282" s="2" t="s">
        <v>1000</v>
      </c>
      <c r="E282" s="2" t="s">
        <v>1001</v>
      </c>
      <c r="F282" s="2" t="s">
        <v>1002</v>
      </c>
      <c r="G282" s="2" t="s">
        <v>82</v>
      </c>
      <c r="H282" s="2" t="s">
        <v>78</v>
      </c>
      <c r="I282" s="2" t="s">
        <v>44</v>
      </c>
      <c r="J282" s="2"/>
      <c r="K282" s="2" t="s">
        <v>38</v>
      </c>
      <c r="L282" s="2" t="s">
        <v>39</v>
      </c>
      <c r="M282" s="2" t="s">
        <v>39</v>
      </c>
      <c r="N282" s="2" t="s">
        <v>38</v>
      </c>
      <c r="O282" s="2" t="s">
        <v>39</v>
      </c>
      <c r="P282" s="2" t="s">
        <v>38</v>
      </c>
      <c r="Q282" s="2" t="s">
        <v>39</v>
      </c>
      <c r="R282" s="2" t="s">
        <v>38</v>
      </c>
      <c r="S282" s="2" t="s">
        <v>38</v>
      </c>
      <c r="T282" s="2" t="s">
        <v>39</v>
      </c>
      <c r="U282" s="2" t="s">
        <v>38</v>
      </c>
      <c r="V282" s="2" t="s">
        <v>39</v>
      </c>
      <c r="W282" s="2" t="s">
        <v>38</v>
      </c>
      <c r="X282" s="2" t="s">
        <v>39</v>
      </c>
      <c r="Y282" s="2" t="s">
        <v>38</v>
      </c>
      <c r="Z282" s="2" t="s">
        <v>39</v>
      </c>
      <c r="AA282" s="2" t="s">
        <v>38</v>
      </c>
      <c r="AB282" s="2" t="s">
        <v>39</v>
      </c>
      <c r="AC282" s="2" t="s">
        <v>38</v>
      </c>
      <c r="AD282" s="2" t="s">
        <v>38</v>
      </c>
      <c r="AE282" s="2" t="s">
        <v>38</v>
      </c>
    </row>
    <row r="283" spans="1:31" ht="409.5">
      <c r="A283" s="2">
        <v>2733359</v>
      </c>
      <c r="B283" s="2">
        <f>HYPERLINK("https://platform.v2.vetology.net/cases/2733359/screening-report/18?type=pdf&amp;v=v6&amp;scorecard=1&amp;secret_key=BX%25IJ%24%2F65ieZ%29f6", 2733359)</f>
        <v>2733359</v>
      </c>
      <c r="C283" s="2">
        <f>HYPERLINK("https://platform.v2.vetology.net/report/v/final/"&amp;2733359, 2733359)</f>
        <v>2733359</v>
      </c>
      <c r="D283" s="2" t="s">
        <v>1003</v>
      </c>
      <c r="E283" s="2" t="s">
        <v>1004</v>
      </c>
      <c r="F283" s="2" t="s">
        <v>81</v>
      </c>
      <c r="G283" s="2" t="s">
        <v>150</v>
      </c>
      <c r="H283" s="2" t="s">
        <v>54</v>
      </c>
      <c r="I283" s="2" t="s">
        <v>44</v>
      </c>
      <c r="J283" s="2"/>
      <c r="K283" s="2" t="s">
        <v>38</v>
      </c>
      <c r="L283" s="2" t="s">
        <v>39</v>
      </c>
      <c r="M283" s="2" t="s">
        <v>38</v>
      </c>
      <c r="N283" s="2" t="s">
        <v>38</v>
      </c>
      <c r="O283" s="2" t="s">
        <v>38</v>
      </c>
      <c r="P283" s="2" t="s">
        <v>38</v>
      </c>
      <c r="Q283" s="2" t="s">
        <v>38</v>
      </c>
      <c r="R283" s="2" t="s">
        <v>38</v>
      </c>
      <c r="S283" s="2" t="s">
        <v>38</v>
      </c>
      <c r="T283" s="2" t="s">
        <v>38</v>
      </c>
      <c r="U283" s="2" t="s">
        <v>38</v>
      </c>
      <c r="V283" s="2" t="s">
        <v>38</v>
      </c>
      <c r="W283" s="2" t="s">
        <v>38</v>
      </c>
      <c r="X283" s="2" t="s">
        <v>38</v>
      </c>
      <c r="Y283" s="2" t="s">
        <v>38</v>
      </c>
      <c r="Z283" s="2" t="s">
        <v>38</v>
      </c>
      <c r="AA283" s="2" t="s">
        <v>38</v>
      </c>
      <c r="AB283" s="2" t="s">
        <v>38</v>
      </c>
      <c r="AC283" s="2" t="s">
        <v>38</v>
      </c>
      <c r="AD283" s="2" t="s">
        <v>38</v>
      </c>
      <c r="AE283" s="2" t="s">
        <v>38</v>
      </c>
    </row>
    <row r="284" spans="1:31" ht="409.5">
      <c r="A284" s="2">
        <v>2733105</v>
      </c>
      <c r="B284" s="2">
        <f>HYPERLINK("https://platform.v2.vetology.net/cases/2733105/screening-report/18?type=pdf&amp;v=v6&amp;scorecard=1&amp;secret_key=BX%25IJ%24%2F65ieZ%29f6", 2733105)</f>
        <v>2733105</v>
      </c>
      <c r="C284" s="2">
        <f>HYPERLINK("https://platform.v2.vetology.net/report/v/final/"&amp;2733105, 2733105)</f>
        <v>2733105</v>
      </c>
      <c r="D284" s="2" t="s">
        <v>1005</v>
      </c>
      <c r="E284" s="2" t="s">
        <v>1006</v>
      </c>
      <c r="F284" s="2" t="s">
        <v>1007</v>
      </c>
      <c r="G284" s="2" t="s">
        <v>135</v>
      </c>
      <c r="H284" s="2" t="s">
        <v>43</v>
      </c>
      <c r="I284" s="2" t="s">
        <v>44</v>
      </c>
      <c r="J284" s="2"/>
      <c r="K284" s="2" t="s">
        <v>38</v>
      </c>
      <c r="L284" s="2" t="s">
        <v>39</v>
      </c>
      <c r="M284" s="2" t="s">
        <v>38</v>
      </c>
      <c r="N284" s="2" t="s">
        <v>38</v>
      </c>
      <c r="O284" s="2" t="s">
        <v>38</v>
      </c>
      <c r="P284" s="2" t="s">
        <v>39</v>
      </c>
      <c r="Q284" s="2" t="s">
        <v>38</v>
      </c>
      <c r="R284" s="2" t="s">
        <v>38</v>
      </c>
      <c r="S284" s="2" t="s">
        <v>38</v>
      </c>
      <c r="T284" s="2" t="s">
        <v>38</v>
      </c>
      <c r="U284" s="2" t="s">
        <v>38</v>
      </c>
      <c r="V284" s="2" t="s">
        <v>38</v>
      </c>
      <c r="W284" s="2" t="s">
        <v>38</v>
      </c>
      <c r="X284" s="2" t="s">
        <v>38</v>
      </c>
      <c r="Y284" s="2" t="s">
        <v>38</v>
      </c>
      <c r="Z284" s="2" t="s">
        <v>38</v>
      </c>
      <c r="AA284" s="2" t="s">
        <v>38</v>
      </c>
      <c r="AB284" s="2" t="s">
        <v>39</v>
      </c>
      <c r="AC284" s="2" t="s">
        <v>39</v>
      </c>
      <c r="AD284" s="2" t="s">
        <v>38</v>
      </c>
      <c r="AE284" s="2" t="s">
        <v>38</v>
      </c>
    </row>
    <row r="285" spans="1:31" ht="409.5">
      <c r="A285" s="2">
        <v>2733075</v>
      </c>
      <c r="B285" s="2">
        <f>HYPERLINK("https://platform.v2.vetology.net/cases/2733075/screening-report/18?type=pdf&amp;v=v6&amp;scorecard=1&amp;secret_key=BX%25IJ%24%2F65ieZ%29f6", 2733075)</f>
        <v>2733075</v>
      </c>
      <c r="C285" s="2">
        <f>HYPERLINK("https://platform.v2.vetology.net/report/v/final/"&amp;2733075, 2733075)</f>
        <v>2733075</v>
      </c>
      <c r="D285" s="2" t="s">
        <v>1008</v>
      </c>
      <c r="E285" s="2" t="s">
        <v>1009</v>
      </c>
      <c r="F285" s="2" t="s">
        <v>1010</v>
      </c>
      <c r="G285" s="2" t="s">
        <v>34</v>
      </c>
      <c r="H285" s="2" t="s">
        <v>851</v>
      </c>
      <c r="I285" s="2" t="s">
        <v>214</v>
      </c>
      <c r="J285" s="2" t="s">
        <v>50</v>
      </c>
      <c r="K285" s="2" t="s">
        <v>38</v>
      </c>
      <c r="L285" s="2" t="s">
        <v>39</v>
      </c>
      <c r="M285" s="2" t="s">
        <v>39</v>
      </c>
      <c r="N285" s="2" t="s">
        <v>38</v>
      </c>
      <c r="O285" s="2" t="s">
        <v>38</v>
      </c>
      <c r="P285" s="2" t="s">
        <v>39</v>
      </c>
      <c r="Q285" s="2" t="s">
        <v>38</v>
      </c>
      <c r="R285" s="2" t="s">
        <v>38</v>
      </c>
      <c r="S285" s="2" t="s">
        <v>38</v>
      </c>
      <c r="T285" s="2" t="s">
        <v>38</v>
      </c>
      <c r="U285" s="2" t="s">
        <v>38</v>
      </c>
      <c r="V285" s="2" t="s">
        <v>38</v>
      </c>
      <c r="W285" s="2" t="s">
        <v>38</v>
      </c>
      <c r="X285" s="2" t="s">
        <v>38</v>
      </c>
      <c r="Y285" s="2" t="s">
        <v>38</v>
      </c>
      <c r="Z285" s="2" t="s">
        <v>38</v>
      </c>
      <c r="AA285" s="2" t="s">
        <v>38</v>
      </c>
      <c r="AB285" s="2" t="s">
        <v>39</v>
      </c>
      <c r="AC285" s="2" t="s">
        <v>39</v>
      </c>
      <c r="AD285" s="2" t="s">
        <v>38</v>
      </c>
      <c r="AE285" s="2" t="s">
        <v>38</v>
      </c>
    </row>
    <row r="286" spans="1:31" ht="409.5">
      <c r="A286" s="2">
        <v>2732977</v>
      </c>
      <c r="B286" s="2">
        <f>HYPERLINK("https://platform.v2.vetology.net/cases/2732977/screening-report/18?type=pdf&amp;v=v6&amp;scorecard=1&amp;secret_key=BX%25IJ%24%2F65ieZ%29f6", 2732977)</f>
        <v>2732977</v>
      </c>
      <c r="C286" s="2">
        <f>HYPERLINK("https://platform.v2.vetology.net/report/v/final/"&amp;2732977, 2732977)</f>
        <v>2732977</v>
      </c>
      <c r="D286" s="2" t="s">
        <v>1011</v>
      </c>
      <c r="E286" s="2" t="s">
        <v>1012</v>
      </c>
      <c r="F286" s="2" t="s">
        <v>1013</v>
      </c>
      <c r="G286" s="2" t="s">
        <v>135</v>
      </c>
      <c r="H286" s="2" t="s">
        <v>71</v>
      </c>
      <c r="I286" s="2" t="s">
        <v>44</v>
      </c>
      <c r="J286" s="2" t="s">
        <v>106</v>
      </c>
      <c r="K286" s="2" t="s">
        <v>38</v>
      </c>
      <c r="L286" s="2" t="s">
        <v>39</v>
      </c>
      <c r="M286" s="2" t="s">
        <v>38</v>
      </c>
      <c r="N286" s="2" t="s">
        <v>38</v>
      </c>
      <c r="O286" s="2" t="s">
        <v>38</v>
      </c>
      <c r="P286" s="2" t="s">
        <v>38</v>
      </c>
      <c r="Q286" s="2" t="s">
        <v>38</v>
      </c>
      <c r="R286" s="2" t="s">
        <v>38</v>
      </c>
      <c r="S286" s="2" t="s">
        <v>38</v>
      </c>
      <c r="T286" s="2" t="s">
        <v>39</v>
      </c>
      <c r="U286" s="2" t="s">
        <v>39</v>
      </c>
      <c r="V286" s="2" t="s">
        <v>38</v>
      </c>
      <c r="W286" s="2" t="s">
        <v>38</v>
      </c>
      <c r="X286" s="2" t="s">
        <v>39</v>
      </c>
      <c r="Y286" s="2" t="s">
        <v>38</v>
      </c>
      <c r="Z286" s="2" t="s">
        <v>38</v>
      </c>
      <c r="AA286" s="2" t="s">
        <v>38</v>
      </c>
      <c r="AB286" s="2" t="s">
        <v>38</v>
      </c>
      <c r="AC286" s="2" t="s">
        <v>38</v>
      </c>
      <c r="AD286" s="2" t="s">
        <v>38</v>
      </c>
      <c r="AE286" s="2" t="s">
        <v>38</v>
      </c>
    </row>
    <row r="287" spans="1:31" ht="409.5">
      <c r="A287" s="2">
        <v>2732893</v>
      </c>
      <c r="B287" s="2">
        <f>HYPERLINK("https://platform.v2.vetology.net/cases/2732893/screening-report/18?type=pdf&amp;v=v6&amp;scorecard=1&amp;secret_key=BX%25IJ%24%2F65ieZ%29f6", 2732893)</f>
        <v>2732893</v>
      </c>
      <c r="C287" s="2">
        <f>HYPERLINK("https://platform.v2.vetology.net/report/v/final/"&amp;2732893, 2732893)</f>
        <v>2732893</v>
      </c>
      <c r="D287" s="2" t="s">
        <v>1014</v>
      </c>
      <c r="E287" s="2" t="s">
        <v>1015</v>
      </c>
      <c r="F287" s="2" t="s">
        <v>1016</v>
      </c>
      <c r="G287" s="2" t="s">
        <v>34</v>
      </c>
      <c r="H287" s="2" t="s">
        <v>360</v>
      </c>
      <c r="I287" s="2" t="s">
        <v>284</v>
      </c>
      <c r="J287" s="2" t="s">
        <v>285</v>
      </c>
      <c r="K287" s="2" t="s">
        <v>38</v>
      </c>
      <c r="L287" s="2" t="s">
        <v>39</v>
      </c>
      <c r="M287" s="2" t="s">
        <v>38</v>
      </c>
      <c r="N287" s="2" t="s">
        <v>38</v>
      </c>
      <c r="O287" s="2" t="s">
        <v>38</v>
      </c>
      <c r="P287" s="2" t="s">
        <v>38</v>
      </c>
      <c r="Q287" s="2" t="s">
        <v>38</v>
      </c>
      <c r="R287" s="2" t="s">
        <v>38</v>
      </c>
      <c r="S287" s="2" t="s">
        <v>38</v>
      </c>
      <c r="T287" s="2" t="s">
        <v>39</v>
      </c>
      <c r="U287" s="2" t="s">
        <v>38</v>
      </c>
      <c r="V287" s="2" t="s">
        <v>38</v>
      </c>
      <c r="W287" s="2" t="s">
        <v>38</v>
      </c>
      <c r="X287" s="2" t="s">
        <v>38</v>
      </c>
      <c r="Y287" s="2" t="s">
        <v>38</v>
      </c>
      <c r="Z287" s="2" t="s">
        <v>38</v>
      </c>
      <c r="AA287" s="2" t="s">
        <v>38</v>
      </c>
      <c r="AB287" s="2" t="s">
        <v>38</v>
      </c>
      <c r="AC287" s="2" t="s">
        <v>38</v>
      </c>
      <c r="AD287" s="2" t="s">
        <v>38</v>
      </c>
      <c r="AE287" s="2" t="s">
        <v>38</v>
      </c>
    </row>
    <row r="288" spans="1:31" ht="409.5">
      <c r="A288" s="2">
        <v>2732816</v>
      </c>
      <c r="B288" s="2">
        <f>HYPERLINK("https://platform.v2.vetology.net/cases/2732816/screening-report/18?type=pdf&amp;v=v6&amp;scorecard=1&amp;secret_key=BX%25IJ%24%2F65ieZ%29f6", 2732816)</f>
        <v>2732816</v>
      </c>
      <c r="C288" s="2">
        <f>HYPERLINK("https://platform.v2.vetology.net/report/v/final/"&amp;2732816, 2732816)</f>
        <v>2732816</v>
      </c>
      <c r="D288" s="2" t="s">
        <v>1017</v>
      </c>
      <c r="E288" s="2" t="s">
        <v>1018</v>
      </c>
      <c r="F288" s="2" t="s">
        <v>1019</v>
      </c>
      <c r="G288" s="2" t="s">
        <v>58</v>
      </c>
      <c r="H288" s="2" t="s">
        <v>71</v>
      </c>
      <c r="I288" s="2" t="s">
        <v>44</v>
      </c>
      <c r="J288" s="2"/>
      <c r="K288" s="2" t="s">
        <v>38</v>
      </c>
      <c r="L288" s="2" t="s">
        <v>39</v>
      </c>
      <c r="M288" s="2" t="s">
        <v>38</v>
      </c>
      <c r="N288" s="2" t="s">
        <v>38</v>
      </c>
      <c r="O288" s="2" t="s">
        <v>38</v>
      </c>
      <c r="P288" s="2" t="s">
        <v>38</v>
      </c>
      <c r="Q288" s="2" t="s">
        <v>38</v>
      </c>
      <c r="R288" s="2" t="s">
        <v>38</v>
      </c>
      <c r="S288" s="2" t="s">
        <v>38</v>
      </c>
      <c r="T288" s="2" t="s">
        <v>39</v>
      </c>
      <c r="U288" s="2" t="s">
        <v>38</v>
      </c>
      <c r="V288" s="2" t="s">
        <v>39</v>
      </c>
      <c r="W288" s="2" t="s">
        <v>38</v>
      </c>
      <c r="X288" s="2" t="s">
        <v>39</v>
      </c>
      <c r="Y288" s="2" t="s">
        <v>38</v>
      </c>
      <c r="Z288" s="2" t="s">
        <v>38</v>
      </c>
      <c r="AA288" s="2" t="s">
        <v>38</v>
      </c>
      <c r="AB288" s="2" t="s">
        <v>38</v>
      </c>
      <c r="AC288" s="2" t="s">
        <v>38</v>
      </c>
      <c r="AD288" s="2" t="s">
        <v>38</v>
      </c>
      <c r="AE288" s="2" t="s">
        <v>38</v>
      </c>
    </row>
    <row r="289" spans="1:31" ht="409.5">
      <c r="A289" s="2">
        <v>2732808</v>
      </c>
      <c r="B289" s="2">
        <f>HYPERLINK("https://platform.v2.vetology.net/cases/2732808/screening-report/18?type=pdf&amp;v=v6&amp;scorecard=1&amp;secret_key=BX%25IJ%24%2F65ieZ%29f6", 2732808)</f>
        <v>2732808</v>
      </c>
      <c r="C289" s="2">
        <f>HYPERLINK("https://platform.v2.vetology.net/report/v/final/"&amp;2732808, 2732808)</f>
        <v>2732808</v>
      </c>
      <c r="D289" s="2" t="s">
        <v>1020</v>
      </c>
      <c r="E289" s="2" t="s">
        <v>1021</v>
      </c>
      <c r="F289" s="2" t="s">
        <v>81</v>
      </c>
      <c r="G289" s="2" t="s">
        <v>82</v>
      </c>
      <c r="H289" s="2" t="s">
        <v>54</v>
      </c>
      <c r="I289" s="2" t="s">
        <v>199</v>
      </c>
      <c r="J289" s="2"/>
      <c r="K289" s="2" t="s">
        <v>38</v>
      </c>
      <c r="L289" s="2" t="s">
        <v>38</v>
      </c>
      <c r="M289" s="2" t="s">
        <v>38</v>
      </c>
      <c r="N289" s="2" t="s">
        <v>38</v>
      </c>
      <c r="O289" s="2" t="s">
        <v>38</v>
      </c>
      <c r="P289" s="2" t="s">
        <v>38</v>
      </c>
      <c r="Q289" s="2" t="s">
        <v>38</v>
      </c>
      <c r="R289" s="2" t="s">
        <v>38</v>
      </c>
      <c r="S289" s="2" t="s">
        <v>38</v>
      </c>
      <c r="T289" s="2" t="s">
        <v>38</v>
      </c>
      <c r="U289" s="2" t="s">
        <v>38</v>
      </c>
      <c r="V289" s="2" t="s">
        <v>38</v>
      </c>
      <c r="W289" s="2" t="s">
        <v>38</v>
      </c>
      <c r="X289" s="2" t="s">
        <v>38</v>
      </c>
      <c r="Y289" s="2" t="s">
        <v>38</v>
      </c>
      <c r="Z289" s="2" t="s">
        <v>38</v>
      </c>
      <c r="AA289" s="2" t="s">
        <v>38</v>
      </c>
      <c r="AB289" s="2" t="s">
        <v>38</v>
      </c>
      <c r="AC289" s="2" t="s">
        <v>39</v>
      </c>
      <c r="AD289" s="2" t="s">
        <v>38</v>
      </c>
      <c r="AE289" s="2" t="s">
        <v>38</v>
      </c>
    </row>
    <row r="290" spans="1:31" ht="409.5">
      <c r="A290" s="2">
        <v>2732660</v>
      </c>
      <c r="B290" s="2">
        <f>HYPERLINK("https://platform.v2.vetology.net/cases/2732660/screening-report/18?type=pdf&amp;v=v6&amp;scorecard=1&amp;secret_key=BX%25IJ%24%2F65ieZ%29f6", 2732660)</f>
        <v>2732660</v>
      </c>
      <c r="C290" s="2">
        <f>HYPERLINK("https://platform.v2.vetology.net/report/v/final/"&amp;2732660, 2732660)</f>
        <v>2732660</v>
      </c>
      <c r="D290" s="2" t="s">
        <v>1022</v>
      </c>
      <c r="E290" s="2" t="s">
        <v>1023</v>
      </c>
      <c r="F290" s="2" t="s">
        <v>1024</v>
      </c>
      <c r="G290" s="2" t="s">
        <v>58</v>
      </c>
      <c r="H290" s="2" t="s">
        <v>488</v>
      </c>
      <c r="I290" s="2" t="s">
        <v>89</v>
      </c>
      <c r="J290" s="2" t="s">
        <v>66</v>
      </c>
      <c r="K290" s="2" t="s">
        <v>38</v>
      </c>
      <c r="L290" s="2" t="s">
        <v>39</v>
      </c>
      <c r="M290" s="2" t="s">
        <v>38</v>
      </c>
      <c r="N290" s="2" t="s">
        <v>38</v>
      </c>
      <c r="O290" s="2" t="s">
        <v>38</v>
      </c>
      <c r="P290" s="2" t="s">
        <v>39</v>
      </c>
      <c r="Q290" s="2" t="s">
        <v>38</v>
      </c>
      <c r="R290" s="2" t="s">
        <v>38</v>
      </c>
      <c r="S290" s="2" t="s">
        <v>38</v>
      </c>
      <c r="T290" s="2" t="s">
        <v>39</v>
      </c>
      <c r="U290" s="2" t="s">
        <v>38</v>
      </c>
      <c r="V290" s="2" t="s">
        <v>39</v>
      </c>
      <c r="W290" s="2" t="s">
        <v>38</v>
      </c>
      <c r="X290" s="2" t="s">
        <v>39</v>
      </c>
      <c r="Y290" s="2" t="s">
        <v>38</v>
      </c>
      <c r="Z290" s="2" t="s">
        <v>38</v>
      </c>
      <c r="AA290" s="2" t="s">
        <v>38</v>
      </c>
      <c r="AB290" s="2" t="s">
        <v>39</v>
      </c>
      <c r="AC290" s="2" t="s">
        <v>38</v>
      </c>
      <c r="AD290" s="2" t="s">
        <v>38</v>
      </c>
      <c r="AE290" s="2" t="s">
        <v>39</v>
      </c>
    </row>
    <row r="291" spans="1:31" ht="409.5">
      <c r="A291" s="2">
        <v>2732619</v>
      </c>
      <c r="B291" s="2">
        <f>HYPERLINK("https://platform.v2.vetology.net/cases/2732619/screening-report/18?type=pdf&amp;v=v6&amp;scorecard=1&amp;secret_key=BX%25IJ%24%2F65ieZ%29f6", 2732619)</f>
        <v>2732619</v>
      </c>
      <c r="C291" s="2">
        <f>HYPERLINK("https://platform.v2.vetology.net/report/v/final/"&amp;2732619, 2732619)</f>
        <v>2732619</v>
      </c>
      <c r="D291" s="2" t="s">
        <v>1025</v>
      </c>
      <c r="E291" s="2" t="s">
        <v>1026</v>
      </c>
      <c r="F291" s="2" t="s">
        <v>1027</v>
      </c>
      <c r="G291" s="2" t="s">
        <v>58</v>
      </c>
      <c r="H291" s="2" t="s">
        <v>1028</v>
      </c>
      <c r="I291" s="2" t="s">
        <v>418</v>
      </c>
      <c r="J291" s="2" t="s">
        <v>419</v>
      </c>
      <c r="K291" s="2" t="s">
        <v>38</v>
      </c>
      <c r="L291" s="2" t="s">
        <v>39</v>
      </c>
      <c r="M291" s="2" t="s">
        <v>39</v>
      </c>
      <c r="N291" s="2" t="s">
        <v>38</v>
      </c>
      <c r="O291" s="2" t="s">
        <v>38</v>
      </c>
      <c r="P291" s="2" t="s">
        <v>38</v>
      </c>
      <c r="Q291" s="2" t="s">
        <v>38</v>
      </c>
      <c r="R291" s="2" t="s">
        <v>38</v>
      </c>
      <c r="S291" s="2" t="s">
        <v>39</v>
      </c>
      <c r="T291" s="2" t="s">
        <v>39</v>
      </c>
      <c r="U291" s="2" t="s">
        <v>38</v>
      </c>
      <c r="V291" s="2" t="s">
        <v>39</v>
      </c>
      <c r="W291" s="2" t="s">
        <v>38</v>
      </c>
      <c r="X291" s="2" t="s">
        <v>39</v>
      </c>
      <c r="Y291" s="2" t="s">
        <v>38</v>
      </c>
      <c r="Z291" s="2" t="s">
        <v>38</v>
      </c>
      <c r="AA291" s="2" t="s">
        <v>38</v>
      </c>
      <c r="AB291" s="2" t="s">
        <v>39</v>
      </c>
      <c r="AC291" s="2" t="s">
        <v>39</v>
      </c>
      <c r="AD291" s="2" t="s">
        <v>38</v>
      </c>
      <c r="AE291" s="2" t="s">
        <v>38</v>
      </c>
    </row>
    <row r="292" spans="1:31" ht="409.5">
      <c r="A292" s="2">
        <v>2732275</v>
      </c>
      <c r="B292" s="2">
        <f>HYPERLINK("https://platform.v2.vetology.net/cases/2732275/screening-report/18?type=pdf&amp;v=v6&amp;scorecard=1&amp;secret_key=BX%25IJ%24%2F65ieZ%29f6", 2732275)</f>
        <v>2732275</v>
      </c>
      <c r="C292" s="2">
        <f>HYPERLINK("https://platform.v2.vetology.net/report/v/final/"&amp;2732275, 2732275)</f>
        <v>2732275</v>
      </c>
      <c r="D292" s="2" t="s">
        <v>1029</v>
      </c>
      <c r="E292" s="2" t="s">
        <v>1030</v>
      </c>
      <c r="F292" s="2" t="s">
        <v>1031</v>
      </c>
      <c r="G292" s="2" t="s">
        <v>82</v>
      </c>
      <c r="H292" s="2" t="s">
        <v>1032</v>
      </c>
      <c r="I292" s="2" t="s">
        <v>184</v>
      </c>
      <c r="J292" s="2" t="s">
        <v>185</v>
      </c>
      <c r="K292" s="2" t="s">
        <v>38</v>
      </c>
      <c r="L292" s="2" t="s">
        <v>38</v>
      </c>
      <c r="M292" s="2" t="s">
        <v>39</v>
      </c>
      <c r="N292" s="2" t="s">
        <v>39</v>
      </c>
      <c r="O292" s="2" t="s">
        <v>38</v>
      </c>
      <c r="P292" s="2" t="s">
        <v>38</v>
      </c>
      <c r="Q292" s="2" t="s">
        <v>38</v>
      </c>
      <c r="R292" s="2" t="s">
        <v>38</v>
      </c>
      <c r="S292" s="2" t="s">
        <v>38</v>
      </c>
      <c r="T292" s="2" t="s">
        <v>38</v>
      </c>
      <c r="U292" s="2" t="s">
        <v>38</v>
      </c>
      <c r="V292" s="2" t="s">
        <v>38</v>
      </c>
      <c r="W292" s="2" t="s">
        <v>38</v>
      </c>
      <c r="X292" s="2" t="s">
        <v>38</v>
      </c>
      <c r="Y292" s="2" t="s">
        <v>38</v>
      </c>
      <c r="Z292" s="2" t="s">
        <v>38</v>
      </c>
      <c r="AA292" s="2" t="s">
        <v>38</v>
      </c>
      <c r="AB292" s="2" t="s">
        <v>39</v>
      </c>
      <c r="AC292" s="2" t="s">
        <v>38</v>
      </c>
      <c r="AD292" s="2" t="s">
        <v>38</v>
      </c>
      <c r="AE292" s="2" t="s">
        <v>38</v>
      </c>
    </row>
    <row r="293" spans="1:31" ht="409.5">
      <c r="A293" s="2">
        <v>2732267</v>
      </c>
      <c r="B293" s="2">
        <f>HYPERLINK("https://platform.v2.vetology.net/cases/2732267/screening-report/18?type=pdf&amp;v=v6&amp;scorecard=1&amp;secret_key=BX%25IJ%24%2F65ieZ%29f6", 2732267)</f>
        <v>2732267</v>
      </c>
      <c r="C293" s="2">
        <f>HYPERLINK("https://platform.v2.vetology.net/report/v/final/"&amp;2732267, 2732267)</f>
        <v>2732267</v>
      </c>
      <c r="D293" s="2" t="s">
        <v>1033</v>
      </c>
      <c r="E293" s="2" t="s">
        <v>1034</v>
      </c>
      <c r="F293" s="2" t="s">
        <v>81</v>
      </c>
      <c r="G293" s="2" t="s">
        <v>82</v>
      </c>
      <c r="H293" s="2" t="s">
        <v>54</v>
      </c>
      <c r="I293" s="2" t="s">
        <v>44</v>
      </c>
      <c r="J293" s="2" t="s">
        <v>106</v>
      </c>
      <c r="K293" s="2" t="s">
        <v>38</v>
      </c>
      <c r="L293" s="2" t="s">
        <v>38</v>
      </c>
      <c r="M293" s="2" t="s">
        <v>39</v>
      </c>
      <c r="N293" s="2" t="s">
        <v>38</v>
      </c>
      <c r="O293" s="2" t="s">
        <v>39</v>
      </c>
      <c r="P293" s="2" t="s">
        <v>39</v>
      </c>
      <c r="Q293" s="2" t="s">
        <v>39</v>
      </c>
      <c r="R293" s="2" t="s">
        <v>38</v>
      </c>
      <c r="S293" s="2" t="s">
        <v>38</v>
      </c>
      <c r="T293" s="2" t="s">
        <v>38</v>
      </c>
      <c r="U293" s="2" t="s">
        <v>39</v>
      </c>
      <c r="V293" s="2" t="s">
        <v>38</v>
      </c>
      <c r="W293" s="2" t="s">
        <v>38</v>
      </c>
      <c r="X293" s="2" t="s">
        <v>38</v>
      </c>
      <c r="Y293" s="2" t="s">
        <v>38</v>
      </c>
      <c r="Z293" s="2" t="s">
        <v>39</v>
      </c>
      <c r="AA293" s="2" t="s">
        <v>38</v>
      </c>
      <c r="AB293" s="2" t="s">
        <v>39</v>
      </c>
      <c r="AC293" s="2" t="s">
        <v>38</v>
      </c>
      <c r="AD293" s="2" t="s">
        <v>38</v>
      </c>
      <c r="AE293" s="2" t="s">
        <v>38</v>
      </c>
    </row>
    <row r="294" spans="1:31" ht="409.5">
      <c r="A294" s="2">
        <v>2732248</v>
      </c>
      <c r="B294" s="2">
        <f>HYPERLINK("https://platform.v2.vetology.net/cases/2732248/screening-report/18?type=pdf&amp;v=v6&amp;scorecard=1&amp;secret_key=BX%25IJ%24%2F65ieZ%29f6", 2732248)</f>
        <v>2732248</v>
      </c>
      <c r="C294" s="2">
        <f>HYPERLINK("https://platform.v2.vetology.net/report/v/final/"&amp;2732248, 2732248)</f>
        <v>2732248</v>
      </c>
      <c r="D294" s="2" t="s">
        <v>1035</v>
      </c>
      <c r="E294" s="2" t="s">
        <v>1036</v>
      </c>
      <c r="F294" s="2"/>
      <c r="G294" s="2" t="s">
        <v>141</v>
      </c>
      <c r="H294" s="2" t="s">
        <v>54</v>
      </c>
      <c r="I294" s="2" t="s">
        <v>44</v>
      </c>
      <c r="J294" s="2"/>
      <c r="K294" s="2" t="s">
        <v>38</v>
      </c>
      <c r="L294" s="2" t="s">
        <v>38</v>
      </c>
      <c r="M294" s="2" t="s">
        <v>39</v>
      </c>
      <c r="N294" s="2" t="s">
        <v>38</v>
      </c>
      <c r="O294" s="2" t="s">
        <v>38</v>
      </c>
      <c r="P294" s="2" t="s">
        <v>39</v>
      </c>
      <c r="Q294" s="2" t="s">
        <v>38</v>
      </c>
      <c r="R294" s="2" t="s">
        <v>38</v>
      </c>
      <c r="S294" s="2" t="s">
        <v>38</v>
      </c>
      <c r="T294" s="2" t="s">
        <v>39</v>
      </c>
      <c r="U294" s="2" t="s">
        <v>38</v>
      </c>
      <c r="V294" s="2" t="s">
        <v>39</v>
      </c>
      <c r="W294" s="2" t="s">
        <v>38</v>
      </c>
      <c r="X294" s="2" t="s">
        <v>39</v>
      </c>
      <c r="Y294" s="2" t="s">
        <v>38</v>
      </c>
      <c r="Z294" s="2" t="s">
        <v>38</v>
      </c>
      <c r="AA294" s="2" t="s">
        <v>38</v>
      </c>
      <c r="AB294" s="2" t="s">
        <v>38</v>
      </c>
      <c r="AC294" s="2" t="s">
        <v>38</v>
      </c>
      <c r="AD294" s="2" t="s">
        <v>38</v>
      </c>
      <c r="AE294" s="2" t="s">
        <v>38</v>
      </c>
    </row>
    <row r="295" spans="1:31" ht="409.5">
      <c r="A295" s="2">
        <v>2732091</v>
      </c>
      <c r="B295" s="2">
        <f>HYPERLINK("https://platform.v2.vetology.net/cases/2732091/screening-report/18?type=pdf&amp;v=v6&amp;scorecard=1&amp;secret_key=BX%25IJ%24%2F65ieZ%29f6", 2732091)</f>
        <v>2732091</v>
      </c>
      <c r="C295" s="2">
        <f>HYPERLINK("https://platform.v2.vetology.net/report/v/final/"&amp;2732091, 2732091)</f>
        <v>2732091</v>
      </c>
      <c r="D295" s="2" t="s">
        <v>1037</v>
      </c>
      <c r="E295" s="2" t="s">
        <v>1038</v>
      </c>
      <c r="F295" s="2" t="s">
        <v>1039</v>
      </c>
      <c r="G295" s="2" t="s">
        <v>82</v>
      </c>
      <c r="H295" s="2" t="s">
        <v>54</v>
      </c>
      <c r="I295" s="2" t="s">
        <v>44</v>
      </c>
      <c r="J295" s="2"/>
      <c r="K295" s="2" t="s">
        <v>38</v>
      </c>
      <c r="L295" s="2" t="s">
        <v>38</v>
      </c>
      <c r="M295" s="2" t="s">
        <v>38</v>
      </c>
      <c r="N295" s="2" t="s">
        <v>38</v>
      </c>
      <c r="O295" s="2" t="s">
        <v>38</v>
      </c>
      <c r="P295" s="2" t="s">
        <v>38</v>
      </c>
      <c r="Q295" s="2" t="s">
        <v>38</v>
      </c>
      <c r="R295" s="2" t="s">
        <v>38</v>
      </c>
      <c r="S295" s="2" t="s">
        <v>38</v>
      </c>
      <c r="T295" s="2" t="s">
        <v>39</v>
      </c>
      <c r="U295" s="2" t="s">
        <v>38</v>
      </c>
      <c r="V295" s="2" t="s">
        <v>38</v>
      </c>
      <c r="W295" s="2" t="s">
        <v>38</v>
      </c>
      <c r="X295" s="2" t="s">
        <v>39</v>
      </c>
      <c r="Y295" s="2" t="s">
        <v>38</v>
      </c>
      <c r="Z295" s="2" t="s">
        <v>39</v>
      </c>
      <c r="AA295" s="2" t="s">
        <v>38</v>
      </c>
      <c r="AB295" s="2" t="s">
        <v>38</v>
      </c>
      <c r="AC295" s="2" t="s">
        <v>38</v>
      </c>
      <c r="AD295" s="2" t="s">
        <v>38</v>
      </c>
      <c r="AE295" s="2" t="s">
        <v>38</v>
      </c>
    </row>
    <row r="296" spans="1:31" ht="409.5">
      <c r="A296" s="2">
        <v>2731840</v>
      </c>
      <c r="B296" s="2">
        <f>HYPERLINK("https://platform.v2.vetology.net/cases/2731840/screening-report/18?type=pdf&amp;v=v6&amp;scorecard=1&amp;secret_key=BX%25IJ%24%2F65ieZ%29f6", 2731840)</f>
        <v>2731840</v>
      </c>
      <c r="C296" s="2">
        <f>HYPERLINK("https://platform.v2.vetology.net/report/v/final/"&amp;2731840, 2731840)</f>
        <v>2731840</v>
      </c>
      <c r="D296" s="2" t="s">
        <v>1040</v>
      </c>
      <c r="E296" s="2" t="s">
        <v>1041</v>
      </c>
      <c r="F296" s="2" t="s">
        <v>81</v>
      </c>
      <c r="G296" s="2" t="s">
        <v>150</v>
      </c>
      <c r="H296" s="2" t="s">
        <v>1042</v>
      </c>
      <c r="I296" s="2" t="s">
        <v>214</v>
      </c>
      <c r="J296" s="2" t="s">
        <v>50</v>
      </c>
      <c r="K296" s="2" t="s">
        <v>38</v>
      </c>
      <c r="L296" s="2" t="s">
        <v>38</v>
      </c>
      <c r="M296" s="2" t="s">
        <v>38</v>
      </c>
      <c r="N296" s="2" t="s">
        <v>38</v>
      </c>
      <c r="O296" s="2" t="s">
        <v>38</v>
      </c>
      <c r="P296" s="2" t="s">
        <v>38</v>
      </c>
      <c r="Q296" s="2" t="s">
        <v>38</v>
      </c>
      <c r="R296" s="2" t="s">
        <v>38</v>
      </c>
      <c r="S296" s="2" t="s">
        <v>38</v>
      </c>
      <c r="T296" s="2" t="s">
        <v>38</v>
      </c>
      <c r="U296" s="2" t="s">
        <v>39</v>
      </c>
      <c r="V296" s="2" t="s">
        <v>38</v>
      </c>
      <c r="W296" s="2" t="s">
        <v>38</v>
      </c>
      <c r="X296" s="2" t="s">
        <v>38</v>
      </c>
      <c r="Y296" s="2" t="s">
        <v>38</v>
      </c>
      <c r="Z296" s="2" t="s">
        <v>38</v>
      </c>
      <c r="AA296" s="2" t="s">
        <v>38</v>
      </c>
      <c r="AB296" s="2" t="s">
        <v>39</v>
      </c>
      <c r="AC296" s="2" t="s">
        <v>38</v>
      </c>
      <c r="AD296" s="2" t="s">
        <v>38</v>
      </c>
      <c r="AE296" s="2" t="s">
        <v>38</v>
      </c>
    </row>
    <row r="297" spans="1:31" ht="409.5">
      <c r="A297" s="2">
        <v>2731538</v>
      </c>
      <c r="B297" s="2">
        <f>HYPERLINK("https://platform.v2.vetology.net/cases/2731538/screening-report/18?type=pdf&amp;v=v6&amp;scorecard=1&amp;secret_key=BX%25IJ%24%2F65ieZ%29f6", 2731538)</f>
        <v>2731538</v>
      </c>
      <c r="C297" s="2">
        <f>HYPERLINK("https://platform.v2.vetology.net/report/v/final/"&amp;2731538, 2731538)</f>
        <v>2731538</v>
      </c>
      <c r="D297" s="2" t="s">
        <v>1043</v>
      </c>
      <c r="E297" s="2" t="s">
        <v>1044</v>
      </c>
      <c r="F297" s="2" t="s">
        <v>1045</v>
      </c>
      <c r="G297" s="2" t="s">
        <v>135</v>
      </c>
      <c r="H297" s="2" t="s">
        <v>78</v>
      </c>
      <c r="I297" s="2" t="s">
        <v>44</v>
      </c>
      <c r="J297" s="2" t="s">
        <v>106</v>
      </c>
      <c r="K297" s="2" t="s">
        <v>38</v>
      </c>
      <c r="L297" s="2" t="s">
        <v>38</v>
      </c>
      <c r="M297" s="2" t="s">
        <v>38</v>
      </c>
      <c r="N297" s="2" t="s">
        <v>38</v>
      </c>
      <c r="O297" s="2" t="s">
        <v>38</v>
      </c>
      <c r="P297" s="2" t="s">
        <v>38</v>
      </c>
      <c r="Q297" s="2" t="s">
        <v>38</v>
      </c>
      <c r="R297" s="2" t="s">
        <v>38</v>
      </c>
      <c r="S297" s="2" t="s">
        <v>38</v>
      </c>
      <c r="T297" s="2" t="s">
        <v>39</v>
      </c>
      <c r="U297" s="2" t="s">
        <v>38</v>
      </c>
      <c r="V297" s="2" t="s">
        <v>38</v>
      </c>
      <c r="W297" s="2" t="s">
        <v>38</v>
      </c>
      <c r="X297" s="2" t="s">
        <v>39</v>
      </c>
      <c r="Y297" s="2" t="s">
        <v>38</v>
      </c>
      <c r="Z297" s="2" t="s">
        <v>38</v>
      </c>
      <c r="AA297" s="2" t="s">
        <v>38</v>
      </c>
      <c r="AB297" s="2" t="s">
        <v>39</v>
      </c>
      <c r="AC297" s="2" t="s">
        <v>38</v>
      </c>
      <c r="AD297" s="2" t="s">
        <v>38</v>
      </c>
      <c r="AE297" s="2" t="s">
        <v>38</v>
      </c>
    </row>
    <row r="298" spans="1:31" ht="409.5">
      <c r="A298" s="2">
        <v>2731472</v>
      </c>
      <c r="B298" s="2">
        <f>HYPERLINK("https://platform.v2.vetology.net/cases/2731472/screening-report/18?type=pdf&amp;v=v6&amp;scorecard=1&amp;secret_key=BX%25IJ%24%2F65ieZ%29f6", 2731472)</f>
        <v>2731472</v>
      </c>
      <c r="C298" s="2">
        <f>HYPERLINK("https://platform.v2.vetology.net/report/v/final/"&amp;2731472, 2731472)</f>
        <v>2731472</v>
      </c>
      <c r="D298" s="2" t="s">
        <v>1046</v>
      </c>
      <c r="E298" s="2" t="s">
        <v>1047</v>
      </c>
      <c r="F298" s="2" t="s">
        <v>1048</v>
      </c>
      <c r="G298" s="2" t="s">
        <v>82</v>
      </c>
      <c r="H298" s="2" t="s">
        <v>1049</v>
      </c>
      <c r="I298" s="2" t="s">
        <v>214</v>
      </c>
      <c r="J298" s="2" t="s">
        <v>50</v>
      </c>
      <c r="K298" s="2" t="s">
        <v>38</v>
      </c>
      <c r="L298" s="2" t="s">
        <v>39</v>
      </c>
      <c r="M298" s="2" t="s">
        <v>39</v>
      </c>
      <c r="N298" s="2" t="s">
        <v>38</v>
      </c>
      <c r="O298" s="2" t="s">
        <v>38</v>
      </c>
      <c r="P298" s="2" t="s">
        <v>38</v>
      </c>
      <c r="Q298" s="2" t="s">
        <v>38</v>
      </c>
      <c r="R298" s="2" t="s">
        <v>38</v>
      </c>
      <c r="S298" s="2" t="s">
        <v>38</v>
      </c>
      <c r="T298" s="2" t="s">
        <v>38</v>
      </c>
      <c r="U298" s="2" t="s">
        <v>38</v>
      </c>
      <c r="V298" s="2" t="s">
        <v>38</v>
      </c>
      <c r="W298" s="2" t="s">
        <v>38</v>
      </c>
      <c r="X298" s="2" t="s">
        <v>38</v>
      </c>
      <c r="Y298" s="2" t="s">
        <v>38</v>
      </c>
      <c r="Z298" s="2" t="s">
        <v>38</v>
      </c>
      <c r="AA298" s="2" t="s">
        <v>38</v>
      </c>
      <c r="AB298" s="2" t="s">
        <v>38</v>
      </c>
      <c r="AC298" s="2" t="s">
        <v>38</v>
      </c>
      <c r="AD298" s="2" t="s">
        <v>38</v>
      </c>
      <c r="AE298" s="2" t="s">
        <v>38</v>
      </c>
    </row>
    <row r="299" spans="1:31" ht="409.5">
      <c r="A299" s="2">
        <v>2731459</v>
      </c>
      <c r="B299" s="2">
        <f>HYPERLINK("https://platform.v2.vetology.net/cases/2731459/screening-report/18?type=pdf&amp;v=v6&amp;scorecard=1&amp;secret_key=BX%25IJ%24%2F65ieZ%29f6", 2731459)</f>
        <v>2731459</v>
      </c>
      <c r="C299" s="2">
        <f>HYPERLINK("https://platform.v2.vetology.net/report/v/final/"&amp;2731459, 2731459)</f>
        <v>2731459</v>
      </c>
      <c r="D299" s="2" t="s">
        <v>1050</v>
      </c>
      <c r="E299" s="2" t="s">
        <v>1051</v>
      </c>
      <c r="F299" s="2" t="s">
        <v>455</v>
      </c>
      <c r="G299" s="2" t="s">
        <v>58</v>
      </c>
      <c r="H299" s="2" t="s">
        <v>937</v>
      </c>
      <c r="I299" s="2" t="s">
        <v>418</v>
      </c>
      <c r="J299" s="2" t="s">
        <v>419</v>
      </c>
      <c r="K299" s="2" t="s">
        <v>38</v>
      </c>
      <c r="L299" s="2" t="s">
        <v>38</v>
      </c>
      <c r="M299" s="2" t="s">
        <v>39</v>
      </c>
      <c r="N299" s="2" t="s">
        <v>38</v>
      </c>
      <c r="O299" s="2" t="s">
        <v>38</v>
      </c>
      <c r="P299" s="2" t="s">
        <v>38</v>
      </c>
      <c r="Q299" s="2" t="s">
        <v>38</v>
      </c>
      <c r="R299" s="2" t="s">
        <v>38</v>
      </c>
      <c r="S299" s="2" t="s">
        <v>38</v>
      </c>
      <c r="T299" s="2" t="s">
        <v>39</v>
      </c>
      <c r="U299" s="2" t="s">
        <v>39</v>
      </c>
      <c r="V299" s="2" t="s">
        <v>38</v>
      </c>
      <c r="W299" s="2" t="s">
        <v>38</v>
      </c>
      <c r="X299" s="2" t="s">
        <v>39</v>
      </c>
      <c r="Y299" s="2" t="s">
        <v>38</v>
      </c>
      <c r="Z299" s="2" t="s">
        <v>38</v>
      </c>
      <c r="AA299" s="2" t="s">
        <v>38</v>
      </c>
      <c r="AB299" s="2" t="s">
        <v>38</v>
      </c>
      <c r="AC299" s="2" t="s">
        <v>38</v>
      </c>
      <c r="AD299" s="2" t="s">
        <v>38</v>
      </c>
      <c r="AE299" s="2" t="s">
        <v>38</v>
      </c>
    </row>
    <row r="300" spans="1:31" ht="409.5">
      <c r="A300" s="2">
        <v>2731326</v>
      </c>
      <c r="B300" s="2">
        <f>HYPERLINK("https://platform.v2.vetology.net/cases/2731326/screening-report/18?type=pdf&amp;v=v6&amp;scorecard=1&amp;secret_key=BX%25IJ%24%2F65ieZ%29f6", 2731326)</f>
        <v>2731326</v>
      </c>
      <c r="C300" s="2">
        <f>HYPERLINK("https://platform.v2.vetology.net/report/v/final/"&amp;2731326, 2731326)</f>
        <v>2731326</v>
      </c>
      <c r="D300" s="2" t="s">
        <v>1052</v>
      </c>
      <c r="E300" s="2" t="s">
        <v>1053</v>
      </c>
      <c r="F300" s="2" t="s">
        <v>1054</v>
      </c>
      <c r="G300" s="2" t="s">
        <v>58</v>
      </c>
      <c r="H300" s="2" t="s">
        <v>54</v>
      </c>
      <c r="I300" s="2" t="s">
        <v>44</v>
      </c>
      <c r="J300" s="2" t="s">
        <v>106</v>
      </c>
      <c r="K300" s="2" t="s">
        <v>38</v>
      </c>
      <c r="L300" s="2" t="s">
        <v>39</v>
      </c>
      <c r="M300" s="2" t="s">
        <v>38</v>
      </c>
      <c r="N300" s="2" t="s">
        <v>38</v>
      </c>
      <c r="O300" s="2" t="s">
        <v>38</v>
      </c>
      <c r="P300" s="2" t="s">
        <v>38</v>
      </c>
      <c r="Q300" s="2" t="s">
        <v>38</v>
      </c>
      <c r="R300" s="2" t="s">
        <v>38</v>
      </c>
      <c r="S300" s="2" t="s">
        <v>38</v>
      </c>
      <c r="T300" s="2" t="s">
        <v>38</v>
      </c>
      <c r="U300" s="2" t="s">
        <v>38</v>
      </c>
      <c r="V300" s="2" t="s">
        <v>38</v>
      </c>
      <c r="W300" s="2" t="s">
        <v>38</v>
      </c>
      <c r="X300" s="2" t="s">
        <v>38</v>
      </c>
      <c r="Y300" s="2" t="s">
        <v>38</v>
      </c>
      <c r="Z300" s="2" t="s">
        <v>39</v>
      </c>
      <c r="AA300" s="2" t="s">
        <v>38</v>
      </c>
      <c r="AB300" s="2" t="s">
        <v>38</v>
      </c>
      <c r="AC300" s="2" t="s">
        <v>38</v>
      </c>
      <c r="AD300" s="2" t="s">
        <v>38</v>
      </c>
      <c r="AE300" s="2" t="s">
        <v>38</v>
      </c>
    </row>
    <row r="301" spans="1:31" ht="409.5">
      <c r="A301" s="2">
        <v>2731246</v>
      </c>
      <c r="B301" s="2">
        <f>HYPERLINK("https://platform.v2.vetology.net/cases/2731246/screening-report/18?type=pdf&amp;v=v6&amp;scorecard=1&amp;secret_key=BX%25IJ%24%2F65ieZ%29f6", 2731246)</f>
        <v>2731246</v>
      </c>
      <c r="C301" s="2">
        <f>HYPERLINK("https://platform.v2.vetology.net/report/v/final/"&amp;2731246, 2731246)</f>
        <v>2731246</v>
      </c>
      <c r="D301" s="2" t="s">
        <v>1055</v>
      </c>
      <c r="E301" s="2" t="s">
        <v>1056</v>
      </c>
      <c r="F301" s="2" t="s">
        <v>1057</v>
      </c>
      <c r="G301" s="2" t="s">
        <v>34</v>
      </c>
      <c r="H301" s="2" t="s">
        <v>723</v>
      </c>
      <c r="I301" s="2" t="s">
        <v>44</v>
      </c>
      <c r="J301" s="2"/>
      <c r="K301" s="2" t="s">
        <v>38</v>
      </c>
      <c r="L301" s="2" t="s">
        <v>38</v>
      </c>
      <c r="M301" s="2" t="s">
        <v>39</v>
      </c>
      <c r="N301" s="2" t="s">
        <v>38</v>
      </c>
      <c r="O301" s="2" t="s">
        <v>38</v>
      </c>
      <c r="P301" s="2" t="s">
        <v>38</v>
      </c>
      <c r="Q301" s="2" t="s">
        <v>38</v>
      </c>
      <c r="R301" s="2" t="s">
        <v>38</v>
      </c>
      <c r="S301" s="2" t="s">
        <v>38</v>
      </c>
      <c r="T301" s="2" t="s">
        <v>39</v>
      </c>
      <c r="U301" s="2" t="s">
        <v>38</v>
      </c>
      <c r="V301" s="2" t="s">
        <v>39</v>
      </c>
      <c r="W301" s="2" t="s">
        <v>38</v>
      </c>
      <c r="X301" s="2" t="s">
        <v>39</v>
      </c>
      <c r="Y301" s="2" t="s">
        <v>38</v>
      </c>
      <c r="Z301" s="2" t="s">
        <v>38</v>
      </c>
      <c r="AA301" s="2" t="s">
        <v>38</v>
      </c>
      <c r="AB301" s="2" t="s">
        <v>38</v>
      </c>
      <c r="AC301" s="2" t="s">
        <v>38</v>
      </c>
      <c r="AD301" s="2" t="s">
        <v>38</v>
      </c>
      <c r="AE301" s="2" t="s">
        <v>38</v>
      </c>
    </row>
    <row r="302" spans="1:31" ht="409.5">
      <c r="A302" s="2">
        <v>2731227</v>
      </c>
      <c r="B302" s="2">
        <f>HYPERLINK("https://platform.v2.vetology.net/cases/2731227/screening-report/18?type=pdf&amp;v=v6&amp;scorecard=1&amp;secret_key=BX%25IJ%24%2F65ieZ%29f6", 2731227)</f>
        <v>2731227</v>
      </c>
      <c r="C302" s="2">
        <f>HYPERLINK("https://platform.v2.vetology.net/report/v/final/"&amp;2731227, 2731227)</f>
        <v>2731227</v>
      </c>
      <c r="D302" s="2" t="s">
        <v>1058</v>
      </c>
      <c r="E302" s="2" t="s">
        <v>1059</v>
      </c>
      <c r="F302" s="2" t="s">
        <v>1060</v>
      </c>
      <c r="G302" s="2" t="s">
        <v>34</v>
      </c>
      <c r="H302" s="2" t="s">
        <v>226</v>
      </c>
      <c r="I302" s="2" t="s">
        <v>227</v>
      </c>
      <c r="J302" s="2" t="s">
        <v>228</v>
      </c>
      <c r="K302" s="2" t="s">
        <v>38</v>
      </c>
      <c r="L302" s="2" t="s">
        <v>39</v>
      </c>
      <c r="M302" s="2" t="s">
        <v>38</v>
      </c>
      <c r="N302" s="2" t="s">
        <v>39</v>
      </c>
      <c r="O302" s="2" t="s">
        <v>38</v>
      </c>
      <c r="P302" s="2" t="s">
        <v>39</v>
      </c>
      <c r="Q302" s="2" t="s">
        <v>38</v>
      </c>
      <c r="R302" s="2" t="s">
        <v>38</v>
      </c>
      <c r="S302" s="2" t="s">
        <v>38</v>
      </c>
      <c r="T302" s="2" t="s">
        <v>39</v>
      </c>
      <c r="U302" s="2" t="s">
        <v>38</v>
      </c>
      <c r="V302" s="2" t="s">
        <v>38</v>
      </c>
      <c r="W302" s="2" t="s">
        <v>38</v>
      </c>
      <c r="X302" s="2" t="s">
        <v>39</v>
      </c>
      <c r="Y302" s="2" t="s">
        <v>38</v>
      </c>
      <c r="Z302" s="2" t="s">
        <v>38</v>
      </c>
      <c r="AA302" s="2" t="s">
        <v>38</v>
      </c>
      <c r="AB302" s="2" t="s">
        <v>39</v>
      </c>
      <c r="AC302" s="2" t="s">
        <v>39</v>
      </c>
      <c r="AD302" s="2" t="s">
        <v>38</v>
      </c>
      <c r="AE302" s="2" t="s">
        <v>38</v>
      </c>
    </row>
    <row r="303" spans="1:31" ht="409.5">
      <c r="A303" s="2">
        <v>2731149</v>
      </c>
      <c r="B303" s="2">
        <f>HYPERLINK("https://platform.v2.vetology.net/cases/2731149/screening-report/18?type=pdf&amp;v=v6&amp;scorecard=1&amp;secret_key=BX%25IJ%24%2F65ieZ%29f6", 2731149)</f>
        <v>2731149</v>
      </c>
      <c r="C303" s="2">
        <f>HYPERLINK("https://platform.v2.vetology.net/report/v/final/"&amp;2731149, 2731149)</f>
        <v>2731149</v>
      </c>
      <c r="D303" s="2" t="s">
        <v>1061</v>
      </c>
      <c r="E303" s="2" t="s">
        <v>1062</v>
      </c>
      <c r="F303" s="2" t="s">
        <v>1063</v>
      </c>
      <c r="G303" s="2" t="s">
        <v>58</v>
      </c>
      <c r="H303" s="2" t="s">
        <v>1064</v>
      </c>
      <c r="I303" s="2" t="s">
        <v>214</v>
      </c>
      <c r="J303" s="2" t="s">
        <v>50</v>
      </c>
      <c r="K303" s="2" t="s">
        <v>38</v>
      </c>
      <c r="L303" s="2" t="s">
        <v>39</v>
      </c>
      <c r="M303" s="2" t="s">
        <v>39</v>
      </c>
      <c r="N303" s="2" t="s">
        <v>38</v>
      </c>
      <c r="O303" s="2" t="s">
        <v>39</v>
      </c>
      <c r="P303" s="2" t="s">
        <v>39</v>
      </c>
      <c r="Q303" s="2" t="s">
        <v>38</v>
      </c>
      <c r="R303" s="2" t="s">
        <v>38</v>
      </c>
      <c r="S303" s="2" t="s">
        <v>38</v>
      </c>
      <c r="T303" s="2" t="s">
        <v>39</v>
      </c>
      <c r="U303" s="2" t="s">
        <v>39</v>
      </c>
      <c r="V303" s="2" t="s">
        <v>38</v>
      </c>
      <c r="W303" s="2" t="s">
        <v>38</v>
      </c>
      <c r="X303" s="2" t="s">
        <v>39</v>
      </c>
      <c r="Y303" s="2" t="s">
        <v>38</v>
      </c>
      <c r="Z303" s="2" t="s">
        <v>39</v>
      </c>
      <c r="AA303" s="2" t="s">
        <v>38</v>
      </c>
      <c r="AB303" s="2" t="s">
        <v>39</v>
      </c>
      <c r="AC303" s="2" t="s">
        <v>39</v>
      </c>
      <c r="AD303" s="2" t="s">
        <v>38</v>
      </c>
      <c r="AE303" s="2" t="s">
        <v>38</v>
      </c>
    </row>
    <row r="304" spans="1:31" ht="409.5">
      <c r="A304" s="2">
        <v>2730978</v>
      </c>
      <c r="B304" s="2">
        <f>HYPERLINK("https://platform.v2.vetology.net/cases/2730978/screening-report/18?type=pdf&amp;v=v6&amp;scorecard=1&amp;secret_key=BX%25IJ%24%2F65ieZ%29f6", 2730978)</f>
        <v>2730978</v>
      </c>
      <c r="C304" s="2">
        <f>HYPERLINK("https://platform.v2.vetology.net/report/v/final/"&amp;2730978, 2730978)</f>
        <v>2730978</v>
      </c>
      <c r="D304" s="2" t="s">
        <v>1065</v>
      </c>
      <c r="E304" s="2" t="s">
        <v>1066</v>
      </c>
      <c r="F304" s="2" t="s">
        <v>81</v>
      </c>
      <c r="G304" s="2" t="s">
        <v>150</v>
      </c>
      <c r="H304" s="2" t="s">
        <v>71</v>
      </c>
      <c r="I304" s="2" t="s">
        <v>44</v>
      </c>
      <c r="J304" s="2" t="s">
        <v>106</v>
      </c>
      <c r="K304" s="2" t="s">
        <v>38</v>
      </c>
      <c r="L304" s="2" t="s">
        <v>38</v>
      </c>
      <c r="M304" s="2" t="s">
        <v>38</v>
      </c>
      <c r="N304" s="2" t="s">
        <v>38</v>
      </c>
      <c r="O304" s="2" t="s">
        <v>38</v>
      </c>
      <c r="P304" s="2" t="s">
        <v>38</v>
      </c>
      <c r="Q304" s="2" t="s">
        <v>38</v>
      </c>
      <c r="R304" s="2" t="s">
        <v>38</v>
      </c>
      <c r="S304" s="2" t="s">
        <v>38</v>
      </c>
      <c r="T304" s="2" t="s">
        <v>38</v>
      </c>
      <c r="U304" s="2" t="s">
        <v>38</v>
      </c>
      <c r="V304" s="2" t="s">
        <v>38</v>
      </c>
      <c r="W304" s="2" t="s">
        <v>38</v>
      </c>
      <c r="X304" s="2" t="s">
        <v>38</v>
      </c>
      <c r="Y304" s="2" t="s">
        <v>38</v>
      </c>
      <c r="Z304" s="2" t="s">
        <v>38</v>
      </c>
      <c r="AA304" s="2" t="s">
        <v>38</v>
      </c>
      <c r="AB304" s="2" t="s">
        <v>39</v>
      </c>
      <c r="AC304" s="2" t="s">
        <v>38</v>
      </c>
      <c r="AD304" s="2" t="s">
        <v>38</v>
      </c>
      <c r="AE304" s="2" t="s">
        <v>38</v>
      </c>
    </row>
    <row r="305" spans="1:31" ht="409.5">
      <c r="A305" s="2">
        <v>2730932</v>
      </c>
      <c r="B305" s="2">
        <f>HYPERLINK("https://platform.v2.vetology.net/cases/2730932/screening-report/18?type=pdf&amp;v=v6&amp;scorecard=1&amp;secret_key=BX%25IJ%24%2F65ieZ%29f6", 2730932)</f>
        <v>2730932</v>
      </c>
      <c r="C305" s="2">
        <f>HYPERLINK("https://platform.v2.vetology.net/report/v/final/"&amp;2730932, 2730932)</f>
        <v>2730932</v>
      </c>
      <c r="D305" s="2" t="s">
        <v>1067</v>
      </c>
      <c r="E305" s="2" t="s">
        <v>1068</v>
      </c>
      <c r="F305" s="2" t="s">
        <v>81</v>
      </c>
      <c r="G305" s="2" t="s">
        <v>150</v>
      </c>
      <c r="H305" s="2" t="s">
        <v>1069</v>
      </c>
      <c r="I305" s="2" t="s">
        <v>841</v>
      </c>
      <c r="J305" s="2" t="s">
        <v>518</v>
      </c>
      <c r="K305" s="2" t="s">
        <v>38</v>
      </c>
      <c r="L305" s="2" t="s">
        <v>38</v>
      </c>
      <c r="M305" s="2" t="s">
        <v>39</v>
      </c>
      <c r="N305" s="2" t="s">
        <v>38</v>
      </c>
      <c r="O305" s="2" t="s">
        <v>38</v>
      </c>
      <c r="P305" s="2" t="s">
        <v>39</v>
      </c>
      <c r="Q305" s="2" t="s">
        <v>38</v>
      </c>
      <c r="R305" s="2" t="s">
        <v>38</v>
      </c>
      <c r="S305" s="2" t="s">
        <v>38</v>
      </c>
      <c r="T305" s="2" t="s">
        <v>39</v>
      </c>
      <c r="U305" s="2" t="s">
        <v>38</v>
      </c>
      <c r="V305" s="2" t="s">
        <v>39</v>
      </c>
      <c r="W305" s="2" t="s">
        <v>38</v>
      </c>
      <c r="X305" s="2" t="s">
        <v>39</v>
      </c>
      <c r="Y305" s="2" t="s">
        <v>38</v>
      </c>
      <c r="Z305" s="2" t="s">
        <v>38</v>
      </c>
      <c r="AA305" s="2" t="s">
        <v>38</v>
      </c>
      <c r="AB305" s="2" t="s">
        <v>39</v>
      </c>
      <c r="AC305" s="2" t="s">
        <v>39</v>
      </c>
      <c r="AD305" s="2" t="s">
        <v>38</v>
      </c>
      <c r="AE305" s="2" t="s">
        <v>39</v>
      </c>
    </row>
    <row r="306" spans="1:31" ht="409.5">
      <c r="A306" s="2">
        <v>2730805</v>
      </c>
      <c r="B306" s="2">
        <f>HYPERLINK("https://platform.v2.vetology.net/cases/2730805/screening-report/18?type=pdf&amp;v=v6&amp;scorecard=1&amp;secret_key=BX%25IJ%24%2F65ieZ%29f6", 2730805)</f>
        <v>2730805</v>
      </c>
      <c r="C306" s="2">
        <f>HYPERLINK("https://platform.v2.vetology.net/report/v/final/"&amp;2730805, 2730805)</f>
        <v>2730805</v>
      </c>
      <c r="D306" s="2" t="s">
        <v>1070</v>
      </c>
      <c r="E306" s="2" t="s">
        <v>1071</v>
      </c>
      <c r="F306" s="2" t="s">
        <v>1072</v>
      </c>
      <c r="G306" s="2" t="s">
        <v>63</v>
      </c>
      <c r="H306" s="2" t="s">
        <v>166</v>
      </c>
      <c r="I306" s="2" t="s">
        <v>167</v>
      </c>
      <c r="J306" s="2" t="s">
        <v>168</v>
      </c>
      <c r="K306" s="2" t="s">
        <v>38</v>
      </c>
      <c r="L306" s="2" t="s">
        <v>39</v>
      </c>
      <c r="M306" s="2" t="s">
        <v>38</v>
      </c>
      <c r="N306" s="2" t="s">
        <v>38</v>
      </c>
      <c r="O306" s="2" t="s">
        <v>38</v>
      </c>
      <c r="P306" s="2" t="s">
        <v>38</v>
      </c>
      <c r="Q306" s="2" t="s">
        <v>38</v>
      </c>
      <c r="R306" s="2" t="s">
        <v>38</v>
      </c>
      <c r="S306" s="2" t="s">
        <v>39</v>
      </c>
      <c r="T306" s="2" t="s">
        <v>38</v>
      </c>
      <c r="U306" s="2" t="s">
        <v>38</v>
      </c>
      <c r="V306" s="2" t="s">
        <v>38</v>
      </c>
      <c r="W306" s="2" t="s">
        <v>38</v>
      </c>
      <c r="X306" s="2" t="s">
        <v>38</v>
      </c>
      <c r="Y306" s="2" t="s">
        <v>38</v>
      </c>
      <c r="Z306" s="2" t="s">
        <v>38</v>
      </c>
      <c r="AA306" s="2" t="s">
        <v>38</v>
      </c>
      <c r="AB306" s="2" t="s">
        <v>38</v>
      </c>
      <c r="AC306" s="2" t="s">
        <v>38</v>
      </c>
      <c r="AD306" s="2" t="s">
        <v>38</v>
      </c>
      <c r="AE306" s="2" t="s">
        <v>38</v>
      </c>
    </row>
    <row r="307" spans="1:31" ht="409.5">
      <c r="A307" s="2">
        <v>2730773</v>
      </c>
      <c r="B307" s="2">
        <f>HYPERLINK("https://platform.v2.vetology.net/cases/2730773/screening-report/18?type=pdf&amp;v=v6&amp;scorecard=1&amp;secret_key=BX%25IJ%24%2F65ieZ%29f6", 2730773)</f>
        <v>2730773</v>
      </c>
      <c r="C307" s="2">
        <f>HYPERLINK("https://platform.v2.vetology.net/report/v/final/"&amp;2730773, 2730773)</f>
        <v>2730773</v>
      </c>
      <c r="D307" s="2" t="s">
        <v>1073</v>
      </c>
      <c r="E307" s="2" t="s">
        <v>1074</v>
      </c>
      <c r="F307" s="2" t="s">
        <v>1075</v>
      </c>
      <c r="G307" s="2" t="s">
        <v>70</v>
      </c>
      <c r="H307" s="2" t="s">
        <v>762</v>
      </c>
      <c r="I307" s="2" t="s">
        <v>184</v>
      </c>
      <c r="J307" s="2" t="s">
        <v>185</v>
      </c>
      <c r="K307" s="2" t="s">
        <v>38</v>
      </c>
      <c r="L307" s="2" t="s">
        <v>38</v>
      </c>
      <c r="M307" s="2" t="s">
        <v>38</v>
      </c>
      <c r="N307" s="2" t="s">
        <v>38</v>
      </c>
      <c r="O307" s="2" t="s">
        <v>38</v>
      </c>
      <c r="P307" s="2" t="s">
        <v>38</v>
      </c>
      <c r="Q307" s="2" t="s">
        <v>38</v>
      </c>
      <c r="R307" s="2" t="s">
        <v>38</v>
      </c>
      <c r="S307" s="2" t="s">
        <v>38</v>
      </c>
      <c r="T307" s="2" t="s">
        <v>38</v>
      </c>
      <c r="U307" s="2" t="s">
        <v>38</v>
      </c>
      <c r="V307" s="2" t="s">
        <v>38</v>
      </c>
      <c r="W307" s="2" t="s">
        <v>38</v>
      </c>
      <c r="X307" s="2" t="s">
        <v>38</v>
      </c>
      <c r="Y307" s="2" t="s">
        <v>38</v>
      </c>
      <c r="Z307" s="2" t="s">
        <v>38</v>
      </c>
      <c r="AA307" s="2" t="s">
        <v>38</v>
      </c>
      <c r="AB307" s="2" t="s">
        <v>39</v>
      </c>
      <c r="AC307" s="2" t="s">
        <v>38</v>
      </c>
      <c r="AD307" s="2" t="s">
        <v>38</v>
      </c>
      <c r="AE307" s="2" t="s">
        <v>38</v>
      </c>
    </row>
    <row r="308" spans="1:31" ht="409.5">
      <c r="A308" s="2">
        <v>2730652</v>
      </c>
      <c r="B308" s="2">
        <f>HYPERLINK("https://platform.v2.vetology.net/cases/2730652/screening-report/18?type=pdf&amp;v=v6&amp;scorecard=1&amp;secret_key=BX%25IJ%24%2F65ieZ%29f6", 2730652)</f>
        <v>2730652</v>
      </c>
      <c r="C308" s="2">
        <f>HYPERLINK("https://platform.v2.vetology.net/report/v/final/"&amp;2730652, 2730652)</f>
        <v>2730652</v>
      </c>
      <c r="D308" s="2" t="s">
        <v>1076</v>
      </c>
      <c r="E308" s="2" t="s">
        <v>1077</v>
      </c>
      <c r="F308" s="2" t="s">
        <v>1078</v>
      </c>
      <c r="G308" s="2" t="s">
        <v>63</v>
      </c>
      <c r="H308" s="2" t="s">
        <v>1079</v>
      </c>
      <c r="I308" s="2" t="s">
        <v>190</v>
      </c>
      <c r="J308" s="2" t="s">
        <v>112</v>
      </c>
      <c r="K308" s="2" t="s">
        <v>39</v>
      </c>
      <c r="L308" s="2" t="s">
        <v>39</v>
      </c>
      <c r="M308" s="2" t="s">
        <v>39</v>
      </c>
      <c r="N308" s="2" t="s">
        <v>39</v>
      </c>
      <c r="O308" s="2" t="s">
        <v>39</v>
      </c>
      <c r="P308" s="2" t="s">
        <v>39</v>
      </c>
      <c r="Q308" s="2" t="s">
        <v>39</v>
      </c>
      <c r="R308" s="2" t="s">
        <v>39</v>
      </c>
      <c r="S308" s="2" t="s">
        <v>39</v>
      </c>
      <c r="T308" s="2" t="s">
        <v>39</v>
      </c>
      <c r="U308" s="2" t="s">
        <v>39</v>
      </c>
      <c r="V308" s="2" t="s">
        <v>39</v>
      </c>
      <c r="W308" s="2" t="s">
        <v>39</v>
      </c>
      <c r="X308" s="2" t="s">
        <v>39</v>
      </c>
      <c r="Y308" s="2" t="s">
        <v>39</v>
      </c>
      <c r="Z308" s="2" t="s">
        <v>39</v>
      </c>
      <c r="AA308" s="2" t="s">
        <v>39</v>
      </c>
      <c r="AB308" s="2" t="s">
        <v>39</v>
      </c>
      <c r="AC308" s="2" t="s">
        <v>39</v>
      </c>
      <c r="AD308" s="2" t="s">
        <v>39</v>
      </c>
      <c r="AE308" s="2" t="s">
        <v>39</v>
      </c>
    </row>
    <row r="309" spans="1:31" ht="409.5">
      <c r="A309" s="2">
        <v>2730603</v>
      </c>
      <c r="B309" s="2">
        <f>HYPERLINK("https://platform.v2.vetology.net/cases/2730603/screening-report/18?type=pdf&amp;v=v6&amp;scorecard=1&amp;secret_key=BX%25IJ%24%2F65ieZ%29f6", 2730603)</f>
        <v>2730603</v>
      </c>
      <c r="C309" s="2">
        <f>HYPERLINK("https://platform.v2.vetology.net/report/v/final/"&amp;2730603, 2730603)</f>
        <v>2730603</v>
      </c>
      <c r="D309" s="2" t="s">
        <v>1080</v>
      </c>
      <c r="E309" s="2" t="s">
        <v>1081</v>
      </c>
      <c r="F309" s="2" t="s">
        <v>81</v>
      </c>
      <c r="G309" s="2" t="s">
        <v>82</v>
      </c>
      <c r="H309" s="2" t="s">
        <v>54</v>
      </c>
      <c r="I309" s="2" t="s">
        <v>44</v>
      </c>
      <c r="J309" s="2" t="s">
        <v>106</v>
      </c>
      <c r="K309" s="2" t="s">
        <v>38</v>
      </c>
      <c r="L309" s="2" t="s">
        <v>39</v>
      </c>
      <c r="M309" s="2" t="s">
        <v>39</v>
      </c>
      <c r="N309" s="2" t="s">
        <v>38</v>
      </c>
      <c r="O309" s="2" t="s">
        <v>39</v>
      </c>
      <c r="P309" s="2" t="s">
        <v>38</v>
      </c>
      <c r="Q309" s="2" t="s">
        <v>38</v>
      </c>
      <c r="R309" s="2" t="s">
        <v>38</v>
      </c>
      <c r="S309" s="2" t="s">
        <v>38</v>
      </c>
      <c r="T309" s="2" t="s">
        <v>39</v>
      </c>
      <c r="U309" s="2" t="s">
        <v>38</v>
      </c>
      <c r="V309" s="2" t="s">
        <v>39</v>
      </c>
      <c r="W309" s="2" t="s">
        <v>38</v>
      </c>
      <c r="X309" s="2" t="s">
        <v>39</v>
      </c>
      <c r="Y309" s="2" t="s">
        <v>38</v>
      </c>
      <c r="Z309" s="2" t="s">
        <v>39</v>
      </c>
      <c r="AA309" s="2" t="s">
        <v>38</v>
      </c>
      <c r="AB309" s="2" t="s">
        <v>39</v>
      </c>
      <c r="AC309" s="2" t="s">
        <v>38</v>
      </c>
      <c r="AD309" s="2" t="s">
        <v>38</v>
      </c>
      <c r="AE309" s="2" t="s">
        <v>38</v>
      </c>
    </row>
    <row r="310" spans="1:31" ht="409.5">
      <c r="A310" s="2">
        <v>2730343</v>
      </c>
      <c r="B310" s="2">
        <f>HYPERLINK("https://platform.v2.vetology.net/cases/2730343/screening-report/18?type=pdf&amp;v=v6&amp;scorecard=1&amp;secret_key=BX%25IJ%24%2F65ieZ%29f6", 2730343)</f>
        <v>2730343</v>
      </c>
      <c r="C310" s="2">
        <f>HYPERLINK("https://platform.v2.vetology.net/report/v/final/"&amp;2730343, 2730343)</f>
        <v>2730343</v>
      </c>
      <c r="D310" s="2" t="s">
        <v>1082</v>
      </c>
      <c r="E310" s="2" t="s">
        <v>1083</v>
      </c>
      <c r="F310" s="2" t="s">
        <v>81</v>
      </c>
      <c r="G310" s="2" t="s">
        <v>82</v>
      </c>
      <c r="H310" s="2" t="s">
        <v>1084</v>
      </c>
      <c r="I310" s="2" t="s">
        <v>1085</v>
      </c>
      <c r="J310" s="2" t="s">
        <v>518</v>
      </c>
      <c r="K310" s="2" t="s">
        <v>38</v>
      </c>
      <c r="L310" s="2" t="s">
        <v>39</v>
      </c>
      <c r="M310" s="2" t="s">
        <v>39</v>
      </c>
      <c r="N310" s="2" t="s">
        <v>39</v>
      </c>
      <c r="O310" s="2" t="s">
        <v>39</v>
      </c>
      <c r="P310" s="2" t="s">
        <v>39</v>
      </c>
      <c r="Q310" s="2" t="s">
        <v>39</v>
      </c>
      <c r="R310" s="2" t="s">
        <v>39</v>
      </c>
      <c r="S310" s="2" t="s">
        <v>39</v>
      </c>
      <c r="T310" s="2" t="s">
        <v>39</v>
      </c>
      <c r="U310" s="2" t="s">
        <v>39</v>
      </c>
      <c r="V310" s="2" t="s">
        <v>39</v>
      </c>
      <c r="W310" s="2" t="s">
        <v>38</v>
      </c>
      <c r="X310" s="2" t="s">
        <v>39</v>
      </c>
      <c r="Y310" s="2" t="s">
        <v>38</v>
      </c>
      <c r="Z310" s="2" t="s">
        <v>39</v>
      </c>
      <c r="AA310" s="2" t="s">
        <v>39</v>
      </c>
      <c r="AB310" s="2" t="s">
        <v>39</v>
      </c>
      <c r="AC310" s="2" t="s">
        <v>39</v>
      </c>
      <c r="AD310" s="2" t="s">
        <v>38</v>
      </c>
      <c r="AE310" s="2" t="s">
        <v>39</v>
      </c>
    </row>
    <row r="311" spans="1:31" ht="409.5">
      <c r="A311" s="2">
        <v>2730239</v>
      </c>
      <c r="B311" s="2">
        <f>HYPERLINK("https://platform.v2.vetology.net/cases/2730239/screening-report/18?type=pdf&amp;v=v6&amp;scorecard=1&amp;secret_key=BX%25IJ%24%2F65ieZ%29f6", 2730239)</f>
        <v>2730239</v>
      </c>
      <c r="C311" s="2">
        <f>HYPERLINK("https://platform.v2.vetology.net/report/v/final/"&amp;2730239, 2730239)</f>
        <v>2730239</v>
      </c>
      <c r="D311" s="2" t="s">
        <v>1086</v>
      </c>
      <c r="E311" s="2" t="s">
        <v>1087</v>
      </c>
      <c r="F311" s="2" t="s">
        <v>81</v>
      </c>
      <c r="G311" s="2" t="s">
        <v>82</v>
      </c>
      <c r="H311" s="2" t="s">
        <v>557</v>
      </c>
      <c r="I311" s="2" t="s">
        <v>382</v>
      </c>
      <c r="J311" s="2" t="s">
        <v>710</v>
      </c>
      <c r="K311" s="2" t="s">
        <v>38</v>
      </c>
      <c r="L311" s="2" t="s">
        <v>39</v>
      </c>
      <c r="M311" s="2" t="s">
        <v>39</v>
      </c>
      <c r="N311" s="2" t="s">
        <v>39</v>
      </c>
      <c r="O311" s="2" t="s">
        <v>38</v>
      </c>
      <c r="P311" s="2" t="s">
        <v>38</v>
      </c>
      <c r="Q311" s="2" t="s">
        <v>39</v>
      </c>
      <c r="R311" s="2" t="s">
        <v>38</v>
      </c>
      <c r="S311" s="2" t="s">
        <v>38</v>
      </c>
      <c r="T311" s="2" t="s">
        <v>39</v>
      </c>
      <c r="U311" s="2" t="s">
        <v>38</v>
      </c>
      <c r="V311" s="2" t="s">
        <v>39</v>
      </c>
      <c r="W311" s="2" t="s">
        <v>38</v>
      </c>
      <c r="X311" s="2" t="s">
        <v>39</v>
      </c>
      <c r="Y311" s="2" t="s">
        <v>38</v>
      </c>
      <c r="Z311" s="2" t="s">
        <v>38</v>
      </c>
      <c r="AA311" s="2" t="s">
        <v>38</v>
      </c>
      <c r="AB311" s="2" t="s">
        <v>38</v>
      </c>
      <c r="AC311" s="2" t="s">
        <v>38</v>
      </c>
      <c r="AD311" s="2" t="s">
        <v>38</v>
      </c>
      <c r="AE311" s="2" t="s">
        <v>38</v>
      </c>
    </row>
    <row r="312" spans="1:31" ht="409.5">
      <c r="A312" s="2">
        <v>2730154</v>
      </c>
      <c r="B312" s="2">
        <f>HYPERLINK("https://platform.v2.vetology.net/cases/2730154/screening-report/18?type=pdf&amp;v=v6&amp;scorecard=1&amp;secret_key=BX%25IJ%24%2F65ieZ%29f6", 2730154)</f>
        <v>2730154</v>
      </c>
      <c r="C312" s="2">
        <f>HYPERLINK("https://platform.v2.vetology.net/report/v/final/"&amp;2730154, 2730154)</f>
        <v>2730154</v>
      </c>
      <c r="D312" s="2" t="s">
        <v>1088</v>
      </c>
      <c r="E312" s="2" t="s">
        <v>1089</v>
      </c>
      <c r="F312" s="2" t="s">
        <v>149</v>
      </c>
      <c r="G312" s="2" t="s">
        <v>150</v>
      </c>
      <c r="H312" s="2" t="s">
        <v>1090</v>
      </c>
      <c r="I312" s="2" t="s">
        <v>1091</v>
      </c>
      <c r="J312" s="2" t="s">
        <v>50</v>
      </c>
      <c r="K312" s="2" t="s">
        <v>38</v>
      </c>
      <c r="L312" s="2" t="s">
        <v>39</v>
      </c>
      <c r="M312" s="2" t="s">
        <v>39</v>
      </c>
      <c r="N312" s="2" t="s">
        <v>39</v>
      </c>
      <c r="O312" s="2" t="s">
        <v>39</v>
      </c>
      <c r="P312" s="2" t="s">
        <v>39</v>
      </c>
      <c r="Q312" s="2" t="s">
        <v>39</v>
      </c>
      <c r="R312" s="2" t="s">
        <v>38</v>
      </c>
      <c r="S312" s="2" t="s">
        <v>39</v>
      </c>
      <c r="T312" s="2" t="s">
        <v>39</v>
      </c>
      <c r="U312" s="2" t="s">
        <v>39</v>
      </c>
      <c r="V312" s="2" t="s">
        <v>39</v>
      </c>
      <c r="W312" s="2" t="s">
        <v>39</v>
      </c>
      <c r="X312" s="2" t="s">
        <v>39</v>
      </c>
      <c r="Y312" s="2" t="s">
        <v>38</v>
      </c>
      <c r="Z312" s="2" t="s">
        <v>39</v>
      </c>
      <c r="AA312" s="2" t="s">
        <v>39</v>
      </c>
      <c r="AB312" s="2" t="s">
        <v>39</v>
      </c>
      <c r="AC312" s="2" t="s">
        <v>39</v>
      </c>
      <c r="AD312" s="2" t="s">
        <v>38</v>
      </c>
      <c r="AE312" s="2" t="s">
        <v>38</v>
      </c>
    </row>
    <row r="313" spans="1:31" ht="409.5">
      <c r="A313" s="2">
        <v>2729990</v>
      </c>
      <c r="B313" s="2">
        <f>HYPERLINK("https://platform.v2.vetology.net/cases/2729990/screening-report/18?type=pdf&amp;v=v6&amp;scorecard=1&amp;secret_key=BX%25IJ%24%2F65ieZ%29f6", 2729990)</f>
        <v>2729990</v>
      </c>
      <c r="C313" s="2">
        <f>HYPERLINK("https://platform.v2.vetology.net/report/v/final/"&amp;2729990, 2729990)</f>
        <v>2729990</v>
      </c>
      <c r="D313" s="2" t="s">
        <v>1092</v>
      </c>
      <c r="E313" s="2" t="s">
        <v>1093</v>
      </c>
      <c r="F313" s="2" t="s">
        <v>1094</v>
      </c>
      <c r="G313" s="2" t="s">
        <v>135</v>
      </c>
      <c r="H313" s="2" t="s">
        <v>790</v>
      </c>
      <c r="I313" s="2" t="s">
        <v>145</v>
      </c>
      <c r="J313" s="2" t="s">
        <v>146</v>
      </c>
      <c r="K313" s="2" t="s">
        <v>38</v>
      </c>
      <c r="L313" s="2" t="s">
        <v>39</v>
      </c>
      <c r="M313" s="2" t="s">
        <v>39</v>
      </c>
      <c r="N313" s="2" t="s">
        <v>38</v>
      </c>
      <c r="O313" s="2" t="s">
        <v>38</v>
      </c>
      <c r="P313" s="2" t="s">
        <v>38</v>
      </c>
      <c r="Q313" s="2" t="s">
        <v>39</v>
      </c>
      <c r="R313" s="2" t="s">
        <v>38</v>
      </c>
      <c r="S313" s="2" t="s">
        <v>38</v>
      </c>
      <c r="T313" s="2" t="s">
        <v>38</v>
      </c>
      <c r="U313" s="2" t="s">
        <v>38</v>
      </c>
      <c r="V313" s="2" t="s">
        <v>38</v>
      </c>
      <c r="W313" s="2" t="s">
        <v>38</v>
      </c>
      <c r="X313" s="2" t="s">
        <v>38</v>
      </c>
      <c r="Y313" s="2" t="s">
        <v>38</v>
      </c>
      <c r="Z313" s="2" t="s">
        <v>39</v>
      </c>
      <c r="AA313" s="2" t="s">
        <v>38</v>
      </c>
      <c r="AB313" s="2" t="s">
        <v>39</v>
      </c>
      <c r="AC313" s="2" t="s">
        <v>38</v>
      </c>
      <c r="AD313" s="2" t="s">
        <v>38</v>
      </c>
      <c r="AE313" s="2" t="s">
        <v>38</v>
      </c>
    </row>
    <row r="314" spans="1:31" ht="409.5">
      <c r="A314" s="2">
        <v>2729975</v>
      </c>
      <c r="B314" s="2">
        <f>HYPERLINK("https://platform.v2.vetology.net/cases/2729975/screening-report/18?type=pdf&amp;v=v6&amp;scorecard=1&amp;secret_key=BX%25IJ%24%2F65ieZ%29f6", 2729975)</f>
        <v>2729975</v>
      </c>
      <c r="C314" s="2">
        <f>HYPERLINK("https://platform.v2.vetology.net/report/v/final/"&amp;2729975, 2729975)</f>
        <v>2729975</v>
      </c>
      <c r="D314" s="2" t="s">
        <v>1095</v>
      </c>
      <c r="E314" s="2" t="s">
        <v>1096</v>
      </c>
      <c r="F314" s="2" t="s">
        <v>81</v>
      </c>
      <c r="G314" s="2" t="s">
        <v>82</v>
      </c>
      <c r="H314" s="2" t="s">
        <v>1097</v>
      </c>
      <c r="I314" s="2" t="s">
        <v>460</v>
      </c>
      <c r="J314" s="2" t="s">
        <v>66</v>
      </c>
      <c r="K314" s="2" t="s">
        <v>38</v>
      </c>
      <c r="L314" s="2" t="s">
        <v>39</v>
      </c>
      <c r="M314" s="2" t="s">
        <v>39</v>
      </c>
      <c r="N314" s="2" t="s">
        <v>38</v>
      </c>
      <c r="O314" s="2" t="s">
        <v>38</v>
      </c>
      <c r="P314" s="2" t="s">
        <v>39</v>
      </c>
      <c r="Q314" s="2" t="s">
        <v>38</v>
      </c>
      <c r="R314" s="2" t="s">
        <v>38</v>
      </c>
      <c r="S314" s="2" t="s">
        <v>38</v>
      </c>
      <c r="T314" s="2" t="s">
        <v>39</v>
      </c>
      <c r="U314" s="2" t="s">
        <v>38</v>
      </c>
      <c r="V314" s="2" t="s">
        <v>39</v>
      </c>
      <c r="W314" s="2" t="s">
        <v>38</v>
      </c>
      <c r="X314" s="2" t="s">
        <v>39</v>
      </c>
      <c r="Y314" s="2" t="s">
        <v>38</v>
      </c>
      <c r="Z314" s="2" t="s">
        <v>38</v>
      </c>
      <c r="AA314" s="2" t="s">
        <v>38</v>
      </c>
      <c r="AB314" s="2" t="s">
        <v>38</v>
      </c>
      <c r="AC314" s="2" t="s">
        <v>39</v>
      </c>
      <c r="AD314" s="2" t="s">
        <v>38</v>
      </c>
      <c r="AE314" s="2" t="s">
        <v>38</v>
      </c>
    </row>
    <row r="315" spans="1:31" ht="409.5">
      <c r="A315" s="2">
        <v>2729726</v>
      </c>
      <c r="B315" s="2">
        <f>HYPERLINK("https://platform.v2.vetology.net/cases/2729726/screening-report/18?type=pdf&amp;v=v6&amp;scorecard=1&amp;secret_key=BX%25IJ%24%2F65ieZ%29f6", 2729726)</f>
        <v>2729726</v>
      </c>
      <c r="C315" s="2">
        <f>HYPERLINK("https://platform.v2.vetology.net/report/v/final/"&amp;2729726, 2729726)</f>
        <v>2729726</v>
      </c>
      <c r="D315" s="2" t="s">
        <v>1098</v>
      </c>
      <c r="E315" s="2" t="s">
        <v>1099</v>
      </c>
      <c r="F315" s="2" t="s">
        <v>1100</v>
      </c>
      <c r="G315" s="2" t="s">
        <v>58</v>
      </c>
      <c r="H315" s="2" t="s">
        <v>1101</v>
      </c>
      <c r="I315" s="2" t="s">
        <v>1102</v>
      </c>
      <c r="J315" s="2" t="s">
        <v>307</v>
      </c>
      <c r="K315" s="2" t="s">
        <v>38</v>
      </c>
      <c r="L315" s="2" t="s">
        <v>39</v>
      </c>
      <c r="M315" s="2" t="s">
        <v>38</v>
      </c>
      <c r="N315" s="2" t="s">
        <v>39</v>
      </c>
      <c r="O315" s="2" t="s">
        <v>38</v>
      </c>
      <c r="P315" s="2" t="s">
        <v>39</v>
      </c>
      <c r="Q315" s="2" t="s">
        <v>38</v>
      </c>
      <c r="R315" s="2" t="s">
        <v>38</v>
      </c>
      <c r="S315" s="2" t="s">
        <v>39</v>
      </c>
      <c r="T315" s="2" t="s">
        <v>38</v>
      </c>
      <c r="U315" s="2" t="s">
        <v>39</v>
      </c>
      <c r="V315" s="2" t="s">
        <v>38</v>
      </c>
      <c r="W315" s="2" t="s">
        <v>38</v>
      </c>
      <c r="X315" s="2" t="s">
        <v>38</v>
      </c>
      <c r="Y315" s="2" t="s">
        <v>38</v>
      </c>
      <c r="Z315" s="2" t="s">
        <v>39</v>
      </c>
      <c r="AA315" s="2" t="s">
        <v>38</v>
      </c>
      <c r="AB315" s="2" t="s">
        <v>39</v>
      </c>
      <c r="AC315" s="2" t="s">
        <v>39</v>
      </c>
      <c r="AD315" s="2" t="s">
        <v>38</v>
      </c>
      <c r="AE315" s="2" t="s">
        <v>39</v>
      </c>
    </row>
    <row r="316" spans="1:31" ht="409.5">
      <c r="A316" s="2">
        <v>2729518</v>
      </c>
      <c r="B316" s="2">
        <f>HYPERLINK("https://platform.v2.vetology.net/cases/2729518/screening-report/18?type=pdf&amp;v=v6&amp;scorecard=1&amp;secret_key=BX%25IJ%24%2F65ieZ%29f6", 2729518)</f>
        <v>2729518</v>
      </c>
      <c r="C316" s="2">
        <f>HYPERLINK("https://platform.v2.vetology.net/report/v/final/"&amp;2729518, 2729518)</f>
        <v>2729518</v>
      </c>
      <c r="D316" s="2" t="s">
        <v>1103</v>
      </c>
      <c r="E316" s="2" t="s">
        <v>1104</v>
      </c>
      <c r="F316" s="2" t="s">
        <v>1105</v>
      </c>
      <c r="G316" s="2" t="s">
        <v>63</v>
      </c>
      <c r="H316" s="2" t="s">
        <v>1106</v>
      </c>
      <c r="I316" s="2" t="s">
        <v>89</v>
      </c>
      <c r="J316" s="2" t="s">
        <v>66</v>
      </c>
      <c r="K316" s="2" t="s">
        <v>38</v>
      </c>
      <c r="L316" s="2" t="s">
        <v>39</v>
      </c>
      <c r="M316" s="2" t="s">
        <v>38</v>
      </c>
      <c r="N316" s="2" t="s">
        <v>38</v>
      </c>
      <c r="O316" s="2" t="s">
        <v>38</v>
      </c>
      <c r="P316" s="2" t="s">
        <v>38</v>
      </c>
      <c r="Q316" s="2" t="s">
        <v>38</v>
      </c>
      <c r="R316" s="2" t="s">
        <v>38</v>
      </c>
      <c r="S316" s="2" t="s">
        <v>38</v>
      </c>
      <c r="T316" s="2" t="s">
        <v>38</v>
      </c>
      <c r="U316" s="2" t="s">
        <v>38</v>
      </c>
      <c r="V316" s="2" t="s">
        <v>38</v>
      </c>
      <c r="W316" s="2" t="s">
        <v>38</v>
      </c>
      <c r="X316" s="2" t="s">
        <v>39</v>
      </c>
      <c r="Y316" s="2" t="s">
        <v>38</v>
      </c>
      <c r="Z316" s="2" t="s">
        <v>38</v>
      </c>
      <c r="AA316" s="2" t="s">
        <v>38</v>
      </c>
      <c r="AB316" s="2" t="s">
        <v>39</v>
      </c>
      <c r="AC316" s="2" t="s">
        <v>38</v>
      </c>
      <c r="AD316" s="2" t="s">
        <v>38</v>
      </c>
      <c r="AE316" s="2" t="s">
        <v>39</v>
      </c>
    </row>
    <row r="317" spans="1:31" ht="409.5">
      <c r="A317" s="2">
        <v>2729226</v>
      </c>
      <c r="B317" s="2">
        <f>HYPERLINK("https://platform.v2.vetology.net/cases/2729226/screening-report/18?type=pdf&amp;v=v6&amp;scorecard=1&amp;secret_key=BX%25IJ%24%2F65ieZ%29f6", 2729226)</f>
        <v>2729226</v>
      </c>
      <c r="C317" s="2">
        <f>HYPERLINK("https://platform.v2.vetology.net/report/v/final/"&amp;2729226, 2729226)</f>
        <v>2729226</v>
      </c>
      <c r="D317" s="2" t="s">
        <v>1107</v>
      </c>
      <c r="E317" s="2" t="s">
        <v>1108</v>
      </c>
      <c r="F317" s="2" t="s">
        <v>1109</v>
      </c>
      <c r="G317" s="2" t="s">
        <v>135</v>
      </c>
      <c r="H317" s="2" t="s">
        <v>1110</v>
      </c>
      <c r="I317" s="2" t="s">
        <v>214</v>
      </c>
      <c r="J317" s="2" t="s">
        <v>50</v>
      </c>
      <c r="K317" s="2" t="s">
        <v>38</v>
      </c>
      <c r="L317" s="2" t="s">
        <v>38</v>
      </c>
      <c r="M317" s="2" t="s">
        <v>39</v>
      </c>
      <c r="N317" s="2" t="s">
        <v>38</v>
      </c>
      <c r="O317" s="2" t="s">
        <v>39</v>
      </c>
      <c r="P317" s="2" t="s">
        <v>39</v>
      </c>
      <c r="Q317" s="2" t="s">
        <v>38</v>
      </c>
      <c r="R317" s="2" t="s">
        <v>38</v>
      </c>
      <c r="S317" s="2" t="s">
        <v>39</v>
      </c>
      <c r="T317" s="2" t="s">
        <v>39</v>
      </c>
      <c r="U317" s="2" t="s">
        <v>38</v>
      </c>
      <c r="V317" s="2" t="s">
        <v>39</v>
      </c>
      <c r="W317" s="2" t="s">
        <v>38</v>
      </c>
      <c r="X317" s="2" t="s">
        <v>39</v>
      </c>
      <c r="Y317" s="2" t="s">
        <v>38</v>
      </c>
      <c r="Z317" s="2" t="s">
        <v>38</v>
      </c>
      <c r="AA317" s="2" t="s">
        <v>38</v>
      </c>
      <c r="AB317" s="2" t="s">
        <v>39</v>
      </c>
      <c r="AC317" s="2" t="s">
        <v>38</v>
      </c>
      <c r="AD317" s="2" t="s">
        <v>38</v>
      </c>
      <c r="AE317" s="2" t="s">
        <v>38</v>
      </c>
    </row>
    <row r="318" spans="1:31" ht="409.5">
      <c r="A318" s="2">
        <v>2728777</v>
      </c>
      <c r="B318" s="2">
        <f>HYPERLINK("https://platform.v2.vetology.net/cases/2728777/screening-report/18?type=pdf&amp;v=v6&amp;scorecard=1&amp;secret_key=BX%25IJ%24%2F65ieZ%29f6", 2728777)</f>
        <v>2728777</v>
      </c>
      <c r="C318" s="2">
        <f>HYPERLINK("https://platform.v2.vetology.net/report/v/final/"&amp;2728777, 2728777)</f>
        <v>2728777</v>
      </c>
      <c r="D318" s="2" t="s">
        <v>1111</v>
      </c>
      <c r="E318" s="2" t="s">
        <v>1112</v>
      </c>
      <c r="F318" s="2" t="s">
        <v>1113</v>
      </c>
      <c r="G318" s="2" t="s">
        <v>82</v>
      </c>
      <c r="H318" s="2" t="s">
        <v>110</v>
      </c>
      <c r="I318" s="2" t="s">
        <v>111</v>
      </c>
      <c r="J318" s="2" t="s">
        <v>112</v>
      </c>
      <c r="K318" s="2" t="s">
        <v>39</v>
      </c>
      <c r="L318" s="2" t="s">
        <v>39</v>
      </c>
      <c r="M318" s="2" t="s">
        <v>39</v>
      </c>
      <c r="N318" s="2" t="s">
        <v>39</v>
      </c>
      <c r="O318" s="2" t="s">
        <v>39</v>
      </c>
      <c r="P318" s="2" t="s">
        <v>39</v>
      </c>
      <c r="Q318" s="2" t="s">
        <v>39</v>
      </c>
      <c r="R318" s="2" t="s">
        <v>39</v>
      </c>
      <c r="S318" s="2" t="s">
        <v>39</v>
      </c>
      <c r="T318" s="2" t="s">
        <v>39</v>
      </c>
      <c r="U318" s="2" t="s">
        <v>39</v>
      </c>
      <c r="V318" s="2" t="s">
        <v>39</v>
      </c>
      <c r="W318" s="2" t="s">
        <v>39</v>
      </c>
      <c r="X318" s="2" t="s">
        <v>39</v>
      </c>
      <c r="Y318" s="2" t="s">
        <v>39</v>
      </c>
      <c r="Z318" s="2" t="s">
        <v>39</v>
      </c>
      <c r="AA318" s="2" t="s">
        <v>39</v>
      </c>
      <c r="AB318" s="2" t="s">
        <v>39</v>
      </c>
      <c r="AC318" s="2" t="s">
        <v>39</v>
      </c>
      <c r="AD318" s="2" t="s">
        <v>39</v>
      </c>
      <c r="AE318" s="2" t="s">
        <v>39</v>
      </c>
    </row>
    <row r="319" spans="1:31" ht="409.5">
      <c r="A319" s="2">
        <v>2728727</v>
      </c>
      <c r="B319" s="2">
        <f>HYPERLINK("https://platform.v2.vetology.net/cases/2728727/screening-report/18?type=pdf&amp;v=v6&amp;scorecard=1&amp;secret_key=BX%25IJ%24%2F65ieZ%29f6", 2728727)</f>
        <v>2728727</v>
      </c>
      <c r="C319" s="2">
        <f>HYPERLINK("https://platform.v2.vetology.net/report/v/final/"&amp;2728727, 2728727)</f>
        <v>2728727</v>
      </c>
      <c r="D319" s="2" t="s">
        <v>1114</v>
      </c>
      <c r="E319" s="2" t="s">
        <v>1115</v>
      </c>
      <c r="F319" s="2" t="s">
        <v>1116</v>
      </c>
      <c r="G319" s="2" t="s">
        <v>150</v>
      </c>
      <c r="H319" s="2" t="s">
        <v>1117</v>
      </c>
      <c r="I319" s="2" t="s">
        <v>1118</v>
      </c>
      <c r="J319" s="2" t="s">
        <v>1119</v>
      </c>
      <c r="K319" s="2" t="s">
        <v>38</v>
      </c>
      <c r="L319" s="2" t="s">
        <v>38</v>
      </c>
      <c r="M319" s="2" t="s">
        <v>38</v>
      </c>
      <c r="N319" s="2" t="s">
        <v>38</v>
      </c>
      <c r="O319" s="2" t="s">
        <v>38</v>
      </c>
      <c r="P319" s="2" t="s">
        <v>39</v>
      </c>
      <c r="Q319" s="2" t="s">
        <v>38</v>
      </c>
      <c r="R319" s="2" t="s">
        <v>38</v>
      </c>
      <c r="S319" s="2" t="s">
        <v>39</v>
      </c>
      <c r="T319" s="2" t="s">
        <v>38</v>
      </c>
      <c r="U319" s="2" t="s">
        <v>39</v>
      </c>
      <c r="V319" s="2" t="s">
        <v>38</v>
      </c>
      <c r="W319" s="2" t="s">
        <v>38</v>
      </c>
      <c r="X319" s="2" t="s">
        <v>38</v>
      </c>
      <c r="Y319" s="2" t="s">
        <v>38</v>
      </c>
      <c r="Z319" s="2" t="s">
        <v>38</v>
      </c>
      <c r="AA319" s="2" t="s">
        <v>38</v>
      </c>
      <c r="AB319" s="2" t="s">
        <v>38</v>
      </c>
      <c r="AC319" s="2" t="s">
        <v>39</v>
      </c>
      <c r="AD319" s="2" t="s">
        <v>38</v>
      </c>
      <c r="AE319" s="2" t="s">
        <v>39</v>
      </c>
    </row>
    <row r="320" spans="1:31" ht="409.5">
      <c r="A320" s="2">
        <v>2728509</v>
      </c>
      <c r="B320" s="2">
        <f>HYPERLINK("https://platform.v2.vetology.net/cases/2728509/screening-report/18?type=pdf&amp;v=v6&amp;scorecard=1&amp;secret_key=BX%25IJ%24%2F65ieZ%29f6", 2728509)</f>
        <v>2728509</v>
      </c>
      <c r="C320" s="2">
        <f>HYPERLINK("https://platform.v2.vetology.net/report/v/final/"&amp;2728509, 2728509)</f>
        <v>2728509</v>
      </c>
      <c r="D320" s="2" t="s">
        <v>1120</v>
      </c>
      <c r="E320" s="2" t="s">
        <v>1121</v>
      </c>
      <c r="F320" s="2" t="s">
        <v>1122</v>
      </c>
      <c r="G320" s="2" t="s">
        <v>58</v>
      </c>
      <c r="H320" s="2" t="s">
        <v>78</v>
      </c>
      <c r="I320" s="2" t="s">
        <v>44</v>
      </c>
      <c r="J320" s="2"/>
      <c r="K320" s="2" t="s">
        <v>38</v>
      </c>
      <c r="L320" s="2" t="s">
        <v>38</v>
      </c>
      <c r="M320" s="2" t="s">
        <v>39</v>
      </c>
      <c r="N320" s="2" t="s">
        <v>38</v>
      </c>
      <c r="O320" s="2" t="s">
        <v>38</v>
      </c>
      <c r="P320" s="2" t="s">
        <v>39</v>
      </c>
      <c r="Q320" s="2" t="s">
        <v>38</v>
      </c>
      <c r="R320" s="2" t="s">
        <v>38</v>
      </c>
      <c r="S320" s="2" t="s">
        <v>38</v>
      </c>
      <c r="T320" s="2" t="s">
        <v>38</v>
      </c>
      <c r="U320" s="2" t="s">
        <v>38</v>
      </c>
      <c r="V320" s="2" t="s">
        <v>38</v>
      </c>
      <c r="W320" s="2" t="s">
        <v>38</v>
      </c>
      <c r="X320" s="2" t="s">
        <v>38</v>
      </c>
      <c r="Y320" s="2" t="s">
        <v>38</v>
      </c>
      <c r="Z320" s="2" t="s">
        <v>38</v>
      </c>
      <c r="AA320" s="2" t="s">
        <v>38</v>
      </c>
      <c r="AB320" s="2" t="s">
        <v>38</v>
      </c>
      <c r="AC320" s="2" t="s">
        <v>38</v>
      </c>
      <c r="AD320" s="2" t="s">
        <v>38</v>
      </c>
      <c r="AE320" s="2" t="s">
        <v>38</v>
      </c>
    </row>
    <row r="321" spans="1:31" ht="409.5">
      <c r="A321" s="2">
        <v>2728262</v>
      </c>
      <c r="B321" s="2">
        <f>HYPERLINK("https://platform.v2.vetology.net/cases/2728262/screening-report/18?type=pdf&amp;v=v6&amp;scorecard=1&amp;secret_key=BX%25IJ%24%2F65ieZ%29f6", 2728262)</f>
        <v>2728262</v>
      </c>
      <c r="C321" s="2">
        <f>HYPERLINK("https://platform.v2.vetology.net/report/v/final/"&amp;2728262, 2728262)</f>
        <v>2728262</v>
      </c>
      <c r="D321" s="2" t="s">
        <v>1123</v>
      </c>
      <c r="E321" s="2" t="s">
        <v>1124</v>
      </c>
      <c r="F321" s="2" t="s">
        <v>81</v>
      </c>
      <c r="G321" s="2" t="s">
        <v>82</v>
      </c>
      <c r="H321" s="2" t="s">
        <v>54</v>
      </c>
      <c r="I321" s="2" t="s">
        <v>44</v>
      </c>
      <c r="J321" s="2"/>
      <c r="K321" s="2" t="s">
        <v>38</v>
      </c>
      <c r="L321" s="2" t="s">
        <v>39</v>
      </c>
      <c r="M321" s="2" t="s">
        <v>39</v>
      </c>
      <c r="N321" s="2" t="s">
        <v>38</v>
      </c>
      <c r="O321" s="2" t="s">
        <v>38</v>
      </c>
      <c r="P321" s="2" t="s">
        <v>38</v>
      </c>
      <c r="Q321" s="2" t="s">
        <v>38</v>
      </c>
      <c r="R321" s="2" t="s">
        <v>38</v>
      </c>
      <c r="S321" s="2" t="s">
        <v>39</v>
      </c>
      <c r="T321" s="2" t="s">
        <v>39</v>
      </c>
      <c r="U321" s="2" t="s">
        <v>38</v>
      </c>
      <c r="V321" s="2" t="s">
        <v>39</v>
      </c>
      <c r="W321" s="2" t="s">
        <v>38</v>
      </c>
      <c r="X321" s="2" t="s">
        <v>39</v>
      </c>
      <c r="Y321" s="2" t="s">
        <v>38</v>
      </c>
      <c r="Z321" s="2" t="s">
        <v>39</v>
      </c>
      <c r="AA321" s="2" t="s">
        <v>38</v>
      </c>
      <c r="AB321" s="2" t="s">
        <v>39</v>
      </c>
      <c r="AC321" s="2" t="s">
        <v>39</v>
      </c>
      <c r="AD321" s="2" t="s">
        <v>38</v>
      </c>
      <c r="AE321" s="2" t="s">
        <v>38</v>
      </c>
    </row>
    <row r="322" spans="1:31" ht="409.5">
      <c r="A322" s="2">
        <v>2728195</v>
      </c>
      <c r="B322" s="2">
        <f>HYPERLINK("https://platform.v2.vetology.net/cases/2728195/screening-report/18?type=pdf&amp;v=v6&amp;scorecard=1&amp;secret_key=BX%25IJ%24%2F65ieZ%29f6", 2728195)</f>
        <v>2728195</v>
      </c>
      <c r="C322" s="2">
        <f>HYPERLINK("https://platform.v2.vetology.net/report/v/final/"&amp;2728195, 2728195)</f>
        <v>2728195</v>
      </c>
      <c r="D322" s="2" t="s">
        <v>1125</v>
      </c>
      <c r="E322" s="2" t="s">
        <v>1126</v>
      </c>
      <c r="F322" s="2" t="s">
        <v>1127</v>
      </c>
      <c r="G322" s="2" t="s">
        <v>93</v>
      </c>
      <c r="H322" s="2" t="s">
        <v>43</v>
      </c>
      <c r="I322" s="2" t="s">
        <v>44</v>
      </c>
      <c r="J322" s="2"/>
      <c r="K322" s="2" t="s">
        <v>38</v>
      </c>
      <c r="L322" s="2" t="s">
        <v>38</v>
      </c>
      <c r="M322" s="2" t="s">
        <v>39</v>
      </c>
      <c r="N322" s="2" t="s">
        <v>38</v>
      </c>
      <c r="O322" s="2" t="s">
        <v>38</v>
      </c>
      <c r="P322" s="2" t="s">
        <v>39</v>
      </c>
      <c r="Q322" s="2" t="s">
        <v>39</v>
      </c>
      <c r="R322" s="2" t="s">
        <v>38</v>
      </c>
      <c r="S322" s="2" t="s">
        <v>38</v>
      </c>
      <c r="T322" s="2" t="s">
        <v>38</v>
      </c>
      <c r="U322" s="2" t="s">
        <v>38</v>
      </c>
      <c r="V322" s="2" t="s">
        <v>38</v>
      </c>
      <c r="W322" s="2" t="s">
        <v>38</v>
      </c>
      <c r="X322" s="2" t="s">
        <v>39</v>
      </c>
      <c r="Y322" s="2" t="s">
        <v>38</v>
      </c>
      <c r="Z322" s="2" t="s">
        <v>38</v>
      </c>
      <c r="AA322" s="2" t="s">
        <v>38</v>
      </c>
      <c r="AB322" s="2" t="s">
        <v>38</v>
      </c>
      <c r="AC322" s="2" t="s">
        <v>38</v>
      </c>
      <c r="AD322" s="2" t="s">
        <v>38</v>
      </c>
      <c r="AE322" s="2" t="s">
        <v>38</v>
      </c>
    </row>
    <row r="323" spans="1:31" ht="409.5">
      <c r="A323" s="2">
        <v>2727830</v>
      </c>
      <c r="B323" s="2">
        <f>HYPERLINK("https://platform.v2.vetology.net/cases/2727830/screening-report/18?type=pdf&amp;v=v6&amp;scorecard=1&amp;secret_key=BX%25IJ%24%2F65ieZ%29f6", 2727830)</f>
        <v>2727830</v>
      </c>
      <c r="C323" s="2">
        <f>HYPERLINK("https://platform.v2.vetology.net/report/v/final/"&amp;2727830, 2727830)</f>
        <v>2727830</v>
      </c>
      <c r="D323" s="2" t="s">
        <v>1128</v>
      </c>
      <c r="E323" s="2" t="s">
        <v>1129</v>
      </c>
      <c r="F323" s="2" t="s">
        <v>1130</v>
      </c>
      <c r="G323" s="2" t="s">
        <v>82</v>
      </c>
      <c r="H323" s="2" t="s">
        <v>931</v>
      </c>
      <c r="I323" s="2" t="s">
        <v>111</v>
      </c>
      <c r="J323" s="2" t="s">
        <v>112</v>
      </c>
      <c r="K323" s="2" t="s">
        <v>39</v>
      </c>
      <c r="L323" s="2" t="s">
        <v>39</v>
      </c>
      <c r="M323" s="2" t="s">
        <v>39</v>
      </c>
      <c r="N323" s="2" t="s">
        <v>39</v>
      </c>
      <c r="O323" s="2" t="s">
        <v>39</v>
      </c>
      <c r="P323" s="2" t="s">
        <v>39</v>
      </c>
      <c r="Q323" s="2" t="s">
        <v>39</v>
      </c>
      <c r="R323" s="2" t="s">
        <v>39</v>
      </c>
      <c r="S323" s="2" t="s">
        <v>39</v>
      </c>
      <c r="T323" s="2" t="s">
        <v>39</v>
      </c>
      <c r="U323" s="2" t="s">
        <v>39</v>
      </c>
      <c r="V323" s="2" t="s">
        <v>39</v>
      </c>
      <c r="W323" s="2" t="s">
        <v>39</v>
      </c>
      <c r="X323" s="2" t="s">
        <v>39</v>
      </c>
      <c r="Y323" s="2" t="s">
        <v>39</v>
      </c>
      <c r="Z323" s="2" t="s">
        <v>39</v>
      </c>
      <c r="AA323" s="2" t="s">
        <v>39</v>
      </c>
      <c r="AB323" s="2" t="s">
        <v>39</v>
      </c>
      <c r="AC323" s="2" t="s">
        <v>39</v>
      </c>
      <c r="AD323" s="2" t="s">
        <v>38</v>
      </c>
      <c r="AE323" s="2" t="s">
        <v>39</v>
      </c>
    </row>
    <row r="324" spans="1:31" ht="409.5">
      <c r="A324" s="2">
        <v>2727731</v>
      </c>
      <c r="B324" s="2">
        <f>HYPERLINK("https://platform.v2.vetology.net/cases/2727731/screening-report/18?type=pdf&amp;v=v6&amp;scorecard=1&amp;secret_key=BX%25IJ%24%2F65ieZ%29f6", 2727731)</f>
        <v>2727731</v>
      </c>
      <c r="C324" s="2">
        <f>HYPERLINK("https://platform.v2.vetology.net/report/v/final/"&amp;2727731, 2727731)</f>
        <v>2727731</v>
      </c>
      <c r="D324" s="2" t="s">
        <v>1131</v>
      </c>
      <c r="E324" s="2" t="s">
        <v>1132</v>
      </c>
      <c r="F324" s="2" t="s">
        <v>1133</v>
      </c>
      <c r="G324" s="2" t="s">
        <v>34</v>
      </c>
      <c r="H324" s="2" t="s">
        <v>71</v>
      </c>
      <c r="I324" s="2" t="s">
        <v>44</v>
      </c>
      <c r="J324" s="2"/>
      <c r="K324" s="2" t="s">
        <v>38</v>
      </c>
      <c r="L324" s="2" t="s">
        <v>38</v>
      </c>
      <c r="M324" s="2" t="s">
        <v>38</v>
      </c>
      <c r="N324" s="2" t="s">
        <v>38</v>
      </c>
      <c r="O324" s="2" t="s">
        <v>38</v>
      </c>
      <c r="P324" s="2" t="s">
        <v>38</v>
      </c>
      <c r="Q324" s="2" t="s">
        <v>38</v>
      </c>
      <c r="R324" s="2" t="s">
        <v>38</v>
      </c>
      <c r="S324" s="2" t="s">
        <v>38</v>
      </c>
      <c r="T324" s="2" t="s">
        <v>39</v>
      </c>
      <c r="U324" s="2" t="s">
        <v>38</v>
      </c>
      <c r="V324" s="2" t="s">
        <v>39</v>
      </c>
      <c r="W324" s="2" t="s">
        <v>38</v>
      </c>
      <c r="X324" s="2" t="s">
        <v>39</v>
      </c>
      <c r="Y324" s="2" t="s">
        <v>38</v>
      </c>
      <c r="Z324" s="2" t="s">
        <v>38</v>
      </c>
      <c r="AA324" s="2" t="s">
        <v>38</v>
      </c>
      <c r="AB324" s="2" t="s">
        <v>39</v>
      </c>
      <c r="AC324" s="2" t="s">
        <v>38</v>
      </c>
      <c r="AD324" s="2" t="s">
        <v>38</v>
      </c>
      <c r="AE324" s="2" t="s">
        <v>38</v>
      </c>
    </row>
    <row r="325" spans="1:31" ht="409.5">
      <c r="A325" s="2">
        <v>2726818</v>
      </c>
      <c r="B325" s="2">
        <f>HYPERLINK("https://platform.v2.vetology.net/cases/2726818/screening-report/18?type=pdf&amp;v=v6&amp;scorecard=1&amp;secret_key=BX%25IJ%24%2F65ieZ%29f6", 2726818)</f>
        <v>2726818</v>
      </c>
      <c r="C325" s="2">
        <f>HYPERLINK("https://platform.v2.vetology.net/report/v/final/"&amp;2726818, 2726818)</f>
        <v>2726818</v>
      </c>
      <c r="D325" s="2" t="s">
        <v>1134</v>
      </c>
      <c r="E325" s="2" t="s">
        <v>1135</v>
      </c>
      <c r="F325" s="2"/>
      <c r="G325" s="2" t="s">
        <v>150</v>
      </c>
      <c r="H325" s="2" t="s">
        <v>78</v>
      </c>
      <c r="I325" s="2" t="s">
        <v>44</v>
      </c>
      <c r="J325" s="2" t="s">
        <v>106</v>
      </c>
      <c r="K325" s="2" t="s">
        <v>38</v>
      </c>
      <c r="L325" s="2" t="s">
        <v>39</v>
      </c>
      <c r="M325" s="2" t="s">
        <v>38</v>
      </c>
      <c r="N325" s="2" t="s">
        <v>38</v>
      </c>
      <c r="O325" s="2" t="s">
        <v>38</v>
      </c>
      <c r="P325" s="2" t="s">
        <v>38</v>
      </c>
      <c r="Q325" s="2" t="s">
        <v>38</v>
      </c>
      <c r="R325" s="2" t="s">
        <v>38</v>
      </c>
      <c r="S325" s="2" t="s">
        <v>38</v>
      </c>
      <c r="T325" s="2" t="s">
        <v>38</v>
      </c>
      <c r="U325" s="2" t="s">
        <v>38</v>
      </c>
      <c r="V325" s="2" t="s">
        <v>38</v>
      </c>
      <c r="W325" s="2" t="s">
        <v>38</v>
      </c>
      <c r="X325" s="2" t="s">
        <v>38</v>
      </c>
      <c r="Y325" s="2" t="s">
        <v>38</v>
      </c>
      <c r="Z325" s="2" t="s">
        <v>38</v>
      </c>
      <c r="AA325" s="2" t="s">
        <v>38</v>
      </c>
      <c r="AB325" s="2" t="s">
        <v>38</v>
      </c>
      <c r="AC325" s="2" t="s">
        <v>38</v>
      </c>
      <c r="AD325" s="2" t="s">
        <v>38</v>
      </c>
      <c r="AE325" s="2" t="s">
        <v>38</v>
      </c>
    </row>
    <row r="326" spans="1:31" ht="409.5">
      <c r="A326" s="2">
        <v>2726649</v>
      </c>
      <c r="B326" s="2">
        <f>HYPERLINK("https://platform.v2.vetology.net/cases/2726649/screening-report/18?type=pdf&amp;v=v6&amp;scorecard=1&amp;secret_key=BX%25IJ%24%2F65ieZ%29f6", 2726649)</f>
        <v>2726649</v>
      </c>
      <c r="C326" s="2">
        <f>HYPERLINK("https://platform.v2.vetology.net/report/v/final/"&amp;2726649, 2726649)</f>
        <v>2726649</v>
      </c>
      <c r="D326" s="2" t="s">
        <v>1136</v>
      </c>
      <c r="E326" s="2" t="s">
        <v>1137</v>
      </c>
      <c r="F326" s="2"/>
      <c r="G326" s="2" t="s">
        <v>141</v>
      </c>
      <c r="H326" s="2" t="s">
        <v>1138</v>
      </c>
      <c r="I326" s="2" t="s">
        <v>1139</v>
      </c>
      <c r="J326" s="2" t="s">
        <v>50</v>
      </c>
      <c r="K326" s="2" t="s">
        <v>38</v>
      </c>
      <c r="L326" s="2" t="s">
        <v>39</v>
      </c>
      <c r="M326" s="2" t="s">
        <v>39</v>
      </c>
      <c r="N326" s="2" t="s">
        <v>39</v>
      </c>
      <c r="O326" s="2" t="s">
        <v>39</v>
      </c>
      <c r="P326" s="2" t="s">
        <v>39</v>
      </c>
      <c r="Q326" s="2" t="s">
        <v>38</v>
      </c>
      <c r="R326" s="2" t="s">
        <v>39</v>
      </c>
      <c r="S326" s="2" t="s">
        <v>38</v>
      </c>
      <c r="T326" s="2" t="s">
        <v>39</v>
      </c>
      <c r="U326" s="2" t="s">
        <v>38</v>
      </c>
      <c r="V326" s="2" t="s">
        <v>38</v>
      </c>
      <c r="W326" s="2" t="s">
        <v>38</v>
      </c>
      <c r="X326" s="2" t="s">
        <v>39</v>
      </c>
      <c r="Y326" s="2" t="s">
        <v>38</v>
      </c>
      <c r="Z326" s="2" t="s">
        <v>39</v>
      </c>
      <c r="AA326" s="2" t="s">
        <v>38</v>
      </c>
      <c r="AB326" s="2" t="s">
        <v>39</v>
      </c>
      <c r="AC326" s="2" t="s">
        <v>38</v>
      </c>
      <c r="AD326" s="2" t="s">
        <v>38</v>
      </c>
      <c r="AE326" s="2" t="s">
        <v>38</v>
      </c>
    </row>
    <row r="327" spans="1:31" ht="409.5">
      <c r="A327" s="2">
        <v>2726351</v>
      </c>
      <c r="B327" s="2">
        <f>HYPERLINK("https://platform.v2.vetology.net/cases/2726351/screening-report/18?type=pdf&amp;v=v6&amp;scorecard=1&amp;secret_key=BX%25IJ%24%2F65ieZ%29f6", 2726351)</f>
        <v>2726351</v>
      </c>
      <c r="C327" s="2">
        <f>HYPERLINK("https://platform.v2.vetology.net/report/v/final/"&amp;2726351, 2726351)</f>
        <v>2726351</v>
      </c>
      <c r="D327" s="2" t="s">
        <v>1140</v>
      </c>
      <c r="E327" s="2" t="s">
        <v>1141</v>
      </c>
      <c r="F327" s="2" t="s">
        <v>81</v>
      </c>
      <c r="G327" s="2" t="s">
        <v>150</v>
      </c>
      <c r="H327" s="2" t="s">
        <v>78</v>
      </c>
      <c r="I327" s="2" t="s">
        <v>44</v>
      </c>
      <c r="J327" s="2"/>
      <c r="K327" s="2" t="s">
        <v>38</v>
      </c>
      <c r="L327" s="2" t="s">
        <v>38</v>
      </c>
      <c r="M327" s="2" t="s">
        <v>38</v>
      </c>
      <c r="N327" s="2" t="s">
        <v>38</v>
      </c>
      <c r="O327" s="2" t="s">
        <v>38</v>
      </c>
      <c r="P327" s="2" t="s">
        <v>38</v>
      </c>
      <c r="Q327" s="2" t="s">
        <v>38</v>
      </c>
      <c r="R327" s="2" t="s">
        <v>38</v>
      </c>
      <c r="S327" s="2" t="s">
        <v>38</v>
      </c>
      <c r="T327" s="2" t="s">
        <v>39</v>
      </c>
      <c r="U327" s="2" t="s">
        <v>38</v>
      </c>
      <c r="V327" s="2" t="s">
        <v>39</v>
      </c>
      <c r="W327" s="2" t="s">
        <v>38</v>
      </c>
      <c r="X327" s="2" t="s">
        <v>39</v>
      </c>
      <c r="Y327" s="2" t="s">
        <v>38</v>
      </c>
      <c r="Z327" s="2" t="s">
        <v>38</v>
      </c>
      <c r="AA327" s="2" t="s">
        <v>38</v>
      </c>
      <c r="AB327" s="2" t="s">
        <v>38</v>
      </c>
      <c r="AC327" s="2" t="s">
        <v>38</v>
      </c>
      <c r="AD327" s="2" t="s">
        <v>38</v>
      </c>
      <c r="AE327" s="2" t="s">
        <v>38</v>
      </c>
    </row>
    <row r="328" spans="1:31" ht="409.5">
      <c r="A328" s="2">
        <v>2726342</v>
      </c>
      <c r="B328" s="2">
        <f>HYPERLINK("https://platform.v2.vetology.net/cases/2726342/screening-report/18?type=pdf&amp;v=v6&amp;scorecard=1&amp;secret_key=BX%25IJ%24%2F65ieZ%29f6", 2726342)</f>
        <v>2726342</v>
      </c>
      <c r="C328" s="2">
        <f>HYPERLINK("https://platform.v2.vetology.net/report/v/final/"&amp;2726342, 2726342)</f>
        <v>2726342</v>
      </c>
      <c r="D328" s="2" t="s">
        <v>1142</v>
      </c>
      <c r="E328" s="2" t="s">
        <v>850</v>
      </c>
      <c r="F328" s="2"/>
      <c r="G328" s="2" t="s">
        <v>150</v>
      </c>
      <c r="H328" s="2" t="s">
        <v>1143</v>
      </c>
      <c r="I328" s="2" t="s">
        <v>214</v>
      </c>
      <c r="J328" s="2" t="s">
        <v>50</v>
      </c>
      <c r="K328" s="2" t="s">
        <v>38</v>
      </c>
      <c r="L328" s="2" t="s">
        <v>39</v>
      </c>
      <c r="M328" s="2" t="s">
        <v>38</v>
      </c>
      <c r="N328" s="2" t="s">
        <v>38</v>
      </c>
      <c r="O328" s="2" t="s">
        <v>38</v>
      </c>
      <c r="P328" s="2" t="s">
        <v>38</v>
      </c>
      <c r="Q328" s="2" t="s">
        <v>38</v>
      </c>
      <c r="R328" s="2" t="s">
        <v>38</v>
      </c>
      <c r="S328" s="2" t="s">
        <v>38</v>
      </c>
      <c r="T328" s="2" t="s">
        <v>38</v>
      </c>
      <c r="U328" s="2" t="s">
        <v>38</v>
      </c>
      <c r="V328" s="2" t="s">
        <v>38</v>
      </c>
      <c r="W328" s="2" t="s">
        <v>38</v>
      </c>
      <c r="X328" s="2" t="s">
        <v>38</v>
      </c>
      <c r="Y328" s="2" t="s">
        <v>38</v>
      </c>
      <c r="Z328" s="2" t="s">
        <v>38</v>
      </c>
      <c r="AA328" s="2" t="s">
        <v>38</v>
      </c>
      <c r="AB328" s="2" t="s">
        <v>38</v>
      </c>
      <c r="AC328" s="2" t="s">
        <v>38</v>
      </c>
      <c r="AD328" s="2" t="s">
        <v>38</v>
      </c>
      <c r="AE328" s="2" t="s">
        <v>38</v>
      </c>
    </row>
    <row r="329" spans="1:31" ht="409.5">
      <c r="A329" s="2">
        <v>2726341</v>
      </c>
      <c r="B329" s="2">
        <f>HYPERLINK("https://platform.v2.vetology.net/cases/2726341/screening-report/18?type=pdf&amp;v=v6&amp;scorecard=1&amp;secret_key=BX%25IJ%24%2F65ieZ%29f6", 2726341)</f>
        <v>2726341</v>
      </c>
      <c r="C329" s="2">
        <f>HYPERLINK("https://platform.v2.vetology.net/report/v/final/"&amp;2726341, 2726341)</f>
        <v>2726341</v>
      </c>
      <c r="D329" s="2" t="s">
        <v>1144</v>
      </c>
      <c r="E329" s="2" t="s">
        <v>1145</v>
      </c>
      <c r="F329" s="2" t="s">
        <v>1146</v>
      </c>
      <c r="G329" s="2" t="s">
        <v>150</v>
      </c>
      <c r="H329" s="2" t="s">
        <v>1147</v>
      </c>
      <c r="I329" s="2" t="s">
        <v>190</v>
      </c>
      <c r="J329" s="2" t="s">
        <v>112</v>
      </c>
      <c r="K329" s="2" t="s">
        <v>39</v>
      </c>
      <c r="L329" s="2" t="s">
        <v>39</v>
      </c>
      <c r="M329" s="2" t="s">
        <v>39</v>
      </c>
      <c r="N329" s="2" t="s">
        <v>39</v>
      </c>
      <c r="O329" s="2" t="s">
        <v>39</v>
      </c>
      <c r="P329" s="2" t="s">
        <v>39</v>
      </c>
      <c r="Q329" s="2" t="s">
        <v>39</v>
      </c>
      <c r="R329" s="2" t="s">
        <v>39</v>
      </c>
      <c r="S329" s="2" t="s">
        <v>39</v>
      </c>
      <c r="T329" s="2" t="s">
        <v>39</v>
      </c>
      <c r="U329" s="2" t="s">
        <v>39</v>
      </c>
      <c r="V329" s="2" t="s">
        <v>39</v>
      </c>
      <c r="W329" s="2" t="s">
        <v>39</v>
      </c>
      <c r="X329" s="2" t="s">
        <v>39</v>
      </c>
      <c r="Y329" s="2" t="s">
        <v>39</v>
      </c>
      <c r="Z329" s="2" t="s">
        <v>39</v>
      </c>
      <c r="AA329" s="2" t="s">
        <v>39</v>
      </c>
      <c r="AB329" s="2" t="s">
        <v>39</v>
      </c>
      <c r="AC329" s="2" t="s">
        <v>39</v>
      </c>
      <c r="AD329" s="2" t="s">
        <v>39</v>
      </c>
      <c r="AE329" s="2" t="s">
        <v>39</v>
      </c>
    </row>
    <row r="330" spans="1:31" ht="409.5">
      <c r="A330" s="2">
        <v>2726058</v>
      </c>
      <c r="B330" s="2">
        <f>HYPERLINK("https://platform.v2.vetology.net/cases/2726058/screening-report/18?type=pdf&amp;v=v6&amp;scorecard=1&amp;secret_key=BX%25IJ%24%2F65ieZ%29f6", 2726058)</f>
        <v>2726058</v>
      </c>
      <c r="C330" s="2">
        <f>HYPERLINK("https://platform.v2.vetology.net/report/v/final/"&amp;2726058, 2726058)</f>
        <v>2726058</v>
      </c>
      <c r="D330" s="2" t="s">
        <v>1148</v>
      </c>
      <c r="E330" s="2" t="s">
        <v>1149</v>
      </c>
      <c r="F330" s="2" t="s">
        <v>1150</v>
      </c>
      <c r="G330" s="2" t="s">
        <v>34</v>
      </c>
      <c r="H330" s="2" t="s">
        <v>1151</v>
      </c>
      <c r="I330" s="2" t="s">
        <v>207</v>
      </c>
      <c r="J330" s="2" t="s">
        <v>208</v>
      </c>
      <c r="K330" s="2" t="s">
        <v>38</v>
      </c>
      <c r="L330" s="2" t="s">
        <v>38</v>
      </c>
      <c r="M330" s="2" t="s">
        <v>38</v>
      </c>
      <c r="N330" s="2" t="s">
        <v>38</v>
      </c>
      <c r="O330" s="2" t="s">
        <v>38</v>
      </c>
      <c r="P330" s="2" t="s">
        <v>38</v>
      </c>
      <c r="Q330" s="2" t="s">
        <v>38</v>
      </c>
      <c r="R330" s="2" t="s">
        <v>38</v>
      </c>
      <c r="S330" s="2" t="s">
        <v>38</v>
      </c>
      <c r="T330" s="2" t="s">
        <v>38</v>
      </c>
      <c r="U330" s="2" t="s">
        <v>38</v>
      </c>
      <c r="V330" s="2" t="s">
        <v>38</v>
      </c>
      <c r="W330" s="2" t="s">
        <v>38</v>
      </c>
      <c r="X330" s="2" t="s">
        <v>38</v>
      </c>
      <c r="Y330" s="2" t="s">
        <v>38</v>
      </c>
      <c r="Z330" s="2" t="s">
        <v>38</v>
      </c>
      <c r="AA330" s="2" t="s">
        <v>38</v>
      </c>
      <c r="AB330" s="2" t="s">
        <v>38</v>
      </c>
      <c r="AC330" s="2" t="s">
        <v>38</v>
      </c>
      <c r="AD330" s="2" t="s">
        <v>38</v>
      </c>
      <c r="AE330" s="2" t="s">
        <v>38</v>
      </c>
    </row>
    <row r="331" spans="1:31" ht="409.5">
      <c r="A331" s="2">
        <v>2726052</v>
      </c>
      <c r="B331" s="2">
        <f>HYPERLINK("https://platform.v2.vetology.net/cases/2726052/screening-report/18?type=pdf&amp;v=v6&amp;scorecard=1&amp;secret_key=BX%25IJ%24%2F65ieZ%29f6", 2726052)</f>
        <v>2726052</v>
      </c>
      <c r="C331" s="2">
        <f>HYPERLINK("https://platform.v2.vetology.net/report/v/final/"&amp;2726052, 2726052)</f>
        <v>2726052</v>
      </c>
      <c r="D331" s="2" t="s">
        <v>1152</v>
      </c>
      <c r="E331" s="2" t="s">
        <v>1153</v>
      </c>
      <c r="F331" s="2" t="s">
        <v>1154</v>
      </c>
      <c r="G331" s="2" t="s">
        <v>34</v>
      </c>
      <c r="H331" s="2" t="s">
        <v>1155</v>
      </c>
      <c r="I331" s="2" t="s">
        <v>1156</v>
      </c>
      <c r="J331" s="2" t="s">
        <v>66</v>
      </c>
      <c r="K331" s="2" t="s">
        <v>38</v>
      </c>
      <c r="L331" s="2" t="s">
        <v>39</v>
      </c>
      <c r="M331" s="2" t="s">
        <v>39</v>
      </c>
      <c r="N331" s="2" t="s">
        <v>39</v>
      </c>
      <c r="O331" s="2" t="s">
        <v>39</v>
      </c>
      <c r="P331" s="2" t="s">
        <v>38</v>
      </c>
      <c r="Q331" s="2" t="s">
        <v>38</v>
      </c>
      <c r="R331" s="2" t="s">
        <v>38</v>
      </c>
      <c r="S331" s="2" t="s">
        <v>39</v>
      </c>
      <c r="T331" s="2" t="s">
        <v>39</v>
      </c>
      <c r="U331" s="2" t="s">
        <v>38</v>
      </c>
      <c r="V331" s="2" t="s">
        <v>38</v>
      </c>
      <c r="W331" s="2" t="s">
        <v>38</v>
      </c>
      <c r="X331" s="2" t="s">
        <v>39</v>
      </c>
      <c r="Y331" s="2" t="s">
        <v>38</v>
      </c>
      <c r="Z331" s="2" t="s">
        <v>38</v>
      </c>
      <c r="AA331" s="2" t="s">
        <v>38</v>
      </c>
      <c r="AB331" s="2" t="s">
        <v>39</v>
      </c>
      <c r="AC331" s="2" t="s">
        <v>39</v>
      </c>
      <c r="AD331" s="2" t="s">
        <v>38</v>
      </c>
      <c r="AE331" s="2" t="s">
        <v>38</v>
      </c>
    </row>
    <row r="332" spans="1:31" ht="409.5">
      <c r="A332" s="2">
        <v>2726033</v>
      </c>
      <c r="B332" s="2">
        <f>HYPERLINK("https://platform.v2.vetology.net/cases/2726033/screening-report/18?type=pdf&amp;v=v6&amp;scorecard=1&amp;secret_key=BX%25IJ%24%2F65ieZ%29f6", 2726033)</f>
        <v>2726033</v>
      </c>
      <c r="C332" s="2">
        <f>HYPERLINK("https://platform.v2.vetology.net/report/v/final/"&amp;2726033, 2726033)</f>
        <v>2726033</v>
      </c>
      <c r="D332" s="2" t="s">
        <v>1157</v>
      </c>
      <c r="E332" s="2" t="s">
        <v>1158</v>
      </c>
      <c r="F332" s="2" t="s">
        <v>1159</v>
      </c>
      <c r="G332" s="2" t="s">
        <v>58</v>
      </c>
      <c r="H332" s="2" t="s">
        <v>283</v>
      </c>
      <c r="I332" s="2" t="s">
        <v>284</v>
      </c>
      <c r="J332" s="2" t="s">
        <v>285</v>
      </c>
      <c r="K332" s="2" t="s">
        <v>38</v>
      </c>
      <c r="L332" s="2" t="s">
        <v>38</v>
      </c>
      <c r="M332" s="2" t="s">
        <v>38</v>
      </c>
      <c r="N332" s="2" t="s">
        <v>38</v>
      </c>
      <c r="O332" s="2" t="s">
        <v>38</v>
      </c>
      <c r="P332" s="2" t="s">
        <v>38</v>
      </c>
      <c r="Q332" s="2" t="s">
        <v>38</v>
      </c>
      <c r="R332" s="2" t="s">
        <v>38</v>
      </c>
      <c r="S332" s="2" t="s">
        <v>38</v>
      </c>
      <c r="T332" s="2" t="s">
        <v>39</v>
      </c>
      <c r="U332" s="2" t="s">
        <v>38</v>
      </c>
      <c r="V332" s="2" t="s">
        <v>39</v>
      </c>
      <c r="W332" s="2" t="s">
        <v>38</v>
      </c>
      <c r="X332" s="2" t="s">
        <v>39</v>
      </c>
      <c r="Y332" s="2" t="s">
        <v>38</v>
      </c>
      <c r="Z332" s="2" t="s">
        <v>38</v>
      </c>
      <c r="AA332" s="2" t="s">
        <v>38</v>
      </c>
      <c r="AB332" s="2" t="s">
        <v>39</v>
      </c>
      <c r="AC332" s="2" t="s">
        <v>38</v>
      </c>
      <c r="AD332" s="2" t="s">
        <v>38</v>
      </c>
      <c r="AE332" s="2" t="s">
        <v>38</v>
      </c>
    </row>
    <row r="333" spans="1:31" ht="409.5">
      <c r="A333" s="2">
        <v>2725666</v>
      </c>
      <c r="B333" s="2">
        <f>HYPERLINK("https://platform.v2.vetology.net/cases/2725666/screening-report/18?type=pdf&amp;v=v6&amp;scorecard=1&amp;secret_key=BX%25IJ%24%2F65ieZ%29f6", 2725666)</f>
        <v>2725666</v>
      </c>
      <c r="C333" s="2">
        <f>HYPERLINK("https://platform.v2.vetology.net/report/v/final/"&amp;2725666, 2725666)</f>
        <v>2725666</v>
      </c>
      <c r="D333" s="2" t="s">
        <v>1160</v>
      </c>
      <c r="E333" s="2" t="s">
        <v>1161</v>
      </c>
      <c r="F333" s="2" t="s">
        <v>81</v>
      </c>
      <c r="G333" s="2" t="s">
        <v>268</v>
      </c>
      <c r="H333" s="2" t="s">
        <v>1162</v>
      </c>
      <c r="I333" s="2" t="s">
        <v>190</v>
      </c>
      <c r="J333" s="2" t="s">
        <v>112</v>
      </c>
      <c r="K333" s="2" t="s">
        <v>39</v>
      </c>
      <c r="L333" s="2" t="s">
        <v>39</v>
      </c>
      <c r="M333" s="2" t="s">
        <v>39</v>
      </c>
      <c r="N333" s="2" t="s">
        <v>39</v>
      </c>
      <c r="O333" s="2" t="s">
        <v>39</v>
      </c>
      <c r="P333" s="2" t="s">
        <v>39</v>
      </c>
      <c r="Q333" s="2" t="s">
        <v>39</v>
      </c>
      <c r="R333" s="2" t="s">
        <v>39</v>
      </c>
      <c r="S333" s="2" t="s">
        <v>39</v>
      </c>
      <c r="T333" s="2" t="s">
        <v>39</v>
      </c>
      <c r="U333" s="2" t="s">
        <v>39</v>
      </c>
      <c r="V333" s="2" t="s">
        <v>39</v>
      </c>
      <c r="W333" s="2" t="s">
        <v>39</v>
      </c>
      <c r="X333" s="2" t="s">
        <v>39</v>
      </c>
      <c r="Y333" s="2" t="s">
        <v>39</v>
      </c>
      <c r="Z333" s="2" t="s">
        <v>39</v>
      </c>
      <c r="AA333" s="2" t="s">
        <v>39</v>
      </c>
      <c r="AB333" s="2" t="s">
        <v>39</v>
      </c>
      <c r="AC333" s="2" t="s">
        <v>39</v>
      </c>
      <c r="AD333" s="2" t="s">
        <v>39</v>
      </c>
      <c r="AE333" s="2" t="s">
        <v>39</v>
      </c>
    </row>
    <row r="334" spans="1:31" ht="409.5">
      <c r="A334" s="2">
        <v>2725625</v>
      </c>
      <c r="B334" s="2">
        <f>HYPERLINK("https://platform.v2.vetology.net/cases/2725625/screening-report/18?type=pdf&amp;v=v6&amp;scorecard=1&amp;secret_key=BX%25IJ%24%2F65ieZ%29f6", 2725625)</f>
        <v>2725625</v>
      </c>
      <c r="C334" s="2">
        <f>HYPERLINK("https://platform.v2.vetology.net/report/v/final/"&amp;2725625, 2725625)</f>
        <v>2725625</v>
      </c>
      <c r="D334" s="2" t="s">
        <v>1163</v>
      </c>
      <c r="E334" s="2" t="s">
        <v>1164</v>
      </c>
      <c r="F334" s="2" t="s">
        <v>1165</v>
      </c>
      <c r="G334" s="2" t="s">
        <v>212</v>
      </c>
      <c r="H334" s="2" t="s">
        <v>1166</v>
      </c>
      <c r="I334" s="2" t="s">
        <v>1167</v>
      </c>
      <c r="J334" s="2" t="s">
        <v>1168</v>
      </c>
      <c r="K334" s="2" t="s">
        <v>38</v>
      </c>
      <c r="L334" s="2" t="s">
        <v>39</v>
      </c>
      <c r="M334" s="2" t="s">
        <v>39</v>
      </c>
      <c r="N334" s="2" t="s">
        <v>39</v>
      </c>
      <c r="O334" s="2" t="s">
        <v>39</v>
      </c>
      <c r="P334" s="2" t="s">
        <v>39</v>
      </c>
      <c r="Q334" s="2" t="s">
        <v>39</v>
      </c>
      <c r="R334" s="2" t="s">
        <v>38</v>
      </c>
      <c r="S334" s="2" t="s">
        <v>39</v>
      </c>
      <c r="T334" s="2" t="s">
        <v>39</v>
      </c>
      <c r="U334" s="2" t="s">
        <v>39</v>
      </c>
      <c r="V334" s="2" t="s">
        <v>39</v>
      </c>
      <c r="W334" s="2" t="s">
        <v>39</v>
      </c>
      <c r="X334" s="2" t="s">
        <v>39</v>
      </c>
      <c r="Y334" s="2" t="s">
        <v>39</v>
      </c>
      <c r="Z334" s="2" t="s">
        <v>39</v>
      </c>
      <c r="AA334" s="2" t="s">
        <v>38</v>
      </c>
      <c r="AB334" s="2" t="s">
        <v>39</v>
      </c>
      <c r="AC334" s="2" t="s">
        <v>39</v>
      </c>
      <c r="AD334" s="2" t="s">
        <v>39</v>
      </c>
      <c r="AE334" s="2" t="s">
        <v>39</v>
      </c>
    </row>
    <row r="335" spans="1:31" ht="409.5">
      <c r="A335" s="2">
        <v>2725114</v>
      </c>
      <c r="B335" s="2">
        <f>HYPERLINK("https://platform.v2.vetology.net/cases/2725114/screening-report/18?type=pdf&amp;v=v6&amp;scorecard=1&amp;secret_key=BX%25IJ%24%2F65ieZ%29f6", 2725114)</f>
        <v>2725114</v>
      </c>
      <c r="C335" s="2">
        <f>HYPERLINK("https://platform.v2.vetology.net/report/v/final/"&amp;2725114, 2725114)</f>
        <v>2725114</v>
      </c>
      <c r="D335" s="2" t="s">
        <v>1169</v>
      </c>
      <c r="E335" s="2" t="s">
        <v>1170</v>
      </c>
      <c r="F335" s="2" t="s">
        <v>81</v>
      </c>
      <c r="G335" s="2" t="s">
        <v>150</v>
      </c>
      <c r="H335" s="2" t="s">
        <v>1171</v>
      </c>
      <c r="I335" s="2" t="s">
        <v>49</v>
      </c>
      <c r="J335" s="2" t="s">
        <v>50</v>
      </c>
      <c r="K335" s="2" t="s">
        <v>38</v>
      </c>
      <c r="L335" s="2" t="s">
        <v>39</v>
      </c>
      <c r="M335" s="2" t="s">
        <v>38</v>
      </c>
      <c r="N335" s="2" t="s">
        <v>38</v>
      </c>
      <c r="O335" s="2" t="s">
        <v>38</v>
      </c>
      <c r="P335" s="2" t="s">
        <v>38</v>
      </c>
      <c r="Q335" s="2" t="s">
        <v>38</v>
      </c>
      <c r="R335" s="2" t="s">
        <v>38</v>
      </c>
      <c r="S335" s="2" t="s">
        <v>38</v>
      </c>
      <c r="T335" s="2" t="s">
        <v>38</v>
      </c>
      <c r="U335" s="2" t="s">
        <v>38</v>
      </c>
      <c r="V335" s="2" t="s">
        <v>38</v>
      </c>
      <c r="W335" s="2" t="s">
        <v>38</v>
      </c>
      <c r="X335" s="2" t="s">
        <v>38</v>
      </c>
      <c r="Y335" s="2" t="s">
        <v>38</v>
      </c>
      <c r="Z335" s="2" t="s">
        <v>38</v>
      </c>
      <c r="AA335" s="2" t="s">
        <v>38</v>
      </c>
      <c r="AB335" s="2" t="s">
        <v>39</v>
      </c>
      <c r="AC335" s="2" t="s">
        <v>38</v>
      </c>
      <c r="AD335" s="2" t="s">
        <v>38</v>
      </c>
      <c r="AE335" s="2" t="s">
        <v>38</v>
      </c>
    </row>
    <row r="336" spans="1:31" ht="409.5">
      <c r="A336" s="2">
        <v>2725105</v>
      </c>
      <c r="B336" s="2">
        <f>HYPERLINK("https://platform.v2.vetology.net/cases/2725105/screening-report/18?type=pdf&amp;v=v6&amp;scorecard=1&amp;secret_key=BX%25IJ%24%2F65ieZ%29f6", 2725105)</f>
        <v>2725105</v>
      </c>
      <c r="C336" s="2">
        <f>HYPERLINK("https://platform.v2.vetology.net/report/v/final/"&amp;2725105, 2725105)</f>
        <v>2725105</v>
      </c>
      <c r="D336" s="2" t="s">
        <v>1172</v>
      </c>
      <c r="E336" s="2" t="s">
        <v>1173</v>
      </c>
      <c r="F336" s="2" t="s">
        <v>1174</v>
      </c>
      <c r="G336" s="2" t="s">
        <v>34</v>
      </c>
      <c r="H336" s="2" t="s">
        <v>978</v>
      </c>
      <c r="I336" s="2" t="s">
        <v>284</v>
      </c>
      <c r="J336" s="2" t="s">
        <v>285</v>
      </c>
      <c r="K336" s="2" t="s">
        <v>38</v>
      </c>
      <c r="L336" s="2" t="s">
        <v>38</v>
      </c>
      <c r="M336" s="2" t="s">
        <v>38</v>
      </c>
      <c r="N336" s="2" t="s">
        <v>38</v>
      </c>
      <c r="O336" s="2" t="s">
        <v>38</v>
      </c>
      <c r="P336" s="2" t="s">
        <v>38</v>
      </c>
      <c r="Q336" s="2" t="s">
        <v>38</v>
      </c>
      <c r="R336" s="2" t="s">
        <v>38</v>
      </c>
      <c r="S336" s="2" t="s">
        <v>38</v>
      </c>
      <c r="T336" s="2" t="s">
        <v>39</v>
      </c>
      <c r="U336" s="2" t="s">
        <v>38</v>
      </c>
      <c r="V336" s="2" t="s">
        <v>39</v>
      </c>
      <c r="W336" s="2" t="s">
        <v>38</v>
      </c>
      <c r="X336" s="2" t="s">
        <v>39</v>
      </c>
      <c r="Y336" s="2" t="s">
        <v>38</v>
      </c>
      <c r="Z336" s="2" t="s">
        <v>38</v>
      </c>
      <c r="AA336" s="2" t="s">
        <v>38</v>
      </c>
      <c r="AB336" s="2" t="s">
        <v>38</v>
      </c>
      <c r="AC336" s="2" t="s">
        <v>38</v>
      </c>
      <c r="AD336" s="2" t="s">
        <v>38</v>
      </c>
      <c r="AE336" s="2" t="s">
        <v>38</v>
      </c>
    </row>
    <row r="337" spans="1:31" ht="409.5">
      <c r="A337" s="2">
        <v>2724760</v>
      </c>
      <c r="B337" s="2">
        <f>HYPERLINK("https://platform.v2.vetology.net/cases/2724760/screening-report/18?type=pdf&amp;v=v6&amp;scorecard=1&amp;secret_key=BX%25IJ%24%2F65ieZ%29f6", 2724760)</f>
        <v>2724760</v>
      </c>
      <c r="C337" s="2">
        <f>HYPERLINK("https://platform.v2.vetology.net/report/v/final/"&amp;2724760, 2724760)</f>
        <v>2724760</v>
      </c>
      <c r="D337" s="2" t="s">
        <v>1175</v>
      </c>
      <c r="E337" s="2" t="s">
        <v>1176</v>
      </c>
      <c r="F337" s="2" t="s">
        <v>81</v>
      </c>
      <c r="G337" s="2" t="s">
        <v>82</v>
      </c>
      <c r="H337" s="2" t="s">
        <v>1177</v>
      </c>
      <c r="I337" s="2" t="s">
        <v>111</v>
      </c>
      <c r="J337" s="2" t="s">
        <v>112</v>
      </c>
      <c r="K337" s="2" t="s">
        <v>39</v>
      </c>
      <c r="L337" s="2" t="s">
        <v>39</v>
      </c>
      <c r="M337" s="2" t="s">
        <v>39</v>
      </c>
      <c r="N337" s="2" t="s">
        <v>39</v>
      </c>
      <c r="O337" s="2" t="s">
        <v>39</v>
      </c>
      <c r="P337" s="2" t="s">
        <v>39</v>
      </c>
      <c r="Q337" s="2" t="s">
        <v>39</v>
      </c>
      <c r="R337" s="2" t="s">
        <v>39</v>
      </c>
      <c r="S337" s="2" t="s">
        <v>39</v>
      </c>
      <c r="T337" s="2" t="s">
        <v>39</v>
      </c>
      <c r="U337" s="2" t="s">
        <v>39</v>
      </c>
      <c r="V337" s="2" t="s">
        <v>39</v>
      </c>
      <c r="W337" s="2" t="s">
        <v>39</v>
      </c>
      <c r="X337" s="2" t="s">
        <v>39</v>
      </c>
      <c r="Y337" s="2" t="s">
        <v>38</v>
      </c>
      <c r="Z337" s="2" t="s">
        <v>39</v>
      </c>
      <c r="AA337" s="2" t="s">
        <v>39</v>
      </c>
      <c r="AB337" s="2" t="s">
        <v>39</v>
      </c>
      <c r="AC337" s="2" t="s">
        <v>39</v>
      </c>
      <c r="AD337" s="2" t="s">
        <v>38</v>
      </c>
      <c r="AE337" s="2" t="s">
        <v>39</v>
      </c>
    </row>
    <row r="338" spans="1:31" ht="409.5">
      <c r="A338" s="2">
        <v>2724704</v>
      </c>
      <c r="B338" s="2">
        <f>HYPERLINK("https://platform.v2.vetology.net/cases/2724704/screening-report/18?type=pdf&amp;v=v6&amp;scorecard=1&amp;secret_key=BX%25IJ%24%2F65ieZ%29f6", 2724704)</f>
        <v>2724704</v>
      </c>
      <c r="C338" s="2">
        <f>HYPERLINK("https://platform.v2.vetology.net/report/v/final/"&amp;2724704, 2724704)</f>
        <v>2724704</v>
      </c>
      <c r="D338" s="2" t="s">
        <v>1178</v>
      </c>
      <c r="E338" s="2" t="s">
        <v>1179</v>
      </c>
      <c r="F338" s="2" t="s">
        <v>81</v>
      </c>
      <c r="G338" s="2" t="s">
        <v>268</v>
      </c>
      <c r="H338" s="2" t="s">
        <v>1180</v>
      </c>
      <c r="I338" s="2" t="s">
        <v>158</v>
      </c>
      <c r="J338" s="2" t="s">
        <v>50</v>
      </c>
      <c r="K338" s="2" t="s">
        <v>38</v>
      </c>
      <c r="L338" s="2" t="s">
        <v>39</v>
      </c>
      <c r="M338" s="2" t="s">
        <v>38</v>
      </c>
      <c r="N338" s="2" t="s">
        <v>38</v>
      </c>
      <c r="O338" s="2" t="s">
        <v>38</v>
      </c>
      <c r="P338" s="2" t="s">
        <v>38</v>
      </c>
      <c r="Q338" s="2" t="s">
        <v>38</v>
      </c>
      <c r="R338" s="2" t="s">
        <v>38</v>
      </c>
      <c r="S338" s="2" t="s">
        <v>38</v>
      </c>
      <c r="T338" s="2" t="s">
        <v>39</v>
      </c>
      <c r="U338" s="2" t="s">
        <v>38</v>
      </c>
      <c r="V338" s="2" t="s">
        <v>39</v>
      </c>
      <c r="W338" s="2" t="s">
        <v>38</v>
      </c>
      <c r="X338" s="2" t="s">
        <v>39</v>
      </c>
      <c r="Y338" s="2" t="s">
        <v>38</v>
      </c>
      <c r="Z338" s="2" t="s">
        <v>39</v>
      </c>
      <c r="AA338" s="2" t="s">
        <v>38</v>
      </c>
      <c r="AB338" s="2" t="s">
        <v>38</v>
      </c>
      <c r="AC338" s="2" t="s">
        <v>38</v>
      </c>
      <c r="AD338" s="2" t="s">
        <v>38</v>
      </c>
      <c r="AE338" s="2" t="s">
        <v>39</v>
      </c>
    </row>
    <row r="339" spans="1:31" ht="409.5">
      <c r="A339" s="2">
        <v>2724599</v>
      </c>
      <c r="B339" s="2">
        <f>HYPERLINK("https://platform.v2.vetology.net/cases/2724599/screening-report/18?type=pdf&amp;v=v6&amp;scorecard=1&amp;secret_key=BX%25IJ%24%2F65ieZ%29f6", 2724599)</f>
        <v>2724599</v>
      </c>
      <c r="C339" s="2">
        <f>HYPERLINK("https://platform.v2.vetology.net/report/v/final/"&amp;2724599, 2724599)</f>
        <v>2724599</v>
      </c>
      <c r="D339" s="2" t="s">
        <v>1181</v>
      </c>
      <c r="E339" s="2" t="s">
        <v>1182</v>
      </c>
      <c r="F339" s="2" t="s">
        <v>1183</v>
      </c>
      <c r="G339" s="2" t="s">
        <v>93</v>
      </c>
      <c r="H339" s="2" t="s">
        <v>78</v>
      </c>
      <c r="I339" s="2" t="s">
        <v>44</v>
      </c>
      <c r="J339" s="2" t="s">
        <v>106</v>
      </c>
      <c r="K339" s="2" t="s">
        <v>38</v>
      </c>
      <c r="L339" s="2" t="s">
        <v>39</v>
      </c>
      <c r="M339" s="2" t="s">
        <v>38</v>
      </c>
      <c r="N339" s="2" t="s">
        <v>38</v>
      </c>
      <c r="O339" s="2" t="s">
        <v>38</v>
      </c>
      <c r="P339" s="2" t="s">
        <v>38</v>
      </c>
      <c r="Q339" s="2" t="s">
        <v>38</v>
      </c>
      <c r="R339" s="2" t="s">
        <v>38</v>
      </c>
      <c r="S339" s="2" t="s">
        <v>38</v>
      </c>
      <c r="T339" s="2" t="s">
        <v>38</v>
      </c>
      <c r="U339" s="2" t="s">
        <v>38</v>
      </c>
      <c r="V339" s="2" t="s">
        <v>38</v>
      </c>
      <c r="W339" s="2" t="s">
        <v>38</v>
      </c>
      <c r="X339" s="2" t="s">
        <v>38</v>
      </c>
      <c r="Y339" s="2" t="s">
        <v>39</v>
      </c>
      <c r="Z339" s="2" t="s">
        <v>38</v>
      </c>
      <c r="AA339" s="2" t="s">
        <v>38</v>
      </c>
      <c r="AB339" s="2" t="s">
        <v>38</v>
      </c>
      <c r="AC339" s="2" t="s">
        <v>38</v>
      </c>
      <c r="AD339" s="2" t="s">
        <v>38</v>
      </c>
      <c r="AE339" s="2" t="s">
        <v>38</v>
      </c>
    </row>
    <row r="340" spans="1:31" ht="409.5">
      <c r="A340" s="2">
        <v>2724428</v>
      </c>
      <c r="B340" s="2">
        <f>HYPERLINK("https://platform.v2.vetology.net/cases/2724428/screening-report/18?type=pdf&amp;v=v6&amp;scorecard=1&amp;secret_key=BX%25IJ%24%2F65ieZ%29f6", 2724428)</f>
        <v>2724428</v>
      </c>
      <c r="C340" s="2">
        <f>HYPERLINK("https://platform.v2.vetology.net/report/v/final/"&amp;2724428, 2724428)</f>
        <v>2724428</v>
      </c>
      <c r="D340" s="2" t="s">
        <v>1184</v>
      </c>
      <c r="E340" s="2" t="s">
        <v>1185</v>
      </c>
      <c r="F340" s="2" t="s">
        <v>1186</v>
      </c>
      <c r="G340" s="2" t="s">
        <v>93</v>
      </c>
      <c r="H340" s="2" t="s">
        <v>136</v>
      </c>
      <c r="I340" s="2" t="s">
        <v>137</v>
      </c>
      <c r="J340" s="2" t="s">
        <v>66</v>
      </c>
      <c r="K340" s="2" t="s">
        <v>38</v>
      </c>
      <c r="L340" s="2" t="s">
        <v>39</v>
      </c>
      <c r="M340" s="2" t="s">
        <v>39</v>
      </c>
      <c r="N340" s="2" t="s">
        <v>38</v>
      </c>
      <c r="O340" s="2" t="s">
        <v>38</v>
      </c>
      <c r="P340" s="2" t="s">
        <v>38</v>
      </c>
      <c r="Q340" s="2" t="s">
        <v>38</v>
      </c>
      <c r="R340" s="2" t="s">
        <v>38</v>
      </c>
      <c r="S340" s="2" t="s">
        <v>38</v>
      </c>
      <c r="T340" s="2" t="s">
        <v>38</v>
      </c>
      <c r="U340" s="2" t="s">
        <v>38</v>
      </c>
      <c r="V340" s="2" t="s">
        <v>38</v>
      </c>
      <c r="W340" s="2" t="s">
        <v>38</v>
      </c>
      <c r="X340" s="2" t="s">
        <v>39</v>
      </c>
      <c r="Y340" s="2" t="s">
        <v>38</v>
      </c>
      <c r="Z340" s="2" t="s">
        <v>38</v>
      </c>
      <c r="AA340" s="2" t="s">
        <v>38</v>
      </c>
      <c r="AB340" s="2" t="s">
        <v>39</v>
      </c>
      <c r="AC340" s="2" t="s">
        <v>38</v>
      </c>
      <c r="AD340" s="2" t="s">
        <v>38</v>
      </c>
      <c r="AE340" s="2" t="s">
        <v>38</v>
      </c>
    </row>
    <row r="341" spans="1:31" ht="409.5">
      <c r="A341" s="2">
        <v>2724233</v>
      </c>
      <c r="B341" s="2">
        <f>HYPERLINK("https://platform.v2.vetology.net/cases/2724233/screening-report/18?type=pdf&amp;v=v6&amp;scorecard=1&amp;secret_key=BX%25IJ%24%2F65ieZ%29f6", 2724233)</f>
        <v>2724233</v>
      </c>
      <c r="C341" s="2">
        <f>HYPERLINK("https://platform.v2.vetology.net/report/v/final/"&amp;2724233, 2724233)</f>
        <v>2724233</v>
      </c>
      <c r="D341" s="2" t="s">
        <v>1187</v>
      </c>
      <c r="E341" s="2" t="s">
        <v>1188</v>
      </c>
      <c r="F341" s="2" t="s">
        <v>81</v>
      </c>
      <c r="G341" s="2" t="s">
        <v>268</v>
      </c>
      <c r="H341" s="2" t="s">
        <v>94</v>
      </c>
      <c r="I341" s="2" t="s">
        <v>89</v>
      </c>
      <c r="J341" s="2" t="s">
        <v>66</v>
      </c>
      <c r="K341" s="2" t="s">
        <v>38</v>
      </c>
      <c r="L341" s="2" t="s">
        <v>38</v>
      </c>
      <c r="M341" s="2" t="s">
        <v>38</v>
      </c>
      <c r="N341" s="2" t="s">
        <v>38</v>
      </c>
      <c r="O341" s="2" t="s">
        <v>38</v>
      </c>
      <c r="P341" s="2" t="s">
        <v>38</v>
      </c>
      <c r="Q341" s="2" t="s">
        <v>38</v>
      </c>
      <c r="R341" s="2" t="s">
        <v>38</v>
      </c>
      <c r="S341" s="2" t="s">
        <v>38</v>
      </c>
      <c r="T341" s="2" t="s">
        <v>38</v>
      </c>
      <c r="U341" s="2" t="s">
        <v>38</v>
      </c>
      <c r="V341" s="2" t="s">
        <v>38</v>
      </c>
      <c r="W341" s="2" t="s">
        <v>38</v>
      </c>
      <c r="X341" s="2" t="s">
        <v>38</v>
      </c>
      <c r="Y341" s="2" t="s">
        <v>38</v>
      </c>
      <c r="Z341" s="2" t="s">
        <v>38</v>
      </c>
      <c r="AA341" s="2" t="s">
        <v>38</v>
      </c>
      <c r="AB341" s="2" t="s">
        <v>38</v>
      </c>
      <c r="AC341" s="2" t="s">
        <v>38</v>
      </c>
      <c r="AD341" s="2" t="s">
        <v>38</v>
      </c>
      <c r="AE341" s="2" t="s">
        <v>39</v>
      </c>
    </row>
    <row r="342" spans="1:31" ht="409.5">
      <c r="A342" s="2">
        <v>2723952</v>
      </c>
      <c r="B342" s="2">
        <f>HYPERLINK("https://platform.v2.vetology.net/cases/2723952/screening-report/18?type=pdf&amp;v=v6&amp;scorecard=1&amp;secret_key=BX%25IJ%24%2F65ieZ%29f6", 2723952)</f>
        <v>2723952</v>
      </c>
      <c r="C342" s="2">
        <f>HYPERLINK("https://platform.v2.vetology.net/report/v/final/"&amp;2723952, 2723952)</f>
        <v>2723952</v>
      </c>
      <c r="D342" s="2" t="s">
        <v>1189</v>
      </c>
      <c r="E342" s="2" t="s">
        <v>1190</v>
      </c>
      <c r="F342" s="2" t="s">
        <v>1191</v>
      </c>
      <c r="G342" s="2" t="s">
        <v>34</v>
      </c>
      <c r="H342" s="2" t="s">
        <v>978</v>
      </c>
      <c r="I342" s="2" t="s">
        <v>284</v>
      </c>
      <c r="J342" s="2" t="s">
        <v>285</v>
      </c>
      <c r="K342" s="2" t="s">
        <v>38</v>
      </c>
      <c r="L342" s="2" t="s">
        <v>38</v>
      </c>
      <c r="M342" s="2" t="s">
        <v>38</v>
      </c>
      <c r="N342" s="2" t="s">
        <v>38</v>
      </c>
      <c r="O342" s="2" t="s">
        <v>38</v>
      </c>
      <c r="P342" s="2" t="s">
        <v>38</v>
      </c>
      <c r="Q342" s="2" t="s">
        <v>38</v>
      </c>
      <c r="R342" s="2" t="s">
        <v>38</v>
      </c>
      <c r="S342" s="2" t="s">
        <v>38</v>
      </c>
      <c r="T342" s="2" t="s">
        <v>38</v>
      </c>
      <c r="U342" s="2" t="s">
        <v>38</v>
      </c>
      <c r="V342" s="2" t="s">
        <v>38</v>
      </c>
      <c r="W342" s="2" t="s">
        <v>38</v>
      </c>
      <c r="X342" s="2" t="s">
        <v>38</v>
      </c>
      <c r="Y342" s="2" t="s">
        <v>38</v>
      </c>
      <c r="Z342" s="2" t="s">
        <v>38</v>
      </c>
      <c r="AA342" s="2" t="s">
        <v>38</v>
      </c>
      <c r="AB342" s="2" t="s">
        <v>38</v>
      </c>
      <c r="AC342" s="2" t="s">
        <v>38</v>
      </c>
      <c r="AD342" s="2" t="s">
        <v>38</v>
      </c>
      <c r="AE342" s="2" t="s">
        <v>38</v>
      </c>
    </row>
    <row r="343" spans="1:31" ht="409.5">
      <c r="A343" s="2">
        <v>2723919</v>
      </c>
      <c r="B343" s="2">
        <f>HYPERLINK("https://platform.v2.vetology.net/cases/2723919/screening-report/18?type=pdf&amp;v=v6&amp;scorecard=1&amp;secret_key=BX%25IJ%24%2F65ieZ%29f6", 2723919)</f>
        <v>2723919</v>
      </c>
      <c r="C343" s="2">
        <f>HYPERLINK("https://platform.v2.vetology.net/report/v/final/"&amp;2723919, 2723919)</f>
        <v>2723919</v>
      </c>
      <c r="D343" s="2" t="s">
        <v>1043</v>
      </c>
      <c r="E343" s="2" t="s">
        <v>1192</v>
      </c>
      <c r="F343" s="2" t="s">
        <v>1193</v>
      </c>
      <c r="G343" s="2" t="s">
        <v>135</v>
      </c>
      <c r="H343" s="2" t="s">
        <v>1194</v>
      </c>
      <c r="I343" s="2" t="s">
        <v>158</v>
      </c>
      <c r="J343" s="2" t="s">
        <v>50</v>
      </c>
      <c r="K343" s="2" t="s">
        <v>38</v>
      </c>
      <c r="L343" s="2" t="s">
        <v>39</v>
      </c>
      <c r="M343" s="2" t="s">
        <v>38</v>
      </c>
      <c r="N343" s="2" t="s">
        <v>38</v>
      </c>
      <c r="O343" s="2" t="s">
        <v>38</v>
      </c>
      <c r="P343" s="2" t="s">
        <v>38</v>
      </c>
      <c r="Q343" s="2" t="s">
        <v>38</v>
      </c>
      <c r="R343" s="2" t="s">
        <v>38</v>
      </c>
      <c r="S343" s="2" t="s">
        <v>38</v>
      </c>
      <c r="T343" s="2" t="s">
        <v>38</v>
      </c>
      <c r="U343" s="2" t="s">
        <v>38</v>
      </c>
      <c r="V343" s="2" t="s">
        <v>39</v>
      </c>
      <c r="W343" s="2" t="s">
        <v>38</v>
      </c>
      <c r="X343" s="2" t="s">
        <v>38</v>
      </c>
      <c r="Y343" s="2" t="s">
        <v>38</v>
      </c>
      <c r="Z343" s="2" t="s">
        <v>38</v>
      </c>
      <c r="AA343" s="2" t="s">
        <v>38</v>
      </c>
      <c r="AB343" s="2" t="s">
        <v>38</v>
      </c>
      <c r="AC343" s="2" t="s">
        <v>38</v>
      </c>
      <c r="AD343" s="2" t="s">
        <v>38</v>
      </c>
      <c r="AE343" s="2" t="s">
        <v>38</v>
      </c>
    </row>
    <row r="344" spans="1:31" ht="409.5">
      <c r="A344" s="2">
        <v>2723747</v>
      </c>
      <c r="B344" s="2">
        <f>HYPERLINK("https://platform.v2.vetology.net/cases/2723747/screening-report/18?type=pdf&amp;v=v6&amp;scorecard=1&amp;secret_key=BX%25IJ%24%2F65ieZ%29f6", 2723747)</f>
        <v>2723747</v>
      </c>
      <c r="C344" s="2">
        <f>HYPERLINK("https://platform.v2.vetology.net/report/v/final/"&amp;2723747, 2723747)</f>
        <v>2723747</v>
      </c>
      <c r="D344" s="2" t="s">
        <v>1195</v>
      </c>
      <c r="E344" s="2" t="s">
        <v>1196</v>
      </c>
      <c r="F344" s="2"/>
      <c r="G344" s="2" t="s">
        <v>268</v>
      </c>
      <c r="H344" s="2" t="s">
        <v>78</v>
      </c>
      <c r="I344" s="2" t="s">
        <v>44</v>
      </c>
      <c r="J344" s="2"/>
      <c r="K344" s="2" t="s">
        <v>38</v>
      </c>
      <c r="L344" s="2" t="s">
        <v>38</v>
      </c>
      <c r="M344" s="2" t="s">
        <v>38</v>
      </c>
      <c r="N344" s="2" t="s">
        <v>38</v>
      </c>
      <c r="O344" s="2" t="s">
        <v>38</v>
      </c>
      <c r="P344" s="2" t="s">
        <v>38</v>
      </c>
      <c r="Q344" s="2" t="s">
        <v>38</v>
      </c>
      <c r="R344" s="2" t="s">
        <v>38</v>
      </c>
      <c r="S344" s="2" t="s">
        <v>38</v>
      </c>
      <c r="T344" s="2" t="s">
        <v>38</v>
      </c>
      <c r="U344" s="2" t="s">
        <v>38</v>
      </c>
      <c r="V344" s="2" t="s">
        <v>39</v>
      </c>
      <c r="W344" s="2" t="s">
        <v>38</v>
      </c>
      <c r="X344" s="2" t="s">
        <v>39</v>
      </c>
      <c r="Y344" s="2" t="s">
        <v>38</v>
      </c>
      <c r="Z344" s="2" t="s">
        <v>38</v>
      </c>
      <c r="AA344" s="2" t="s">
        <v>38</v>
      </c>
      <c r="AB344" s="2" t="s">
        <v>39</v>
      </c>
      <c r="AC344" s="2" t="s">
        <v>38</v>
      </c>
      <c r="AD344" s="2" t="s">
        <v>38</v>
      </c>
      <c r="AE344" s="2" t="s">
        <v>38</v>
      </c>
    </row>
    <row r="345" spans="1:31" ht="409.5">
      <c r="A345" s="2">
        <v>2723712</v>
      </c>
      <c r="B345" s="2">
        <f>HYPERLINK("https://platform.v2.vetology.net/cases/2723712/screening-report/18?type=pdf&amp;v=v6&amp;scorecard=1&amp;secret_key=BX%25IJ%24%2F65ieZ%29f6", 2723712)</f>
        <v>2723712</v>
      </c>
      <c r="C345" s="2">
        <f>HYPERLINK("https://platform.v2.vetology.net/report/v/final/"&amp;2723712, 2723712)</f>
        <v>2723712</v>
      </c>
      <c r="D345" s="2" t="s">
        <v>1197</v>
      </c>
      <c r="E345" s="2" t="s">
        <v>1198</v>
      </c>
      <c r="F345" s="2"/>
      <c r="G345" s="2" t="s">
        <v>268</v>
      </c>
      <c r="H345" s="2" t="s">
        <v>1199</v>
      </c>
      <c r="I345" s="2" t="s">
        <v>227</v>
      </c>
      <c r="J345" s="2" t="s">
        <v>228</v>
      </c>
      <c r="K345" s="2" t="s">
        <v>38</v>
      </c>
      <c r="L345" s="2" t="s">
        <v>39</v>
      </c>
      <c r="M345" s="2" t="s">
        <v>38</v>
      </c>
      <c r="N345" s="2" t="s">
        <v>38</v>
      </c>
      <c r="O345" s="2" t="s">
        <v>38</v>
      </c>
      <c r="P345" s="2" t="s">
        <v>38</v>
      </c>
      <c r="Q345" s="2" t="s">
        <v>38</v>
      </c>
      <c r="R345" s="2" t="s">
        <v>38</v>
      </c>
      <c r="S345" s="2" t="s">
        <v>38</v>
      </c>
      <c r="T345" s="2" t="s">
        <v>39</v>
      </c>
      <c r="U345" s="2" t="s">
        <v>38</v>
      </c>
      <c r="V345" s="2" t="s">
        <v>39</v>
      </c>
      <c r="W345" s="2" t="s">
        <v>38</v>
      </c>
      <c r="X345" s="2" t="s">
        <v>39</v>
      </c>
      <c r="Y345" s="2" t="s">
        <v>38</v>
      </c>
      <c r="Z345" s="2" t="s">
        <v>38</v>
      </c>
      <c r="AA345" s="2" t="s">
        <v>38</v>
      </c>
      <c r="AB345" s="2" t="s">
        <v>39</v>
      </c>
      <c r="AC345" s="2" t="s">
        <v>39</v>
      </c>
      <c r="AD345" s="2" t="s">
        <v>38</v>
      </c>
      <c r="AE345" s="2" t="s">
        <v>38</v>
      </c>
    </row>
    <row r="346" spans="1:31" ht="409.5">
      <c r="A346" s="2">
        <v>2723680</v>
      </c>
      <c r="B346" s="2">
        <f>HYPERLINK("https://platform.v2.vetology.net/cases/2723680/screening-report/18?type=pdf&amp;v=v6&amp;scorecard=1&amp;secret_key=BX%25IJ%24%2F65ieZ%29f6", 2723680)</f>
        <v>2723680</v>
      </c>
      <c r="C346" s="2">
        <f>HYPERLINK("https://platform.v2.vetology.net/report/v/final/"&amp;2723680, 2723680)</f>
        <v>2723680</v>
      </c>
      <c r="D346" s="2" t="s">
        <v>1200</v>
      </c>
      <c r="E346" s="2" t="s">
        <v>1201</v>
      </c>
      <c r="F346" s="2" t="s">
        <v>81</v>
      </c>
      <c r="G346" s="2" t="s">
        <v>268</v>
      </c>
      <c r="H346" s="2" t="s">
        <v>762</v>
      </c>
      <c r="I346" s="2" t="s">
        <v>184</v>
      </c>
      <c r="J346" s="2" t="s">
        <v>185</v>
      </c>
      <c r="K346" s="2" t="s">
        <v>38</v>
      </c>
      <c r="L346" s="2" t="s">
        <v>39</v>
      </c>
      <c r="M346" s="2" t="s">
        <v>39</v>
      </c>
      <c r="N346" s="2" t="s">
        <v>38</v>
      </c>
      <c r="O346" s="2" t="s">
        <v>38</v>
      </c>
      <c r="P346" s="2" t="s">
        <v>39</v>
      </c>
      <c r="Q346" s="2" t="s">
        <v>38</v>
      </c>
      <c r="R346" s="2" t="s">
        <v>38</v>
      </c>
      <c r="S346" s="2" t="s">
        <v>38</v>
      </c>
      <c r="T346" s="2" t="s">
        <v>38</v>
      </c>
      <c r="U346" s="2" t="s">
        <v>38</v>
      </c>
      <c r="V346" s="2" t="s">
        <v>38</v>
      </c>
      <c r="W346" s="2" t="s">
        <v>38</v>
      </c>
      <c r="X346" s="2" t="s">
        <v>38</v>
      </c>
      <c r="Y346" s="2" t="s">
        <v>38</v>
      </c>
      <c r="Z346" s="2" t="s">
        <v>38</v>
      </c>
      <c r="AA346" s="2" t="s">
        <v>38</v>
      </c>
      <c r="AB346" s="2" t="s">
        <v>38</v>
      </c>
      <c r="AC346" s="2" t="s">
        <v>38</v>
      </c>
      <c r="AD346" s="2" t="s">
        <v>38</v>
      </c>
      <c r="AE346" s="2" t="s">
        <v>38</v>
      </c>
    </row>
    <row r="347" spans="1:31" ht="409.5">
      <c r="A347" s="2">
        <v>2723484</v>
      </c>
      <c r="B347" s="2">
        <f>HYPERLINK("https://platform.v2.vetology.net/cases/2723484/screening-report/18?type=pdf&amp;v=v6&amp;scorecard=1&amp;secret_key=BX%25IJ%24%2F65ieZ%29f6", 2723484)</f>
        <v>2723484</v>
      </c>
      <c r="C347" s="2">
        <f>HYPERLINK("https://platform.v2.vetology.net/report/v/final/"&amp;2723484, 2723484)</f>
        <v>2723484</v>
      </c>
      <c r="D347" s="2" t="s">
        <v>1202</v>
      </c>
      <c r="E347" s="2" t="s">
        <v>1203</v>
      </c>
      <c r="F347" s="2" t="s">
        <v>1204</v>
      </c>
      <c r="G347" s="2" t="s">
        <v>575</v>
      </c>
      <c r="H347" s="2" t="s">
        <v>1205</v>
      </c>
      <c r="I347" s="2" t="s">
        <v>245</v>
      </c>
      <c r="J347" s="2" t="s">
        <v>246</v>
      </c>
      <c r="K347" s="2" t="s">
        <v>38</v>
      </c>
      <c r="L347" s="2" t="s">
        <v>39</v>
      </c>
      <c r="M347" s="2" t="s">
        <v>38</v>
      </c>
      <c r="N347" s="2" t="s">
        <v>38</v>
      </c>
      <c r="O347" s="2" t="s">
        <v>38</v>
      </c>
      <c r="P347" s="2" t="s">
        <v>38</v>
      </c>
      <c r="Q347" s="2" t="s">
        <v>38</v>
      </c>
      <c r="R347" s="2" t="s">
        <v>38</v>
      </c>
      <c r="S347" s="2" t="s">
        <v>38</v>
      </c>
      <c r="T347" s="2" t="s">
        <v>39</v>
      </c>
      <c r="U347" s="2" t="s">
        <v>38</v>
      </c>
      <c r="V347" s="2" t="s">
        <v>39</v>
      </c>
      <c r="W347" s="2" t="s">
        <v>38</v>
      </c>
      <c r="X347" s="2" t="s">
        <v>39</v>
      </c>
      <c r="Y347" s="2" t="s">
        <v>38</v>
      </c>
      <c r="Z347" s="2" t="s">
        <v>38</v>
      </c>
      <c r="AA347" s="2" t="s">
        <v>38</v>
      </c>
      <c r="AB347" s="2" t="s">
        <v>39</v>
      </c>
      <c r="AC347" s="2" t="s">
        <v>38</v>
      </c>
      <c r="AD347" s="2" t="s">
        <v>38</v>
      </c>
      <c r="AE347" s="2" t="s">
        <v>39</v>
      </c>
    </row>
    <row r="348" spans="1:31" ht="409.5">
      <c r="A348" s="2">
        <v>2723367</v>
      </c>
      <c r="B348" s="2">
        <f>HYPERLINK("https://platform.v2.vetology.net/cases/2723367/screening-report/18?type=pdf&amp;v=v6&amp;scorecard=1&amp;secret_key=BX%25IJ%24%2F65ieZ%29f6", 2723367)</f>
        <v>2723367</v>
      </c>
      <c r="C348" s="2">
        <f>HYPERLINK("https://platform.v2.vetology.net/report/v/final/"&amp;2723367, 2723367)</f>
        <v>2723367</v>
      </c>
      <c r="D348" s="2" t="s">
        <v>1206</v>
      </c>
      <c r="E348" s="2" t="s">
        <v>1207</v>
      </c>
      <c r="F348" s="2" t="s">
        <v>1208</v>
      </c>
      <c r="G348" s="2" t="s">
        <v>58</v>
      </c>
      <c r="H348" s="2" t="s">
        <v>54</v>
      </c>
      <c r="I348" s="2" t="s">
        <v>44</v>
      </c>
      <c r="J348" s="2" t="s">
        <v>106</v>
      </c>
      <c r="K348" s="2" t="s">
        <v>38</v>
      </c>
      <c r="L348" s="2" t="s">
        <v>38</v>
      </c>
      <c r="M348" s="2" t="s">
        <v>38</v>
      </c>
      <c r="N348" s="2" t="s">
        <v>38</v>
      </c>
      <c r="O348" s="2" t="s">
        <v>38</v>
      </c>
      <c r="P348" s="2" t="s">
        <v>38</v>
      </c>
      <c r="Q348" s="2" t="s">
        <v>38</v>
      </c>
      <c r="R348" s="2" t="s">
        <v>38</v>
      </c>
      <c r="S348" s="2" t="s">
        <v>38</v>
      </c>
      <c r="T348" s="2" t="s">
        <v>38</v>
      </c>
      <c r="U348" s="2" t="s">
        <v>38</v>
      </c>
      <c r="V348" s="2" t="s">
        <v>38</v>
      </c>
      <c r="W348" s="2" t="s">
        <v>38</v>
      </c>
      <c r="X348" s="2" t="s">
        <v>38</v>
      </c>
      <c r="Y348" s="2" t="s">
        <v>38</v>
      </c>
      <c r="Z348" s="2" t="s">
        <v>38</v>
      </c>
      <c r="AA348" s="2" t="s">
        <v>38</v>
      </c>
      <c r="AB348" s="2" t="s">
        <v>38</v>
      </c>
      <c r="AC348" s="2" t="s">
        <v>38</v>
      </c>
      <c r="AD348" s="2" t="s">
        <v>38</v>
      </c>
      <c r="AE348" s="2" t="s">
        <v>38</v>
      </c>
    </row>
    <row r="349" spans="1:31" ht="409.5">
      <c r="A349" s="2">
        <v>2723262</v>
      </c>
      <c r="B349" s="2">
        <f>HYPERLINK("https://platform.v2.vetology.net/cases/2723262/screening-report/18?type=pdf&amp;v=v6&amp;scorecard=1&amp;secret_key=BX%25IJ%24%2F65ieZ%29f6", 2723262)</f>
        <v>2723262</v>
      </c>
      <c r="C349" s="2">
        <f>HYPERLINK("https://platform.v2.vetology.net/report/v/final/"&amp;2723262, 2723262)</f>
        <v>2723262</v>
      </c>
      <c r="D349" s="2" t="s">
        <v>1209</v>
      </c>
      <c r="E349" s="2" t="s">
        <v>1210</v>
      </c>
      <c r="F349" s="2" t="s">
        <v>1211</v>
      </c>
      <c r="G349" s="2" t="s">
        <v>93</v>
      </c>
      <c r="H349" s="2" t="s">
        <v>771</v>
      </c>
      <c r="I349" s="2" t="s">
        <v>44</v>
      </c>
      <c r="J349" s="2"/>
      <c r="K349" s="2" t="s">
        <v>38</v>
      </c>
      <c r="L349" s="2" t="s">
        <v>38</v>
      </c>
      <c r="M349" s="2" t="s">
        <v>39</v>
      </c>
      <c r="N349" s="2" t="s">
        <v>38</v>
      </c>
      <c r="O349" s="2" t="s">
        <v>38</v>
      </c>
      <c r="P349" s="2" t="s">
        <v>38</v>
      </c>
      <c r="Q349" s="2" t="s">
        <v>38</v>
      </c>
      <c r="R349" s="2" t="s">
        <v>38</v>
      </c>
      <c r="S349" s="2" t="s">
        <v>38</v>
      </c>
      <c r="T349" s="2" t="s">
        <v>39</v>
      </c>
      <c r="U349" s="2" t="s">
        <v>38</v>
      </c>
      <c r="V349" s="2" t="s">
        <v>39</v>
      </c>
      <c r="W349" s="2" t="s">
        <v>38</v>
      </c>
      <c r="X349" s="2" t="s">
        <v>39</v>
      </c>
      <c r="Y349" s="2" t="s">
        <v>38</v>
      </c>
      <c r="Z349" s="2" t="s">
        <v>38</v>
      </c>
      <c r="AA349" s="2" t="s">
        <v>38</v>
      </c>
      <c r="AB349" s="2" t="s">
        <v>38</v>
      </c>
      <c r="AC349" s="2" t="s">
        <v>38</v>
      </c>
      <c r="AD349" s="2" t="s">
        <v>38</v>
      </c>
      <c r="AE349" s="2" t="s">
        <v>38</v>
      </c>
    </row>
    <row r="350" spans="1:31" ht="409.5">
      <c r="A350" s="2">
        <v>2723258</v>
      </c>
      <c r="B350" s="2">
        <f>HYPERLINK("https://platform.v2.vetology.net/cases/2723258/screening-report/18?type=pdf&amp;v=v6&amp;scorecard=1&amp;secret_key=BX%25IJ%24%2F65ieZ%29f6", 2723258)</f>
        <v>2723258</v>
      </c>
      <c r="C350" s="2">
        <f>HYPERLINK("https://platform.v2.vetology.net/report/v/final/"&amp;2723258, 2723258)</f>
        <v>2723258</v>
      </c>
      <c r="D350" s="2" t="s">
        <v>1212</v>
      </c>
      <c r="E350" s="2" t="s">
        <v>1213</v>
      </c>
      <c r="F350" s="2" t="s">
        <v>1214</v>
      </c>
      <c r="G350" s="2" t="s">
        <v>268</v>
      </c>
      <c r="H350" s="2" t="s">
        <v>1215</v>
      </c>
      <c r="I350" s="2" t="s">
        <v>1216</v>
      </c>
      <c r="J350" s="2" t="s">
        <v>112</v>
      </c>
      <c r="K350" s="2" t="s">
        <v>39</v>
      </c>
      <c r="L350" s="2" t="s">
        <v>39</v>
      </c>
      <c r="M350" s="2" t="s">
        <v>39</v>
      </c>
      <c r="N350" s="2" t="s">
        <v>39</v>
      </c>
      <c r="O350" s="2" t="s">
        <v>39</v>
      </c>
      <c r="P350" s="2" t="s">
        <v>39</v>
      </c>
      <c r="Q350" s="2" t="s">
        <v>39</v>
      </c>
      <c r="R350" s="2" t="s">
        <v>38</v>
      </c>
      <c r="S350" s="2" t="s">
        <v>39</v>
      </c>
      <c r="T350" s="2" t="s">
        <v>39</v>
      </c>
      <c r="U350" s="2" t="s">
        <v>39</v>
      </c>
      <c r="V350" s="2" t="s">
        <v>39</v>
      </c>
      <c r="W350" s="2" t="s">
        <v>38</v>
      </c>
      <c r="X350" s="2" t="s">
        <v>39</v>
      </c>
      <c r="Y350" s="2" t="s">
        <v>38</v>
      </c>
      <c r="Z350" s="2" t="s">
        <v>39</v>
      </c>
      <c r="AA350" s="2" t="s">
        <v>39</v>
      </c>
      <c r="AB350" s="2" t="s">
        <v>39</v>
      </c>
      <c r="AC350" s="2" t="s">
        <v>39</v>
      </c>
      <c r="AD350" s="2" t="s">
        <v>38</v>
      </c>
      <c r="AE350" s="2" t="s">
        <v>39</v>
      </c>
    </row>
    <row r="351" spans="1:31" ht="409.5">
      <c r="A351" s="2">
        <v>2723193</v>
      </c>
      <c r="B351" s="2">
        <f>HYPERLINK("https://platform.v2.vetology.net/cases/2723193/screening-report/18?type=pdf&amp;v=v6&amp;scorecard=1&amp;secret_key=BX%25IJ%24%2F65ieZ%29f6", 2723193)</f>
        <v>2723193</v>
      </c>
      <c r="C351" s="2">
        <f>HYPERLINK("https://platform.v2.vetology.net/report/v/final/"&amp;2723193, 2723193)</f>
        <v>2723193</v>
      </c>
      <c r="D351" s="2" t="s">
        <v>1217</v>
      </c>
      <c r="E351" s="2" t="s">
        <v>1218</v>
      </c>
      <c r="F351" s="2" t="s">
        <v>1219</v>
      </c>
      <c r="G351" s="2" t="s">
        <v>34</v>
      </c>
      <c r="H351" s="2" t="s">
        <v>1220</v>
      </c>
      <c r="I351" s="2" t="s">
        <v>700</v>
      </c>
      <c r="J351" s="2" t="s">
        <v>701</v>
      </c>
      <c r="K351" s="2" t="s">
        <v>38</v>
      </c>
      <c r="L351" s="2" t="s">
        <v>38</v>
      </c>
      <c r="M351" s="2" t="s">
        <v>38</v>
      </c>
      <c r="N351" s="2" t="s">
        <v>38</v>
      </c>
      <c r="O351" s="2" t="s">
        <v>38</v>
      </c>
      <c r="P351" s="2" t="s">
        <v>39</v>
      </c>
      <c r="Q351" s="2" t="s">
        <v>38</v>
      </c>
      <c r="R351" s="2" t="s">
        <v>38</v>
      </c>
      <c r="S351" s="2" t="s">
        <v>38</v>
      </c>
      <c r="T351" s="2" t="s">
        <v>38</v>
      </c>
      <c r="U351" s="2" t="s">
        <v>38</v>
      </c>
      <c r="V351" s="2" t="s">
        <v>38</v>
      </c>
      <c r="W351" s="2" t="s">
        <v>38</v>
      </c>
      <c r="X351" s="2" t="s">
        <v>38</v>
      </c>
      <c r="Y351" s="2" t="s">
        <v>38</v>
      </c>
      <c r="Z351" s="2" t="s">
        <v>38</v>
      </c>
      <c r="AA351" s="2" t="s">
        <v>38</v>
      </c>
      <c r="AB351" s="2" t="s">
        <v>39</v>
      </c>
      <c r="AC351" s="2" t="s">
        <v>39</v>
      </c>
      <c r="AD351" s="2" t="s">
        <v>38</v>
      </c>
      <c r="AE351" s="2" t="s">
        <v>38</v>
      </c>
    </row>
    <row r="352" spans="1:31" ht="409.5">
      <c r="A352" s="2">
        <v>2723177</v>
      </c>
      <c r="B352" s="2">
        <f>HYPERLINK("https://platform.v2.vetology.net/cases/2723177/screening-report/18?type=pdf&amp;v=v6&amp;scorecard=1&amp;secret_key=BX%25IJ%24%2F65ieZ%29f6", 2723177)</f>
        <v>2723177</v>
      </c>
      <c r="C352" s="2">
        <f>HYPERLINK("https://platform.v2.vetology.net/report/v/final/"&amp;2723177, 2723177)</f>
        <v>2723177</v>
      </c>
      <c r="D352" s="2" t="s">
        <v>1221</v>
      </c>
      <c r="E352" s="2" t="s">
        <v>1222</v>
      </c>
      <c r="F352" s="2" t="s">
        <v>81</v>
      </c>
      <c r="G352" s="2" t="s">
        <v>268</v>
      </c>
      <c r="H352" s="2" t="s">
        <v>1223</v>
      </c>
      <c r="I352" s="2" t="s">
        <v>207</v>
      </c>
      <c r="J352" s="2" t="s">
        <v>208</v>
      </c>
      <c r="K352" s="2" t="s">
        <v>38</v>
      </c>
      <c r="L352" s="2" t="s">
        <v>39</v>
      </c>
      <c r="M352" s="2" t="s">
        <v>38</v>
      </c>
      <c r="N352" s="2" t="s">
        <v>38</v>
      </c>
      <c r="O352" s="2" t="s">
        <v>38</v>
      </c>
      <c r="P352" s="2" t="s">
        <v>38</v>
      </c>
      <c r="Q352" s="2" t="s">
        <v>38</v>
      </c>
      <c r="R352" s="2" t="s">
        <v>38</v>
      </c>
      <c r="S352" s="2" t="s">
        <v>38</v>
      </c>
      <c r="T352" s="2" t="s">
        <v>38</v>
      </c>
      <c r="U352" s="2" t="s">
        <v>38</v>
      </c>
      <c r="V352" s="2" t="s">
        <v>38</v>
      </c>
      <c r="W352" s="2" t="s">
        <v>38</v>
      </c>
      <c r="X352" s="2" t="s">
        <v>38</v>
      </c>
      <c r="Y352" s="2" t="s">
        <v>38</v>
      </c>
      <c r="Z352" s="2" t="s">
        <v>38</v>
      </c>
      <c r="AA352" s="2" t="s">
        <v>38</v>
      </c>
      <c r="AB352" s="2" t="s">
        <v>38</v>
      </c>
      <c r="AC352" s="2" t="s">
        <v>38</v>
      </c>
      <c r="AD352" s="2" t="s">
        <v>38</v>
      </c>
      <c r="AE352" s="2" t="s">
        <v>38</v>
      </c>
    </row>
    <row r="353" spans="1:31" ht="409.5">
      <c r="A353" s="2">
        <v>2722942</v>
      </c>
      <c r="B353" s="2">
        <f>HYPERLINK("https://platform.v2.vetology.net/cases/2722942/screening-report/18?type=pdf&amp;v=v6&amp;scorecard=1&amp;secret_key=BX%25IJ%24%2F65ieZ%29f6", 2722942)</f>
        <v>2722942</v>
      </c>
      <c r="C353" s="2">
        <f>HYPERLINK("https://platform.v2.vetology.net/report/v/final/"&amp;2722942, 2722942)</f>
        <v>2722942</v>
      </c>
      <c r="D353" s="2" t="s">
        <v>1224</v>
      </c>
      <c r="E353" s="2" t="s">
        <v>1225</v>
      </c>
      <c r="F353" s="2" t="s">
        <v>1226</v>
      </c>
      <c r="G353" s="2" t="s">
        <v>93</v>
      </c>
      <c r="H353" s="2" t="s">
        <v>1049</v>
      </c>
      <c r="I353" s="2" t="s">
        <v>214</v>
      </c>
      <c r="J353" s="2" t="s">
        <v>50</v>
      </c>
      <c r="K353" s="2" t="s">
        <v>38</v>
      </c>
      <c r="L353" s="2" t="s">
        <v>39</v>
      </c>
      <c r="M353" s="2" t="s">
        <v>39</v>
      </c>
      <c r="N353" s="2" t="s">
        <v>38</v>
      </c>
      <c r="O353" s="2" t="s">
        <v>38</v>
      </c>
      <c r="P353" s="2" t="s">
        <v>39</v>
      </c>
      <c r="Q353" s="2" t="s">
        <v>38</v>
      </c>
      <c r="R353" s="2" t="s">
        <v>38</v>
      </c>
      <c r="S353" s="2" t="s">
        <v>39</v>
      </c>
      <c r="T353" s="2" t="s">
        <v>38</v>
      </c>
      <c r="U353" s="2" t="s">
        <v>38</v>
      </c>
      <c r="V353" s="2" t="s">
        <v>38</v>
      </c>
      <c r="W353" s="2" t="s">
        <v>38</v>
      </c>
      <c r="X353" s="2" t="s">
        <v>39</v>
      </c>
      <c r="Y353" s="2" t="s">
        <v>38</v>
      </c>
      <c r="Z353" s="2" t="s">
        <v>39</v>
      </c>
      <c r="AA353" s="2" t="s">
        <v>38</v>
      </c>
      <c r="AB353" s="2" t="s">
        <v>39</v>
      </c>
      <c r="AC353" s="2" t="s">
        <v>39</v>
      </c>
      <c r="AD353" s="2" t="s">
        <v>38</v>
      </c>
      <c r="AE353" s="2" t="s">
        <v>38</v>
      </c>
    </row>
    <row r="354" spans="1:31" ht="409.5">
      <c r="A354" s="2">
        <v>2722717</v>
      </c>
      <c r="B354" s="2">
        <f>HYPERLINK("https://platform.v2.vetology.net/cases/2722717/screening-report/18?type=pdf&amp;v=v6&amp;scorecard=1&amp;secret_key=BX%25IJ%24%2F65ieZ%29f6", 2722717)</f>
        <v>2722717</v>
      </c>
      <c r="C354" s="2">
        <f>HYPERLINK("https://platform.v2.vetology.net/report/v/final/"&amp;2722717, 2722717)</f>
        <v>2722717</v>
      </c>
      <c r="D354" s="2" t="s">
        <v>1227</v>
      </c>
      <c r="E354" s="2" t="s">
        <v>1228</v>
      </c>
      <c r="F354" s="2" t="s">
        <v>81</v>
      </c>
      <c r="G354" s="2" t="s">
        <v>82</v>
      </c>
      <c r="H354" s="2" t="s">
        <v>937</v>
      </c>
      <c r="I354" s="2" t="s">
        <v>418</v>
      </c>
      <c r="J354" s="2" t="s">
        <v>419</v>
      </c>
      <c r="K354" s="2" t="s">
        <v>39</v>
      </c>
      <c r="L354" s="2" t="s">
        <v>39</v>
      </c>
      <c r="M354" s="2" t="s">
        <v>38</v>
      </c>
      <c r="N354" s="2" t="s">
        <v>38</v>
      </c>
      <c r="O354" s="2" t="s">
        <v>38</v>
      </c>
      <c r="P354" s="2" t="s">
        <v>38</v>
      </c>
      <c r="Q354" s="2" t="s">
        <v>38</v>
      </c>
      <c r="R354" s="2" t="s">
        <v>38</v>
      </c>
      <c r="S354" s="2" t="s">
        <v>39</v>
      </c>
      <c r="T354" s="2" t="s">
        <v>38</v>
      </c>
      <c r="U354" s="2" t="s">
        <v>39</v>
      </c>
      <c r="V354" s="2" t="s">
        <v>38</v>
      </c>
      <c r="W354" s="2" t="s">
        <v>38</v>
      </c>
      <c r="X354" s="2" t="s">
        <v>38</v>
      </c>
      <c r="Y354" s="2" t="s">
        <v>38</v>
      </c>
      <c r="Z354" s="2" t="s">
        <v>39</v>
      </c>
      <c r="AA354" s="2" t="s">
        <v>38</v>
      </c>
      <c r="AB354" s="2" t="s">
        <v>38</v>
      </c>
      <c r="AC354" s="2" t="s">
        <v>39</v>
      </c>
      <c r="AD354" s="2" t="s">
        <v>38</v>
      </c>
      <c r="AE354" s="2" t="s">
        <v>38</v>
      </c>
    </row>
    <row r="355" spans="1:31" ht="409.5">
      <c r="A355" s="2">
        <v>2722699</v>
      </c>
      <c r="B355" s="2">
        <f>HYPERLINK("https://platform.v2.vetology.net/cases/2722699/screening-report/18?type=pdf&amp;v=v6&amp;scorecard=1&amp;secret_key=BX%25IJ%24%2F65ieZ%29f6", 2722699)</f>
        <v>2722699</v>
      </c>
      <c r="C355" s="2">
        <f>HYPERLINK("https://platform.v2.vetology.net/report/v/final/"&amp;2722699, 2722699)</f>
        <v>2722699</v>
      </c>
      <c r="D355" s="2" t="s">
        <v>1229</v>
      </c>
      <c r="E355" s="2" t="s">
        <v>1230</v>
      </c>
      <c r="F355" s="2"/>
      <c r="G355" s="2" t="s">
        <v>268</v>
      </c>
      <c r="H355" s="2" t="s">
        <v>43</v>
      </c>
      <c r="I355" s="2" t="s">
        <v>44</v>
      </c>
      <c r="J355" s="2"/>
      <c r="K355" s="2" t="s">
        <v>38</v>
      </c>
      <c r="L355" s="2" t="s">
        <v>39</v>
      </c>
      <c r="M355" s="2" t="s">
        <v>39</v>
      </c>
      <c r="N355" s="2" t="s">
        <v>38</v>
      </c>
      <c r="O355" s="2" t="s">
        <v>39</v>
      </c>
      <c r="P355" s="2" t="s">
        <v>38</v>
      </c>
      <c r="Q355" s="2" t="s">
        <v>38</v>
      </c>
      <c r="R355" s="2" t="s">
        <v>38</v>
      </c>
      <c r="S355" s="2" t="s">
        <v>38</v>
      </c>
      <c r="T355" s="2" t="s">
        <v>39</v>
      </c>
      <c r="U355" s="2" t="s">
        <v>39</v>
      </c>
      <c r="V355" s="2" t="s">
        <v>39</v>
      </c>
      <c r="W355" s="2" t="s">
        <v>38</v>
      </c>
      <c r="X355" s="2" t="s">
        <v>39</v>
      </c>
      <c r="Y355" s="2" t="s">
        <v>38</v>
      </c>
      <c r="Z355" s="2" t="s">
        <v>39</v>
      </c>
      <c r="AA355" s="2" t="s">
        <v>38</v>
      </c>
      <c r="AB355" s="2" t="s">
        <v>38</v>
      </c>
      <c r="AC355" s="2" t="s">
        <v>38</v>
      </c>
      <c r="AD355" s="2" t="s">
        <v>38</v>
      </c>
      <c r="AE355" s="2" t="s">
        <v>38</v>
      </c>
    </row>
    <row r="356" spans="1:31" ht="409.5">
      <c r="A356" s="2">
        <v>2722580</v>
      </c>
      <c r="B356" s="2">
        <f>HYPERLINK("https://platform.v2.vetology.net/cases/2722580/screening-report/18?type=pdf&amp;v=v6&amp;scorecard=1&amp;secret_key=BX%25IJ%24%2F65ieZ%29f6", 2722580)</f>
        <v>2722580</v>
      </c>
      <c r="C356" s="2">
        <f>HYPERLINK("https://platform.v2.vetology.net/report/v/final/"&amp;2722580, 2722580)</f>
        <v>2722580</v>
      </c>
      <c r="D356" s="2" t="s">
        <v>1231</v>
      </c>
      <c r="E356" s="2" t="s">
        <v>1232</v>
      </c>
      <c r="F356" s="2" t="s">
        <v>1233</v>
      </c>
      <c r="G356" s="2" t="s">
        <v>63</v>
      </c>
      <c r="H356" s="2" t="s">
        <v>78</v>
      </c>
      <c r="I356" s="2" t="s">
        <v>44</v>
      </c>
      <c r="J356" s="2"/>
      <c r="K356" s="2" t="s">
        <v>38</v>
      </c>
      <c r="L356" s="2" t="s">
        <v>38</v>
      </c>
      <c r="M356" s="2" t="s">
        <v>39</v>
      </c>
      <c r="N356" s="2" t="s">
        <v>38</v>
      </c>
      <c r="O356" s="2" t="s">
        <v>38</v>
      </c>
      <c r="P356" s="2" t="s">
        <v>39</v>
      </c>
      <c r="Q356" s="2" t="s">
        <v>38</v>
      </c>
      <c r="R356" s="2" t="s">
        <v>38</v>
      </c>
      <c r="S356" s="2" t="s">
        <v>38</v>
      </c>
      <c r="T356" s="2" t="s">
        <v>38</v>
      </c>
      <c r="U356" s="2" t="s">
        <v>38</v>
      </c>
      <c r="V356" s="2" t="s">
        <v>38</v>
      </c>
      <c r="W356" s="2" t="s">
        <v>38</v>
      </c>
      <c r="X356" s="2" t="s">
        <v>38</v>
      </c>
      <c r="Y356" s="2" t="s">
        <v>38</v>
      </c>
      <c r="Z356" s="2" t="s">
        <v>38</v>
      </c>
      <c r="AA356" s="2" t="s">
        <v>38</v>
      </c>
      <c r="AB356" s="2" t="s">
        <v>39</v>
      </c>
      <c r="AC356" s="2" t="s">
        <v>38</v>
      </c>
      <c r="AD356" s="2" t="s">
        <v>38</v>
      </c>
      <c r="AE356" s="2" t="s">
        <v>38</v>
      </c>
    </row>
    <row r="357" spans="1:31" ht="409.5">
      <c r="A357" s="2">
        <v>2722544</v>
      </c>
      <c r="B357" s="2">
        <f>HYPERLINK("https://platform.v2.vetology.net/cases/2722544/screening-report/18?type=pdf&amp;v=v6&amp;scorecard=1&amp;secret_key=BX%25IJ%24%2F65ieZ%29f6", 2722544)</f>
        <v>2722544</v>
      </c>
      <c r="C357" s="2">
        <f>HYPERLINK("https://platform.v2.vetology.net/report/v/final/"&amp;2722544, 2722544)</f>
        <v>2722544</v>
      </c>
      <c r="D357" s="2" t="s">
        <v>1234</v>
      </c>
      <c r="E357" s="2" t="s">
        <v>1235</v>
      </c>
      <c r="F357" s="2" t="s">
        <v>1236</v>
      </c>
      <c r="G357" s="2" t="s">
        <v>58</v>
      </c>
      <c r="H357" s="2" t="s">
        <v>54</v>
      </c>
      <c r="I357" s="2" t="s">
        <v>44</v>
      </c>
      <c r="J357" s="2"/>
      <c r="K357" s="2" t="s">
        <v>38</v>
      </c>
      <c r="L357" s="2" t="s">
        <v>38</v>
      </c>
      <c r="M357" s="2" t="s">
        <v>38</v>
      </c>
      <c r="N357" s="2" t="s">
        <v>38</v>
      </c>
      <c r="O357" s="2" t="s">
        <v>38</v>
      </c>
      <c r="P357" s="2" t="s">
        <v>38</v>
      </c>
      <c r="Q357" s="2" t="s">
        <v>38</v>
      </c>
      <c r="R357" s="2" t="s">
        <v>38</v>
      </c>
      <c r="S357" s="2" t="s">
        <v>39</v>
      </c>
      <c r="T357" s="2" t="s">
        <v>39</v>
      </c>
      <c r="U357" s="2" t="s">
        <v>39</v>
      </c>
      <c r="V357" s="2" t="s">
        <v>39</v>
      </c>
      <c r="W357" s="2" t="s">
        <v>38</v>
      </c>
      <c r="X357" s="2" t="s">
        <v>39</v>
      </c>
      <c r="Y357" s="2" t="s">
        <v>38</v>
      </c>
      <c r="Z357" s="2" t="s">
        <v>38</v>
      </c>
      <c r="AA357" s="2" t="s">
        <v>38</v>
      </c>
      <c r="AB357" s="2" t="s">
        <v>39</v>
      </c>
      <c r="AC357" s="2" t="s">
        <v>39</v>
      </c>
      <c r="AD357" s="2" t="s">
        <v>38</v>
      </c>
      <c r="AE357" s="2" t="s">
        <v>38</v>
      </c>
    </row>
    <row r="358" spans="1:31" ht="409.5">
      <c r="A358" s="2">
        <v>2722401</v>
      </c>
      <c r="B358" s="2">
        <f>HYPERLINK("https://platform.v2.vetology.net/cases/2722401/screening-report/18?type=pdf&amp;v=v6&amp;scorecard=1&amp;secret_key=BX%25IJ%24%2F65ieZ%29f6", 2722401)</f>
        <v>2722401</v>
      </c>
      <c r="C358" s="2">
        <f>HYPERLINK("https://platform.v2.vetology.net/report/v/final/"&amp;2722401, 2722401)</f>
        <v>2722401</v>
      </c>
      <c r="D358" s="2" t="s">
        <v>1237</v>
      </c>
      <c r="E358" s="2" t="s">
        <v>1238</v>
      </c>
      <c r="F358" s="2" t="s">
        <v>1239</v>
      </c>
      <c r="G358" s="2" t="s">
        <v>58</v>
      </c>
      <c r="H358" s="2" t="s">
        <v>1240</v>
      </c>
      <c r="I358" s="2" t="s">
        <v>137</v>
      </c>
      <c r="J358" s="2" t="s">
        <v>66</v>
      </c>
      <c r="K358" s="2" t="s">
        <v>38</v>
      </c>
      <c r="L358" s="2" t="s">
        <v>38</v>
      </c>
      <c r="M358" s="2" t="s">
        <v>39</v>
      </c>
      <c r="N358" s="2" t="s">
        <v>38</v>
      </c>
      <c r="O358" s="2" t="s">
        <v>38</v>
      </c>
      <c r="P358" s="2" t="s">
        <v>39</v>
      </c>
      <c r="Q358" s="2" t="s">
        <v>38</v>
      </c>
      <c r="R358" s="2" t="s">
        <v>38</v>
      </c>
      <c r="S358" s="2" t="s">
        <v>38</v>
      </c>
      <c r="T358" s="2" t="s">
        <v>39</v>
      </c>
      <c r="U358" s="2" t="s">
        <v>39</v>
      </c>
      <c r="V358" s="2" t="s">
        <v>39</v>
      </c>
      <c r="W358" s="2" t="s">
        <v>38</v>
      </c>
      <c r="X358" s="2" t="s">
        <v>39</v>
      </c>
      <c r="Y358" s="2" t="s">
        <v>38</v>
      </c>
      <c r="Z358" s="2" t="s">
        <v>39</v>
      </c>
      <c r="AA358" s="2" t="s">
        <v>38</v>
      </c>
      <c r="AB358" s="2" t="s">
        <v>39</v>
      </c>
      <c r="AC358" s="2" t="s">
        <v>38</v>
      </c>
      <c r="AD358" s="2" t="s">
        <v>38</v>
      </c>
      <c r="AE358" s="2" t="s">
        <v>39</v>
      </c>
    </row>
    <row r="359" spans="1:31" ht="409.5">
      <c r="A359" s="2">
        <v>2722085</v>
      </c>
      <c r="B359" s="2">
        <f>HYPERLINK("https://platform.v2.vetology.net/cases/2722085/screening-report/18?type=pdf&amp;v=v6&amp;scorecard=1&amp;secret_key=BX%25IJ%24%2F65ieZ%29f6", 2722085)</f>
        <v>2722085</v>
      </c>
      <c r="C359" s="2">
        <f>HYPERLINK("https://platform.v2.vetology.net/report/v/final/"&amp;2722085, 2722085)</f>
        <v>2722085</v>
      </c>
      <c r="D359" s="2" t="s">
        <v>1241</v>
      </c>
      <c r="E359" s="2" t="s">
        <v>1242</v>
      </c>
      <c r="F359" s="2" t="s">
        <v>1243</v>
      </c>
      <c r="G359" s="2" t="s">
        <v>63</v>
      </c>
      <c r="H359" s="2" t="s">
        <v>1244</v>
      </c>
      <c r="I359" s="2" t="s">
        <v>1245</v>
      </c>
      <c r="J359" s="2" t="s">
        <v>66</v>
      </c>
      <c r="K359" s="2" t="s">
        <v>38</v>
      </c>
      <c r="L359" s="2" t="s">
        <v>39</v>
      </c>
      <c r="M359" s="2" t="s">
        <v>39</v>
      </c>
      <c r="N359" s="2" t="s">
        <v>38</v>
      </c>
      <c r="O359" s="2" t="s">
        <v>38</v>
      </c>
      <c r="P359" s="2" t="s">
        <v>38</v>
      </c>
      <c r="Q359" s="2" t="s">
        <v>38</v>
      </c>
      <c r="R359" s="2" t="s">
        <v>38</v>
      </c>
      <c r="S359" s="2" t="s">
        <v>38</v>
      </c>
      <c r="T359" s="2" t="s">
        <v>38</v>
      </c>
      <c r="U359" s="2" t="s">
        <v>38</v>
      </c>
      <c r="V359" s="2" t="s">
        <v>38</v>
      </c>
      <c r="W359" s="2" t="s">
        <v>38</v>
      </c>
      <c r="X359" s="2" t="s">
        <v>38</v>
      </c>
      <c r="Y359" s="2" t="s">
        <v>38</v>
      </c>
      <c r="Z359" s="2" t="s">
        <v>38</v>
      </c>
      <c r="AA359" s="2" t="s">
        <v>38</v>
      </c>
      <c r="AB359" s="2" t="s">
        <v>39</v>
      </c>
      <c r="AC359" s="2" t="s">
        <v>38</v>
      </c>
      <c r="AD359" s="2" t="s">
        <v>38</v>
      </c>
      <c r="AE359" s="2" t="s">
        <v>38</v>
      </c>
    </row>
    <row r="360" spans="1:31" ht="409.5">
      <c r="A360" s="2">
        <v>2721879</v>
      </c>
      <c r="B360" s="2">
        <f>HYPERLINK("https://platform.v2.vetology.net/cases/2721879/screening-report/18?type=pdf&amp;v=v6&amp;scorecard=1&amp;secret_key=BX%25IJ%24%2F65ieZ%29f6", 2721879)</f>
        <v>2721879</v>
      </c>
      <c r="C360" s="2">
        <f>HYPERLINK("https://platform.v2.vetology.net/report/v/final/"&amp;2721879, 2721879)</f>
        <v>2721879</v>
      </c>
      <c r="D360" s="2" t="s">
        <v>1246</v>
      </c>
      <c r="E360" s="2" t="s">
        <v>1247</v>
      </c>
      <c r="F360" s="2" t="s">
        <v>81</v>
      </c>
      <c r="G360" s="2" t="s">
        <v>268</v>
      </c>
      <c r="H360" s="2" t="s">
        <v>1248</v>
      </c>
      <c r="I360" s="2" t="s">
        <v>460</v>
      </c>
      <c r="J360" s="2" t="s">
        <v>66</v>
      </c>
      <c r="K360" s="2" t="s">
        <v>38</v>
      </c>
      <c r="L360" s="2" t="s">
        <v>39</v>
      </c>
      <c r="M360" s="2" t="s">
        <v>39</v>
      </c>
      <c r="N360" s="2" t="s">
        <v>38</v>
      </c>
      <c r="O360" s="2" t="s">
        <v>38</v>
      </c>
      <c r="P360" s="2" t="s">
        <v>39</v>
      </c>
      <c r="Q360" s="2" t="s">
        <v>38</v>
      </c>
      <c r="R360" s="2" t="s">
        <v>38</v>
      </c>
      <c r="S360" s="2" t="s">
        <v>38</v>
      </c>
      <c r="T360" s="2" t="s">
        <v>38</v>
      </c>
      <c r="U360" s="2" t="s">
        <v>38</v>
      </c>
      <c r="V360" s="2" t="s">
        <v>38</v>
      </c>
      <c r="W360" s="2" t="s">
        <v>38</v>
      </c>
      <c r="X360" s="2" t="s">
        <v>38</v>
      </c>
      <c r="Y360" s="2" t="s">
        <v>38</v>
      </c>
      <c r="Z360" s="2" t="s">
        <v>39</v>
      </c>
      <c r="AA360" s="2" t="s">
        <v>38</v>
      </c>
      <c r="AB360" s="2" t="s">
        <v>39</v>
      </c>
      <c r="AC360" s="2" t="s">
        <v>39</v>
      </c>
      <c r="AD360" s="2" t="s">
        <v>38</v>
      </c>
      <c r="AE360" s="2" t="s">
        <v>38</v>
      </c>
    </row>
    <row r="361" spans="1:31" ht="409.5">
      <c r="A361" s="2">
        <v>2721604</v>
      </c>
      <c r="B361" s="2">
        <f>HYPERLINK("https://platform.v2.vetology.net/cases/2721604/screening-report/18?type=pdf&amp;v=v6&amp;scorecard=1&amp;secret_key=BX%25IJ%24%2F65ieZ%29f6", 2721604)</f>
        <v>2721604</v>
      </c>
      <c r="C361" s="2">
        <f>HYPERLINK("https://platform.v2.vetology.net/report/v/final/"&amp;2721604, 2721604)</f>
        <v>2721604</v>
      </c>
      <c r="D361" s="2" t="s">
        <v>1249</v>
      </c>
      <c r="E361" s="2" t="s">
        <v>1250</v>
      </c>
      <c r="F361" s="2" t="s">
        <v>1251</v>
      </c>
      <c r="G361" s="2" t="s">
        <v>63</v>
      </c>
      <c r="H361" s="2" t="s">
        <v>54</v>
      </c>
      <c r="I361" s="2" t="s">
        <v>44</v>
      </c>
      <c r="J361" s="2" t="s">
        <v>106</v>
      </c>
      <c r="K361" s="2" t="s">
        <v>38</v>
      </c>
      <c r="L361" s="2" t="s">
        <v>38</v>
      </c>
      <c r="M361" s="2" t="s">
        <v>38</v>
      </c>
      <c r="N361" s="2" t="s">
        <v>38</v>
      </c>
      <c r="O361" s="2" t="s">
        <v>38</v>
      </c>
      <c r="P361" s="2" t="s">
        <v>38</v>
      </c>
      <c r="Q361" s="2" t="s">
        <v>38</v>
      </c>
      <c r="R361" s="2" t="s">
        <v>38</v>
      </c>
      <c r="S361" s="2" t="s">
        <v>38</v>
      </c>
      <c r="T361" s="2" t="s">
        <v>38</v>
      </c>
      <c r="U361" s="2" t="s">
        <v>38</v>
      </c>
      <c r="V361" s="2" t="s">
        <v>38</v>
      </c>
      <c r="W361" s="2" t="s">
        <v>38</v>
      </c>
      <c r="X361" s="2" t="s">
        <v>38</v>
      </c>
      <c r="Y361" s="2" t="s">
        <v>38</v>
      </c>
      <c r="Z361" s="2" t="s">
        <v>38</v>
      </c>
      <c r="AA361" s="2" t="s">
        <v>38</v>
      </c>
      <c r="AB361" s="2" t="s">
        <v>38</v>
      </c>
      <c r="AC361" s="2" t="s">
        <v>38</v>
      </c>
      <c r="AD361" s="2" t="s">
        <v>38</v>
      </c>
      <c r="AE361" s="2" t="s">
        <v>38</v>
      </c>
    </row>
    <row r="362" spans="1:31" ht="409.5">
      <c r="A362" s="2">
        <v>2721535</v>
      </c>
      <c r="B362" s="2">
        <f>HYPERLINK("https://platform.v2.vetology.net/cases/2721535/screening-report/18?type=pdf&amp;v=v6&amp;scorecard=1&amp;secret_key=BX%25IJ%24%2F65ieZ%29f6", 2721535)</f>
        <v>2721535</v>
      </c>
      <c r="C362" s="2">
        <f>HYPERLINK("https://platform.v2.vetology.net/report/v/final/"&amp;2721535, 2721535)</f>
        <v>2721535</v>
      </c>
      <c r="D362" s="2" t="s">
        <v>1252</v>
      </c>
      <c r="E362" s="2" t="s">
        <v>1253</v>
      </c>
      <c r="F362" s="2" t="s">
        <v>1254</v>
      </c>
      <c r="G362" s="2" t="s">
        <v>34</v>
      </c>
      <c r="H362" s="2" t="s">
        <v>1255</v>
      </c>
      <c r="I362" s="2" t="s">
        <v>214</v>
      </c>
      <c r="J362" s="2" t="s">
        <v>50</v>
      </c>
      <c r="K362" s="2" t="s">
        <v>38</v>
      </c>
      <c r="L362" s="2" t="s">
        <v>38</v>
      </c>
      <c r="M362" s="2" t="s">
        <v>38</v>
      </c>
      <c r="N362" s="2" t="s">
        <v>38</v>
      </c>
      <c r="O362" s="2" t="s">
        <v>38</v>
      </c>
      <c r="P362" s="2" t="s">
        <v>38</v>
      </c>
      <c r="Q362" s="2" t="s">
        <v>38</v>
      </c>
      <c r="R362" s="2" t="s">
        <v>38</v>
      </c>
      <c r="S362" s="2" t="s">
        <v>39</v>
      </c>
      <c r="T362" s="2" t="s">
        <v>38</v>
      </c>
      <c r="U362" s="2" t="s">
        <v>38</v>
      </c>
      <c r="V362" s="2" t="s">
        <v>38</v>
      </c>
      <c r="W362" s="2" t="s">
        <v>38</v>
      </c>
      <c r="X362" s="2" t="s">
        <v>39</v>
      </c>
      <c r="Y362" s="2" t="s">
        <v>38</v>
      </c>
      <c r="Z362" s="2" t="s">
        <v>39</v>
      </c>
      <c r="AA362" s="2" t="s">
        <v>38</v>
      </c>
      <c r="AB362" s="2" t="s">
        <v>39</v>
      </c>
      <c r="AC362" s="2" t="s">
        <v>39</v>
      </c>
      <c r="AD362" s="2" t="s">
        <v>38</v>
      </c>
      <c r="AE362" s="2" t="s">
        <v>38</v>
      </c>
    </row>
    <row r="363" spans="1:31" ht="409.5">
      <c r="A363" s="2">
        <v>2721406</v>
      </c>
      <c r="B363" s="2">
        <f>HYPERLINK("https://platform.v2.vetology.net/cases/2721406/screening-report/18?type=pdf&amp;v=v6&amp;scorecard=1&amp;secret_key=BX%25IJ%24%2F65ieZ%29f6", 2721406)</f>
        <v>2721406</v>
      </c>
      <c r="C363" s="2">
        <f>HYPERLINK("https://platform.v2.vetology.net/report/v/final/"&amp;2721406, 2721406)</f>
        <v>2721406</v>
      </c>
      <c r="D363" s="2" t="s">
        <v>1256</v>
      </c>
      <c r="E363" s="2" t="s">
        <v>1257</v>
      </c>
      <c r="F363" s="2" t="s">
        <v>1258</v>
      </c>
      <c r="G363" s="2" t="s">
        <v>135</v>
      </c>
      <c r="H363" s="2" t="s">
        <v>129</v>
      </c>
      <c r="I363" s="2" t="s">
        <v>44</v>
      </c>
      <c r="J363" s="2"/>
      <c r="K363" s="2" t="s">
        <v>38</v>
      </c>
      <c r="L363" s="2" t="s">
        <v>38</v>
      </c>
      <c r="M363" s="2" t="s">
        <v>39</v>
      </c>
      <c r="N363" s="2" t="s">
        <v>38</v>
      </c>
      <c r="O363" s="2" t="s">
        <v>38</v>
      </c>
      <c r="P363" s="2" t="s">
        <v>38</v>
      </c>
      <c r="Q363" s="2" t="s">
        <v>38</v>
      </c>
      <c r="R363" s="2" t="s">
        <v>38</v>
      </c>
      <c r="S363" s="2" t="s">
        <v>38</v>
      </c>
      <c r="T363" s="2" t="s">
        <v>38</v>
      </c>
      <c r="U363" s="2" t="s">
        <v>38</v>
      </c>
      <c r="V363" s="2" t="s">
        <v>38</v>
      </c>
      <c r="W363" s="2" t="s">
        <v>38</v>
      </c>
      <c r="X363" s="2" t="s">
        <v>38</v>
      </c>
      <c r="Y363" s="2" t="s">
        <v>38</v>
      </c>
      <c r="Z363" s="2" t="s">
        <v>39</v>
      </c>
      <c r="AA363" s="2" t="s">
        <v>38</v>
      </c>
      <c r="AB363" s="2" t="s">
        <v>39</v>
      </c>
      <c r="AC363" s="2" t="s">
        <v>39</v>
      </c>
      <c r="AD363" s="2" t="s">
        <v>38</v>
      </c>
      <c r="AE363" s="2" t="s">
        <v>38</v>
      </c>
    </row>
    <row r="364" spans="1:31" ht="409.5">
      <c r="A364" s="2">
        <v>2720809</v>
      </c>
      <c r="B364" s="2">
        <f>HYPERLINK("https://platform.v2.vetology.net/cases/2720809/screening-report/18?type=pdf&amp;v=v6&amp;scorecard=1&amp;secret_key=BX%25IJ%24%2F65ieZ%29f6", 2720809)</f>
        <v>2720809</v>
      </c>
      <c r="C364" s="2">
        <f>HYPERLINK("https://platform.v2.vetology.net/report/v/final/"&amp;2720809, 2720809)</f>
        <v>2720809</v>
      </c>
      <c r="D364" s="2" t="s">
        <v>1259</v>
      </c>
      <c r="E364" s="2" t="s">
        <v>1260</v>
      </c>
      <c r="F364" s="2" t="s">
        <v>81</v>
      </c>
      <c r="G364" s="2" t="s">
        <v>82</v>
      </c>
      <c r="H364" s="2" t="s">
        <v>1261</v>
      </c>
      <c r="I364" s="2" t="s">
        <v>137</v>
      </c>
      <c r="J364" s="2" t="s">
        <v>66</v>
      </c>
      <c r="K364" s="2" t="s">
        <v>38</v>
      </c>
      <c r="L364" s="2" t="s">
        <v>38</v>
      </c>
      <c r="M364" s="2" t="s">
        <v>38</v>
      </c>
      <c r="N364" s="2" t="s">
        <v>38</v>
      </c>
      <c r="O364" s="2" t="s">
        <v>38</v>
      </c>
      <c r="P364" s="2" t="s">
        <v>38</v>
      </c>
      <c r="Q364" s="2" t="s">
        <v>38</v>
      </c>
      <c r="R364" s="2" t="s">
        <v>38</v>
      </c>
      <c r="S364" s="2" t="s">
        <v>38</v>
      </c>
      <c r="T364" s="2" t="s">
        <v>38</v>
      </c>
      <c r="U364" s="2" t="s">
        <v>38</v>
      </c>
      <c r="V364" s="2" t="s">
        <v>39</v>
      </c>
      <c r="W364" s="2" t="s">
        <v>38</v>
      </c>
      <c r="X364" s="2" t="s">
        <v>39</v>
      </c>
      <c r="Y364" s="2" t="s">
        <v>38</v>
      </c>
      <c r="Z364" s="2" t="s">
        <v>38</v>
      </c>
      <c r="AA364" s="2" t="s">
        <v>38</v>
      </c>
      <c r="AB364" s="2" t="s">
        <v>38</v>
      </c>
      <c r="AC364" s="2" t="s">
        <v>38</v>
      </c>
      <c r="AD364" s="2" t="s">
        <v>38</v>
      </c>
      <c r="AE364" s="2" t="s">
        <v>38</v>
      </c>
    </row>
    <row r="365" spans="1:31" ht="409.5">
      <c r="A365" s="2">
        <v>2720709</v>
      </c>
      <c r="B365" s="2">
        <f>HYPERLINK("https://platform.v2.vetology.net/cases/2720709/screening-report/18?type=pdf&amp;v=v6&amp;scorecard=1&amp;secret_key=BX%25IJ%24%2F65ieZ%29f6", 2720709)</f>
        <v>2720709</v>
      </c>
      <c r="C365" s="2">
        <f>HYPERLINK("https://platform.v2.vetology.net/report/v/final/"&amp;2720709, 2720709)</f>
        <v>2720709</v>
      </c>
      <c r="D365" s="2" t="s">
        <v>1262</v>
      </c>
      <c r="E365" s="2" t="s">
        <v>1263</v>
      </c>
      <c r="F365" s="2" t="s">
        <v>1264</v>
      </c>
      <c r="G365" s="2" t="s">
        <v>34</v>
      </c>
      <c r="H365" s="2" t="s">
        <v>1265</v>
      </c>
      <c r="I365" s="2" t="s">
        <v>1245</v>
      </c>
      <c r="J365" s="2" t="s">
        <v>66</v>
      </c>
      <c r="K365" s="2" t="s">
        <v>38</v>
      </c>
      <c r="L365" s="2" t="s">
        <v>38</v>
      </c>
      <c r="M365" s="2" t="s">
        <v>38</v>
      </c>
      <c r="N365" s="2" t="s">
        <v>38</v>
      </c>
      <c r="O365" s="2" t="s">
        <v>38</v>
      </c>
      <c r="P365" s="2" t="s">
        <v>39</v>
      </c>
      <c r="Q365" s="2" t="s">
        <v>39</v>
      </c>
      <c r="R365" s="2" t="s">
        <v>38</v>
      </c>
      <c r="S365" s="2" t="s">
        <v>38</v>
      </c>
      <c r="T365" s="2" t="s">
        <v>38</v>
      </c>
      <c r="U365" s="2" t="s">
        <v>38</v>
      </c>
      <c r="V365" s="2" t="s">
        <v>38</v>
      </c>
      <c r="W365" s="2" t="s">
        <v>38</v>
      </c>
      <c r="X365" s="2" t="s">
        <v>38</v>
      </c>
      <c r="Y365" s="2" t="s">
        <v>38</v>
      </c>
      <c r="Z365" s="2" t="s">
        <v>38</v>
      </c>
      <c r="AA365" s="2" t="s">
        <v>38</v>
      </c>
      <c r="AB365" s="2" t="s">
        <v>39</v>
      </c>
      <c r="AC365" s="2" t="s">
        <v>39</v>
      </c>
      <c r="AD365" s="2" t="s">
        <v>38</v>
      </c>
      <c r="AE365" s="2" t="s">
        <v>38</v>
      </c>
    </row>
    <row r="366" spans="1:31" ht="409.5">
      <c r="A366" s="2">
        <v>2720604</v>
      </c>
      <c r="B366" s="2">
        <f>HYPERLINK("https://platform.v2.vetology.net/cases/2720604/screening-report/18?type=pdf&amp;v=v6&amp;scorecard=1&amp;secret_key=BX%25IJ%24%2F65ieZ%29f6", 2720604)</f>
        <v>2720604</v>
      </c>
      <c r="C366" s="2">
        <f>HYPERLINK("https://platform.v2.vetology.net/report/v/final/"&amp;2720604, 2720604)</f>
        <v>2720604</v>
      </c>
      <c r="D366" s="2" t="s">
        <v>1266</v>
      </c>
      <c r="E366" s="2" t="s">
        <v>1267</v>
      </c>
      <c r="F366" s="2" t="s">
        <v>1268</v>
      </c>
      <c r="G366" s="2" t="s">
        <v>82</v>
      </c>
      <c r="H366" s="2" t="s">
        <v>1151</v>
      </c>
      <c r="I366" s="2" t="s">
        <v>207</v>
      </c>
      <c r="J366" s="2" t="s">
        <v>208</v>
      </c>
      <c r="K366" s="2" t="s">
        <v>38</v>
      </c>
      <c r="L366" s="2" t="s">
        <v>39</v>
      </c>
      <c r="M366" s="2" t="s">
        <v>39</v>
      </c>
      <c r="N366" s="2" t="s">
        <v>38</v>
      </c>
      <c r="O366" s="2" t="s">
        <v>38</v>
      </c>
      <c r="P366" s="2" t="s">
        <v>39</v>
      </c>
      <c r="Q366" s="2" t="s">
        <v>38</v>
      </c>
      <c r="R366" s="2" t="s">
        <v>38</v>
      </c>
      <c r="S366" s="2" t="s">
        <v>38</v>
      </c>
      <c r="T366" s="2" t="s">
        <v>39</v>
      </c>
      <c r="U366" s="2" t="s">
        <v>38</v>
      </c>
      <c r="V366" s="2" t="s">
        <v>39</v>
      </c>
      <c r="W366" s="2" t="s">
        <v>38</v>
      </c>
      <c r="X366" s="2" t="s">
        <v>39</v>
      </c>
      <c r="Y366" s="2" t="s">
        <v>38</v>
      </c>
      <c r="Z366" s="2" t="s">
        <v>39</v>
      </c>
      <c r="AA366" s="2" t="s">
        <v>38</v>
      </c>
      <c r="AB366" s="2" t="s">
        <v>38</v>
      </c>
      <c r="AC366" s="2" t="s">
        <v>38</v>
      </c>
      <c r="AD366" s="2" t="s">
        <v>38</v>
      </c>
      <c r="AE366" s="2" t="s">
        <v>38</v>
      </c>
    </row>
    <row r="367" spans="1:31" ht="409.5">
      <c r="A367" s="2">
        <v>2720549</v>
      </c>
      <c r="B367" s="2">
        <f>HYPERLINK("https://platform.v2.vetology.net/cases/2720549/screening-report/18?type=pdf&amp;v=v6&amp;scorecard=1&amp;secret_key=BX%25IJ%24%2F65ieZ%29f6", 2720549)</f>
        <v>2720549</v>
      </c>
      <c r="C367" s="2">
        <f>HYPERLINK("https://platform.v2.vetology.net/report/v/final/"&amp;2720549, 2720549)</f>
        <v>2720549</v>
      </c>
      <c r="D367" s="2" t="s">
        <v>1269</v>
      </c>
      <c r="E367" s="2" t="s">
        <v>1270</v>
      </c>
      <c r="F367" s="2" t="s">
        <v>1271</v>
      </c>
      <c r="G367" s="2" t="s">
        <v>34</v>
      </c>
      <c r="H367" s="2" t="s">
        <v>339</v>
      </c>
      <c r="I367" s="2" t="s">
        <v>124</v>
      </c>
      <c r="J367" s="2" t="s">
        <v>125</v>
      </c>
      <c r="K367" s="2" t="s">
        <v>38</v>
      </c>
      <c r="L367" s="2" t="s">
        <v>39</v>
      </c>
      <c r="M367" s="2" t="s">
        <v>39</v>
      </c>
      <c r="N367" s="2" t="s">
        <v>38</v>
      </c>
      <c r="O367" s="2" t="s">
        <v>38</v>
      </c>
      <c r="P367" s="2" t="s">
        <v>38</v>
      </c>
      <c r="Q367" s="2" t="s">
        <v>38</v>
      </c>
      <c r="R367" s="2" t="s">
        <v>38</v>
      </c>
      <c r="S367" s="2" t="s">
        <v>38</v>
      </c>
      <c r="T367" s="2" t="s">
        <v>38</v>
      </c>
      <c r="U367" s="2" t="s">
        <v>38</v>
      </c>
      <c r="V367" s="2" t="s">
        <v>38</v>
      </c>
      <c r="W367" s="2" t="s">
        <v>38</v>
      </c>
      <c r="X367" s="2" t="s">
        <v>38</v>
      </c>
      <c r="Y367" s="2" t="s">
        <v>38</v>
      </c>
      <c r="Z367" s="2" t="s">
        <v>39</v>
      </c>
      <c r="AA367" s="2" t="s">
        <v>38</v>
      </c>
      <c r="AB367" s="2" t="s">
        <v>38</v>
      </c>
      <c r="AC367" s="2" t="s">
        <v>39</v>
      </c>
      <c r="AD367" s="2" t="s">
        <v>38</v>
      </c>
      <c r="AE367" s="2" t="s">
        <v>38</v>
      </c>
    </row>
    <row r="368" spans="1:31" ht="409.5">
      <c r="A368" s="2">
        <v>2720546</v>
      </c>
      <c r="B368" s="2">
        <f>HYPERLINK("https://platform.v2.vetology.net/cases/2720546/screening-report/18?type=pdf&amp;v=v6&amp;scorecard=1&amp;secret_key=BX%25IJ%24%2F65ieZ%29f6", 2720546)</f>
        <v>2720546</v>
      </c>
      <c r="C368" s="2">
        <f>HYPERLINK("https://platform.v2.vetology.net/report/v/final/"&amp;2720546, 2720546)</f>
        <v>2720546</v>
      </c>
      <c r="D368" s="2" t="s">
        <v>1272</v>
      </c>
      <c r="E368" s="2" t="s">
        <v>1273</v>
      </c>
      <c r="F368" s="2" t="s">
        <v>1274</v>
      </c>
      <c r="G368" s="2" t="s">
        <v>575</v>
      </c>
      <c r="H368" s="2" t="s">
        <v>1275</v>
      </c>
      <c r="I368" s="2" t="s">
        <v>152</v>
      </c>
      <c r="J368" s="2" t="s">
        <v>153</v>
      </c>
      <c r="K368" s="2" t="s">
        <v>38</v>
      </c>
      <c r="L368" s="2" t="s">
        <v>38</v>
      </c>
      <c r="M368" s="2" t="s">
        <v>38</v>
      </c>
      <c r="N368" s="2" t="s">
        <v>38</v>
      </c>
      <c r="O368" s="2" t="s">
        <v>38</v>
      </c>
      <c r="P368" s="2" t="s">
        <v>38</v>
      </c>
      <c r="Q368" s="2" t="s">
        <v>38</v>
      </c>
      <c r="R368" s="2" t="s">
        <v>38</v>
      </c>
      <c r="S368" s="2" t="s">
        <v>39</v>
      </c>
      <c r="T368" s="2" t="s">
        <v>38</v>
      </c>
      <c r="U368" s="2" t="s">
        <v>38</v>
      </c>
      <c r="V368" s="2" t="s">
        <v>39</v>
      </c>
      <c r="W368" s="2" t="s">
        <v>38</v>
      </c>
      <c r="X368" s="2" t="s">
        <v>39</v>
      </c>
      <c r="Y368" s="2" t="s">
        <v>38</v>
      </c>
      <c r="Z368" s="2" t="s">
        <v>38</v>
      </c>
      <c r="AA368" s="2" t="s">
        <v>38</v>
      </c>
      <c r="AB368" s="2" t="s">
        <v>38</v>
      </c>
      <c r="AC368" s="2" t="s">
        <v>39</v>
      </c>
      <c r="AD368" s="2" t="s">
        <v>38</v>
      </c>
      <c r="AE368" s="2" t="s">
        <v>38</v>
      </c>
    </row>
    <row r="369" spans="1:31" ht="409.5">
      <c r="A369" s="2">
        <v>2720028</v>
      </c>
      <c r="B369" s="2">
        <f>HYPERLINK("https://platform.v2.vetology.net/cases/2720028/screening-report/18?type=pdf&amp;v=v6&amp;scorecard=1&amp;secret_key=BX%25IJ%24%2F65ieZ%29f6", 2720028)</f>
        <v>2720028</v>
      </c>
      <c r="C369" s="2">
        <f>HYPERLINK("https://platform.v2.vetology.net/report/v/final/"&amp;2720028, 2720028)</f>
        <v>2720028</v>
      </c>
      <c r="D369" s="2" t="s">
        <v>1276</v>
      </c>
      <c r="E369" s="2" t="s">
        <v>1277</v>
      </c>
      <c r="F369" s="2" t="s">
        <v>81</v>
      </c>
      <c r="G369" s="2" t="s">
        <v>82</v>
      </c>
      <c r="H369" s="2" t="s">
        <v>779</v>
      </c>
      <c r="I369" s="2" t="s">
        <v>89</v>
      </c>
      <c r="J369" s="2" t="s">
        <v>66</v>
      </c>
      <c r="K369" s="2" t="s">
        <v>38</v>
      </c>
      <c r="L369" s="2" t="s">
        <v>39</v>
      </c>
      <c r="M369" s="2" t="s">
        <v>39</v>
      </c>
      <c r="N369" s="2" t="s">
        <v>38</v>
      </c>
      <c r="O369" s="2" t="s">
        <v>38</v>
      </c>
      <c r="P369" s="2" t="s">
        <v>38</v>
      </c>
      <c r="Q369" s="2" t="s">
        <v>38</v>
      </c>
      <c r="R369" s="2" t="s">
        <v>38</v>
      </c>
      <c r="S369" s="2" t="s">
        <v>39</v>
      </c>
      <c r="T369" s="2" t="s">
        <v>38</v>
      </c>
      <c r="U369" s="2" t="s">
        <v>38</v>
      </c>
      <c r="V369" s="2" t="s">
        <v>38</v>
      </c>
      <c r="W369" s="2" t="s">
        <v>38</v>
      </c>
      <c r="X369" s="2" t="s">
        <v>38</v>
      </c>
      <c r="Y369" s="2" t="s">
        <v>38</v>
      </c>
      <c r="Z369" s="2" t="s">
        <v>38</v>
      </c>
      <c r="AA369" s="2" t="s">
        <v>38</v>
      </c>
      <c r="AB369" s="2" t="s">
        <v>39</v>
      </c>
      <c r="AC369" s="2" t="s">
        <v>38</v>
      </c>
      <c r="AD369" s="2" t="s">
        <v>38</v>
      </c>
      <c r="AE369" s="2" t="s">
        <v>38</v>
      </c>
    </row>
    <row r="370" spans="1:31" ht="409.5">
      <c r="A370" s="2">
        <v>2719883</v>
      </c>
      <c r="B370" s="2">
        <f>HYPERLINK("https://platform.v2.vetology.net/cases/2719883/screening-report/18?type=pdf&amp;v=v6&amp;scorecard=1&amp;secret_key=BX%25IJ%24%2F65ieZ%29f6", 2719883)</f>
        <v>2719883</v>
      </c>
      <c r="C370" s="2">
        <f>HYPERLINK("https://platform.v2.vetology.net/report/v/final/"&amp;2719883, 2719883)</f>
        <v>2719883</v>
      </c>
      <c r="D370" s="2" t="s">
        <v>1278</v>
      </c>
      <c r="E370" s="2" t="s">
        <v>1279</v>
      </c>
      <c r="F370" s="2" t="s">
        <v>1280</v>
      </c>
      <c r="G370" s="2" t="s">
        <v>135</v>
      </c>
      <c r="H370" s="2" t="s">
        <v>1281</v>
      </c>
      <c r="I370" s="2" t="s">
        <v>1282</v>
      </c>
      <c r="J370" s="2" t="s">
        <v>1283</v>
      </c>
      <c r="K370" s="2" t="s">
        <v>39</v>
      </c>
      <c r="L370" s="2" t="s">
        <v>39</v>
      </c>
      <c r="M370" s="2" t="s">
        <v>39</v>
      </c>
      <c r="N370" s="2" t="s">
        <v>38</v>
      </c>
      <c r="O370" s="2" t="s">
        <v>39</v>
      </c>
      <c r="P370" s="2" t="s">
        <v>39</v>
      </c>
      <c r="Q370" s="2" t="s">
        <v>39</v>
      </c>
      <c r="R370" s="2" t="s">
        <v>39</v>
      </c>
      <c r="S370" s="2" t="s">
        <v>39</v>
      </c>
      <c r="T370" s="2" t="s">
        <v>39</v>
      </c>
      <c r="U370" s="2" t="s">
        <v>39</v>
      </c>
      <c r="V370" s="2" t="s">
        <v>39</v>
      </c>
      <c r="W370" s="2" t="s">
        <v>39</v>
      </c>
      <c r="X370" s="2" t="s">
        <v>39</v>
      </c>
      <c r="Y370" s="2" t="s">
        <v>38</v>
      </c>
      <c r="Z370" s="2" t="s">
        <v>39</v>
      </c>
      <c r="AA370" s="2" t="s">
        <v>38</v>
      </c>
      <c r="AB370" s="2" t="s">
        <v>39</v>
      </c>
      <c r="AC370" s="2" t="s">
        <v>39</v>
      </c>
      <c r="AD370" s="2" t="s">
        <v>38</v>
      </c>
      <c r="AE370" s="2" t="s">
        <v>39</v>
      </c>
    </row>
    <row r="371" spans="1:31" ht="409.5">
      <c r="A371" s="2">
        <v>2719874</v>
      </c>
      <c r="B371" s="2">
        <f>HYPERLINK("https://platform.v2.vetology.net/cases/2719874/screening-report/18?type=pdf&amp;v=v6&amp;scorecard=1&amp;secret_key=BX%25IJ%24%2F65ieZ%29f6", 2719874)</f>
        <v>2719874</v>
      </c>
      <c r="C371" s="2">
        <f>HYPERLINK("https://platform.v2.vetology.net/report/v/final/"&amp;2719874, 2719874)</f>
        <v>2719874</v>
      </c>
      <c r="D371" s="2" t="s">
        <v>1284</v>
      </c>
      <c r="E371" s="2" t="s">
        <v>1285</v>
      </c>
      <c r="F371" s="2" t="s">
        <v>1286</v>
      </c>
      <c r="G371" s="2" t="s">
        <v>135</v>
      </c>
      <c r="H371" s="2" t="s">
        <v>1287</v>
      </c>
      <c r="I371" s="2" t="s">
        <v>158</v>
      </c>
      <c r="J371" s="2" t="s">
        <v>50</v>
      </c>
      <c r="K371" s="2" t="s">
        <v>38</v>
      </c>
      <c r="L371" s="2" t="s">
        <v>38</v>
      </c>
      <c r="M371" s="2" t="s">
        <v>38</v>
      </c>
      <c r="N371" s="2" t="s">
        <v>38</v>
      </c>
      <c r="O371" s="2" t="s">
        <v>38</v>
      </c>
      <c r="P371" s="2" t="s">
        <v>38</v>
      </c>
      <c r="Q371" s="2" t="s">
        <v>38</v>
      </c>
      <c r="R371" s="2" t="s">
        <v>38</v>
      </c>
      <c r="S371" s="2" t="s">
        <v>38</v>
      </c>
      <c r="T371" s="2" t="s">
        <v>38</v>
      </c>
      <c r="U371" s="2" t="s">
        <v>38</v>
      </c>
      <c r="V371" s="2" t="s">
        <v>38</v>
      </c>
      <c r="W371" s="2" t="s">
        <v>38</v>
      </c>
      <c r="X371" s="2" t="s">
        <v>38</v>
      </c>
      <c r="Y371" s="2" t="s">
        <v>38</v>
      </c>
      <c r="Z371" s="2" t="s">
        <v>38</v>
      </c>
      <c r="AA371" s="2" t="s">
        <v>38</v>
      </c>
      <c r="AB371" s="2" t="s">
        <v>38</v>
      </c>
      <c r="AC371" s="2" t="s">
        <v>38</v>
      </c>
      <c r="AD371" s="2" t="s">
        <v>38</v>
      </c>
      <c r="AE371" s="2" t="s">
        <v>38</v>
      </c>
    </row>
    <row r="372" spans="1:31" ht="409.5">
      <c r="A372" s="2">
        <v>2719701</v>
      </c>
      <c r="B372" s="2">
        <f>HYPERLINK("https://platform.v2.vetology.net/cases/2719701/screening-report/18?type=pdf&amp;v=v6&amp;scorecard=1&amp;secret_key=BX%25IJ%24%2F65ieZ%29f6", 2719701)</f>
        <v>2719701</v>
      </c>
      <c r="C372" s="2">
        <f>HYPERLINK("https://platform.v2.vetology.net/report/v/final/"&amp;2719701, 2719701)</f>
        <v>2719701</v>
      </c>
      <c r="D372" s="2" t="s">
        <v>1288</v>
      </c>
      <c r="E372" s="2" t="s">
        <v>1289</v>
      </c>
      <c r="F372" s="2" t="s">
        <v>81</v>
      </c>
      <c r="G372" s="2" t="s">
        <v>82</v>
      </c>
      <c r="H372" s="2" t="s">
        <v>43</v>
      </c>
      <c r="I372" s="2" t="s">
        <v>44</v>
      </c>
      <c r="J372" s="2" t="s">
        <v>106</v>
      </c>
      <c r="K372" s="2" t="s">
        <v>38</v>
      </c>
      <c r="L372" s="2" t="s">
        <v>38</v>
      </c>
      <c r="M372" s="2" t="s">
        <v>38</v>
      </c>
      <c r="N372" s="2" t="s">
        <v>38</v>
      </c>
      <c r="O372" s="2" t="s">
        <v>38</v>
      </c>
      <c r="P372" s="2" t="s">
        <v>38</v>
      </c>
      <c r="Q372" s="2" t="s">
        <v>38</v>
      </c>
      <c r="R372" s="2" t="s">
        <v>38</v>
      </c>
      <c r="S372" s="2" t="s">
        <v>38</v>
      </c>
      <c r="T372" s="2" t="s">
        <v>39</v>
      </c>
      <c r="U372" s="2" t="s">
        <v>38</v>
      </c>
      <c r="V372" s="2" t="s">
        <v>39</v>
      </c>
      <c r="W372" s="2" t="s">
        <v>38</v>
      </c>
      <c r="X372" s="2" t="s">
        <v>39</v>
      </c>
      <c r="Y372" s="2" t="s">
        <v>38</v>
      </c>
      <c r="Z372" s="2" t="s">
        <v>38</v>
      </c>
      <c r="AA372" s="2" t="s">
        <v>38</v>
      </c>
      <c r="AB372" s="2" t="s">
        <v>38</v>
      </c>
      <c r="AC372" s="2" t="s">
        <v>39</v>
      </c>
      <c r="AD372" s="2" t="s">
        <v>38</v>
      </c>
      <c r="AE372" s="2" t="s">
        <v>38</v>
      </c>
    </row>
    <row r="373" spans="1:31" ht="409.5">
      <c r="A373" s="2">
        <v>2719468</v>
      </c>
      <c r="B373" s="2">
        <f>HYPERLINK("https://platform.v2.vetology.net/cases/2719468/screening-report/18?type=pdf&amp;v=v6&amp;scorecard=1&amp;secret_key=BX%25IJ%24%2F65ieZ%29f6", 2719468)</f>
        <v>2719468</v>
      </c>
      <c r="C373" s="2">
        <f>HYPERLINK("https://platform.v2.vetology.net/report/v/final/"&amp;2719468, 2719468)</f>
        <v>2719468</v>
      </c>
      <c r="D373" s="2" t="s">
        <v>1290</v>
      </c>
      <c r="E373" s="2" t="s">
        <v>295</v>
      </c>
      <c r="F373" s="2" t="s">
        <v>1291</v>
      </c>
      <c r="G373" s="2" t="s">
        <v>135</v>
      </c>
      <c r="H373" s="2" t="s">
        <v>54</v>
      </c>
      <c r="I373" s="2" t="s">
        <v>44</v>
      </c>
      <c r="J373" s="2" t="s">
        <v>106</v>
      </c>
      <c r="K373" s="2" t="s">
        <v>38</v>
      </c>
      <c r="L373" s="2" t="s">
        <v>39</v>
      </c>
      <c r="M373" s="2" t="s">
        <v>38</v>
      </c>
      <c r="N373" s="2" t="s">
        <v>38</v>
      </c>
      <c r="O373" s="2" t="s">
        <v>38</v>
      </c>
      <c r="P373" s="2" t="s">
        <v>38</v>
      </c>
      <c r="Q373" s="2" t="s">
        <v>38</v>
      </c>
      <c r="R373" s="2" t="s">
        <v>38</v>
      </c>
      <c r="S373" s="2" t="s">
        <v>38</v>
      </c>
      <c r="T373" s="2" t="s">
        <v>38</v>
      </c>
      <c r="U373" s="2" t="s">
        <v>38</v>
      </c>
      <c r="V373" s="2" t="s">
        <v>38</v>
      </c>
      <c r="W373" s="2" t="s">
        <v>38</v>
      </c>
      <c r="X373" s="2" t="s">
        <v>38</v>
      </c>
      <c r="Y373" s="2" t="s">
        <v>38</v>
      </c>
      <c r="Z373" s="2" t="s">
        <v>38</v>
      </c>
      <c r="AA373" s="2" t="s">
        <v>38</v>
      </c>
      <c r="AB373" s="2" t="s">
        <v>38</v>
      </c>
      <c r="AC373" s="2" t="s">
        <v>38</v>
      </c>
      <c r="AD373" s="2" t="s">
        <v>38</v>
      </c>
      <c r="AE373" s="2" t="s">
        <v>38</v>
      </c>
    </row>
    <row r="374" spans="1:31" ht="409.5">
      <c r="A374" s="2">
        <v>2719353</v>
      </c>
      <c r="B374" s="2">
        <f>HYPERLINK("https://platform.v2.vetology.net/cases/2719353/screening-report/18?type=pdf&amp;v=v6&amp;scorecard=1&amp;secret_key=BX%25IJ%24%2F65ieZ%29f6", 2719353)</f>
        <v>2719353</v>
      </c>
      <c r="C374" s="2">
        <f>HYPERLINK("https://platform.v2.vetology.net/report/v/final/"&amp;2719353, 2719353)</f>
        <v>2719353</v>
      </c>
      <c r="D374" s="2" t="s">
        <v>1292</v>
      </c>
      <c r="E374" s="2" t="s">
        <v>1293</v>
      </c>
      <c r="F374" s="2" t="s">
        <v>81</v>
      </c>
      <c r="G374" s="2" t="s">
        <v>82</v>
      </c>
      <c r="H374" s="2" t="s">
        <v>78</v>
      </c>
      <c r="I374" s="2" t="s">
        <v>44</v>
      </c>
      <c r="J374" s="2"/>
      <c r="K374" s="2" t="s">
        <v>38</v>
      </c>
      <c r="L374" s="2" t="s">
        <v>39</v>
      </c>
      <c r="M374" s="2" t="s">
        <v>38</v>
      </c>
      <c r="N374" s="2" t="s">
        <v>38</v>
      </c>
      <c r="O374" s="2" t="s">
        <v>38</v>
      </c>
      <c r="P374" s="2" t="s">
        <v>38</v>
      </c>
      <c r="Q374" s="2" t="s">
        <v>38</v>
      </c>
      <c r="R374" s="2" t="s">
        <v>38</v>
      </c>
      <c r="S374" s="2" t="s">
        <v>38</v>
      </c>
      <c r="T374" s="2" t="s">
        <v>38</v>
      </c>
      <c r="U374" s="2" t="s">
        <v>38</v>
      </c>
      <c r="V374" s="2" t="s">
        <v>38</v>
      </c>
      <c r="W374" s="2" t="s">
        <v>38</v>
      </c>
      <c r="X374" s="2" t="s">
        <v>38</v>
      </c>
      <c r="Y374" s="2" t="s">
        <v>38</v>
      </c>
      <c r="Z374" s="2" t="s">
        <v>38</v>
      </c>
      <c r="AA374" s="2" t="s">
        <v>38</v>
      </c>
      <c r="AB374" s="2" t="s">
        <v>38</v>
      </c>
      <c r="AC374" s="2" t="s">
        <v>38</v>
      </c>
      <c r="AD374" s="2" t="s">
        <v>38</v>
      </c>
      <c r="AE374" s="2" t="s">
        <v>38</v>
      </c>
    </row>
    <row r="375" spans="1:31" ht="409.5">
      <c r="A375" s="2">
        <v>2719028</v>
      </c>
      <c r="B375" s="2">
        <f>HYPERLINK("https://platform.v2.vetology.net/cases/2719028/screening-report/18?type=pdf&amp;v=v6&amp;scorecard=1&amp;secret_key=BX%25IJ%24%2F65ieZ%29f6", 2719028)</f>
        <v>2719028</v>
      </c>
      <c r="C375" s="2">
        <f>HYPERLINK("https://platform.v2.vetology.net/report/v/final/"&amp;2719028, 2719028)</f>
        <v>2719028</v>
      </c>
      <c r="D375" s="2" t="s">
        <v>1294</v>
      </c>
      <c r="E375" s="2" t="s">
        <v>1295</v>
      </c>
      <c r="F375" s="2" t="s">
        <v>81</v>
      </c>
      <c r="G375" s="2" t="s">
        <v>82</v>
      </c>
      <c r="H375" s="2" t="s">
        <v>607</v>
      </c>
      <c r="I375" s="2" t="s">
        <v>137</v>
      </c>
      <c r="J375" s="2" t="s">
        <v>66</v>
      </c>
      <c r="K375" s="2" t="s">
        <v>38</v>
      </c>
      <c r="L375" s="2" t="s">
        <v>39</v>
      </c>
      <c r="M375" s="2" t="s">
        <v>38</v>
      </c>
      <c r="N375" s="2" t="s">
        <v>38</v>
      </c>
      <c r="O375" s="2" t="s">
        <v>38</v>
      </c>
      <c r="P375" s="2" t="s">
        <v>38</v>
      </c>
      <c r="Q375" s="2" t="s">
        <v>38</v>
      </c>
      <c r="R375" s="2" t="s">
        <v>38</v>
      </c>
      <c r="S375" s="2" t="s">
        <v>38</v>
      </c>
      <c r="T375" s="2" t="s">
        <v>38</v>
      </c>
      <c r="U375" s="2" t="s">
        <v>38</v>
      </c>
      <c r="V375" s="2" t="s">
        <v>38</v>
      </c>
      <c r="W375" s="2" t="s">
        <v>38</v>
      </c>
      <c r="X375" s="2" t="s">
        <v>38</v>
      </c>
      <c r="Y375" s="2" t="s">
        <v>38</v>
      </c>
      <c r="Z375" s="2" t="s">
        <v>38</v>
      </c>
      <c r="AA375" s="2" t="s">
        <v>38</v>
      </c>
      <c r="AB375" s="2" t="s">
        <v>39</v>
      </c>
      <c r="AC375" s="2" t="s">
        <v>38</v>
      </c>
      <c r="AD375" s="2" t="s">
        <v>38</v>
      </c>
      <c r="AE375" s="2" t="s">
        <v>39</v>
      </c>
    </row>
    <row r="376" spans="1:31" ht="409.5">
      <c r="A376" s="2">
        <v>2718812</v>
      </c>
      <c r="B376" s="2">
        <f>HYPERLINK("https://platform.v2.vetology.net/cases/2718812/screening-report/18?type=pdf&amp;v=v6&amp;scorecard=1&amp;secret_key=BX%25IJ%24%2F65ieZ%29f6", 2718812)</f>
        <v>2718812</v>
      </c>
      <c r="C376" s="2">
        <f>HYPERLINK("https://platform.v2.vetology.net/report/v/final/"&amp;2718812, 2718812)</f>
        <v>2718812</v>
      </c>
      <c r="D376" s="2" t="s">
        <v>1296</v>
      </c>
      <c r="E376" s="2" t="s">
        <v>1297</v>
      </c>
      <c r="F376" s="2" t="s">
        <v>1298</v>
      </c>
      <c r="G376" s="2" t="s">
        <v>34</v>
      </c>
      <c r="H376" s="2" t="s">
        <v>283</v>
      </c>
      <c r="I376" s="2" t="s">
        <v>284</v>
      </c>
      <c r="J376" s="2" t="s">
        <v>285</v>
      </c>
      <c r="K376" s="2" t="s">
        <v>38</v>
      </c>
      <c r="L376" s="2" t="s">
        <v>39</v>
      </c>
      <c r="M376" s="2" t="s">
        <v>38</v>
      </c>
      <c r="N376" s="2" t="s">
        <v>38</v>
      </c>
      <c r="O376" s="2" t="s">
        <v>38</v>
      </c>
      <c r="P376" s="2" t="s">
        <v>38</v>
      </c>
      <c r="Q376" s="2" t="s">
        <v>38</v>
      </c>
      <c r="R376" s="2" t="s">
        <v>38</v>
      </c>
      <c r="S376" s="2" t="s">
        <v>38</v>
      </c>
      <c r="T376" s="2" t="s">
        <v>39</v>
      </c>
      <c r="U376" s="2" t="s">
        <v>38</v>
      </c>
      <c r="V376" s="2" t="s">
        <v>38</v>
      </c>
      <c r="W376" s="2" t="s">
        <v>38</v>
      </c>
      <c r="X376" s="2" t="s">
        <v>39</v>
      </c>
      <c r="Y376" s="2" t="s">
        <v>38</v>
      </c>
      <c r="Z376" s="2" t="s">
        <v>38</v>
      </c>
      <c r="AA376" s="2" t="s">
        <v>38</v>
      </c>
      <c r="AB376" s="2" t="s">
        <v>38</v>
      </c>
      <c r="AC376" s="2" t="s">
        <v>38</v>
      </c>
      <c r="AD376" s="2" t="s">
        <v>38</v>
      </c>
      <c r="AE376" s="2" t="s">
        <v>38</v>
      </c>
    </row>
    <row r="377" spans="1:31" ht="409.5">
      <c r="A377" s="2">
        <v>2718802</v>
      </c>
      <c r="B377" s="2">
        <f>HYPERLINK("https://platform.v2.vetology.net/cases/2718802/screening-report/18?type=pdf&amp;v=v6&amp;scorecard=1&amp;secret_key=BX%25IJ%24%2F65ieZ%29f6", 2718802)</f>
        <v>2718802</v>
      </c>
      <c r="C377" s="2">
        <f>HYPERLINK("https://platform.v2.vetology.net/report/v/final/"&amp;2718802, 2718802)</f>
        <v>2718802</v>
      </c>
      <c r="D377" s="2" t="s">
        <v>1299</v>
      </c>
      <c r="E377" s="2" t="s">
        <v>1300</v>
      </c>
      <c r="F377" s="2"/>
      <c r="G377" s="2" t="s">
        <v>268</v>
      </c>
      <c r="H377" s="2" t="s">
        <v>1301</v>
      </c>
      <c r="I377" s="2" t="s">
        <v>1118</v>
      </c>
      <c r="J377" s="2" t="s">
        <v>1119</v>
      </c>
      <c r="K377" s="2" t="s">
        <v>38</v>
      </c>
      <c r="L377" s="2" t="s">
        <v>38</v>
      </c>
      <c r="M377" s="2" t="s">
        <v>39</v>
      </c>
      <c r="N377" s="2" t="s">
        <v>38</v>
      </c>
      <c r="O377" s="2" t="s">
        <v>38</v>
      </c>
      <c r="P377" s="2" t="s">
        <v>39</v>
      </c>
      <c r="Q377" s="2" t="s">
        <v>38</v>
      </c>
      <c r="R377" s="2" t="s">
        <v>38</v>
      </c>
      <c r="S377" s="2" t="s">
        <v>39</v>
      </c>
      <c r="T377" s="2" t="s">
        <v>38</v>
      </c>
      <c r="U377" s="2" t="s">
        <v>38</v>
      </c>
      <c r="V377" s="2" t="s">
        <v>38</v>
      </c>
      <c r="W377" s="2" t="s">
        <v>38</v>
      </c>
      <c r="X377" s="2" t="s">
        <v>38</v>
      </c>
      <c r="Y377" s="2" t="s">
        <v>38</v>
      </c>
      <c r="Z377" s="2" t="s">
        <v>38</v>
      </c>
      <c r="AA377" s="2" t="s">
        <v>38</v>
      </c>
      <c r="AB377" s="2" t="s">
        <v>38</v>
      </c>
      <c r="AC377" s="2" t="s">
        <v>39</v>
      </c>
      <c r="AD377" s="2" t="s">
        <v>38</v>
      </c>
      <c r="AE377" s="2" t="s">
        <v>38</v>
      </c>
    </row>
    <row r="378" spans="1:31" ht="409.5">
      <c r="A378" s="2">
        <v>2718767</v>
      </c>
      <c r="B378" s="2">
        <f>HYPERLINK("https://platform.v2.vetology.net/cases/2718767/screening-report/18?type=pdf&amp;v=v6&amp;scorecard=1&amp;secret_key=BX%25IJ%24%2F65ieZ%29f6", 2718767)</f>
        <v>2718767</v>
      </c>
      <c r="C378" s="2">
        <f>HYPERLINK("https://platform.v2.vetology.net/report/v/final/"&amp;2718767, 2718767)</f>
        <v>2718767</v>
      </c>
      <c r="D378" s="2" t="s">
        <v>1302</v>
      </c>
      <c r="E378" s="2" t="s">
        <v>1303</v>
      </c>
      <c r="F378" s="2" t="s">
        <v>81</v>
      </c>
      <c r="G378" s="2" t="s">
        <v>82</v>
      </c>
      <c r="H378" s="2" t="s">
        <v>1304</v>
      </c>
      <c r="I378" s="2" t="s">
        <v>1245</v>
      </c>
      <c r="J378" s="2" t="s">
        <v>66</v>
      </c>
      <c r="K378" s="2" t="s">
        <v>38</v>
      </c>
      <c r="L378" s="2" t="s">
        <v>39</v>
      </c>
      <c r="M378" s="2" t="s">
        <v>39</v>
      </c>
      <c r="N378" s="2" t="s">
        <v>39</v>
      </c>
      <c r="O378" s="2" t="s">
        <v>39</v>
      </c>
      <c r="P378" s="2" t="s">
        <v>39</v>
      </c>
      <c r="Q378" s="2" t="s">
        <v>38</v>
      </c>
      <c r="R378" s="2" t="s">
        <v>38</v>
      </c>
      <c r="S378" s="2" t="s">
        <v>39</v>
      </c>
      <c r="T378" s="2" t="s">
        <v>39</v>
      </c>
      <c r="U378" s="2" t="s">
        <v>38</v>
      </c>
      <c r="V378" s="2" t="s">
        <v>39</v>
      </c>
      <c r="W378" s="2" t="s">
        <v>38</v>
      </c>
      <c r="X378" s="2" t="s">
        <v>39</v>
      </c>
      <c r="Y378" s="2" t="s">
        <v>38</v>
      </c>
      <c r="Z378" s="2" t="s">
        <v>39</v>
      </c>
      <c r="AA378" s="2" t="s">
        <v>38</v>
      </c>
      <c r="AB378" s="2" t="s">
        <v>39</v>
      </c>
      <c r="AC378" s="2" t="s">
        <v>39</v>
      </c>
      <c r="AD378" s="2" t="s">
        <v>38</v>
      </c>
      <c r="AE378" s="2" t="s">
        <v>38</v>
      </c>
    </row>
    <row r="379" spans="1:31" ht="409.5">
      <c r="A379" s="2">
        <v>2718695</v>
      </c>
      <c r="B379" s="2">
        <f>HYPERLINK("https://platform.v2.vetology.net/cases/2718695/screening-report/18?type=pdf&amp;v=v6&amp;scorecard=1&amp;secret_key=BX%25IJ%24%2F65ieZ%29f6", 2718695)</f>
        <v>2718695</v>
      </c>
      <c r="C379" s="2">
        <f>HYPERLINK("https://platform.v2.vetology.net/report/v/final/"&amp;2718695, 2718695)</f>
        <v>2718695</v>
      </c>
      <c r="D379" s="2" t="s">
        <v>1305</v>
      </c>
      <c r="E379" s="2" t="s">
        <v>1306</v>
      </c>
      <c r="F379" s="2" t="s">
        <v>1307</v>
      </c>
      <c r="G379" s="2" t="s">
        <v>93</v>
      </c>
      <c r="H379" s="2" t="s">
        <v>1308</v>
      </c>
      <c r="I379" s="2" t="s">
        <v>145</v>
      </c>
      <c r="J379" s="2" t="s">
        <v>146</v>
      </c>
      <c r="K379" s="2" t="s">
        <v>38</v>
      </c>
      <c r="L379" s="2" t="s">
        <v>39</v>
      </c>
      <c r="M379" s="2" t="s">
        <v>39</v>
      </c>
      <c r="N379" s="2" t="s">
        <v>38</v>
      </c>
      <c r="O379" s="2" t="s">
        <v>38</v>
      </c>
      <c r="P379" s="2" t="s">
        <v>39</v>
      </c>
      <c r="Q379" s="2" t="s">
        <v>39</v>
      </c>
      <c r="R379" s="2" t="s">
        <v>38</v>
      </c>
      <c r="S379" s="2" t="s">
        <v>38</v>
      </c>
      <c r="T379" s="2" t="s">
        <v>39</v>
      </c>
      <c r="U379" s="2" t="s">
        <v>38</v>
      </c>
      <c r="V379" s="2" t="s">
        <v>39</v>
      </c>
      <c r="W379" s="2" t="s">
        <v>38</v>
      </c>
      <c r="X379" s="2" t="s">
        <v>39</v>
      </c>
      <c r="Y379" s="2" t="s">
        <v>38</v>
      </c>
      <c r="Z379" s="2" t="s">
        <v>39</v>
      </c>
      <c r="AA379" s="2" t="s">
        <v>38</v>
      </c>
      <c r="AB379" s="2" t="s">
        <v>39</v>
      </c>
      <c r="AC379" s="2" t="s">
        <v>39</v>
      </c>
      <c r="AD379" s="2" t="s">
        <v>38</v>
      </c>
      <c r="AE379" s="2" t="s">
        <v>38</v>
      </c>
    </row>
    <row r="380" spans="1:31" ht="409.5">
      <c r="A380" s="2">
        <v>2718352</v>
      </c>
      <c r="B380" s="2">
        <f>HYPERLINK("https://platform.v2.vetology.net/cases/2718352/screening-report/18?type=pdf&amp;v=v6&amp;scorecard=1&amp;secret_key=BX%25IJ%24%2F65ieZ%29f6", 2718352)</f>
        <v>2718352</v>
      </c>
      <c r="C380" s="2">
        <f>HYPERLINK("https://platform.v2.vetology.net/report/v/final/"&amp;2718352, 2718352)</f>
        <v>2718352</v>
      </c>
      <c r="D380" s="2" t="s">
        <v>1309</v>
      </c>
      <c r="E380" s="2" t="s">
        <v>1310</v>
      </c>
      <c r="F380" s="2" t="s">
        <v>1311</v>
      </c>
      <c r="G380" s="2" t="s">
        <v>70</v>
      </c>
      <c r="H380" s="2" t="s">
        <v>978</v>
      </c>
      <c r="I380" s="2" t="s">
        <v>284</v>
      </c>
      <c r="J380" s="2" t="s">
        <v>285</v>
      </c>
      <c r="K380" s="2" t="s">
        <v>38</v>
      </c>
      <c r="L380" s="2" t="s">
        <v>38</v>
      </c>
      <c r="M380" s="2" t="s">
        <v>38</v>
      </c>
      <c r="N380" s="2" t="s">
        <v>38</v>
      </c>
      <c r="O380" s="2" t="s">
        <v>38</v>
      </c>
      <c r="P380" s="2" t="s">
        <v>38</v>
      </c>
      <c r="Q380" s="2" t="s">
        <v>38</v>
      </c>
      <c r="R380" s="2" t="s">
        <v>38</v>
      </c>
      <c r="S380" s="2" t="s">
        <v>38</v>
      </c>
      <c r="T380" s="2" t="s">
        <v>38</v>
      </c>
      <c r="U380" s="2" t="s">
        <v>38</v>
      </c>
      <c r="V380" s="2" t="s">
        <v>38</v>
      </c>
      <c r="W380" s="2" t="s">
        <v>38</v>
      </c>
      <c r="X380" s="2" t="s">
        <v>38</v>
      </c>
      <c r="Y380" s="2" t="s">
        <v>38</v>
      </c>
      <c r="Z380" s="2" t="s">
        <v>38</v>
      </c>
      <c r="AA380" s="2" t="s">
        <v>38</v>
      </c>
      <c r="AB380" s="2" t="s">
        <v>38</v>
      </c>
      <c r="AC380" s="2" t="s">
        <v>38</v>
      </c>
      <c r="AD380" s="2" t="s">
        <v>38</v>
      </c>
      <c r="AE380" s="2" t="s">
        <v>38</v>
      </c>
    </row>
    <row r="381" spans="1:31" ht="409.5">
      <c r="A381" s="2">
        <v>2718346</v>
      </c>
      <c r="B381" s="2">
        <f>HYPERLINK("https://platform.v2.vetology.net/cases/2718346/screening-report/18?type=pdf&amp;v=v6&amp;scorecard=1&amp;secret_key=BX%25IJ%24%2F65ieZ%29f6", 2718346)</f>
        <v>2718346</v>
      </c>
      <c r="C381" s="2">
        <f>HYPERLINK("https://platform.v2.vetology.net/report/v/final/"&amp;2718346, 2718346)</f>
        <v>2718346</v>
      </c>
      <c r="D381" s="2" t="s">
        <v>1312</v>
      </c>
      <c r="E381" s="2" t="s">
        <v>1313</v>
      </c>
      <c r="F381" s="2" t="s">
        <v>1314</v>
      </c>
      <c r="G381" s="2" t="s">
        <v>34</v>
      </c>
      <c r="H381" s="2" t="s">
        <v>497</v>
      </c>
      <c r="I381" s="2" t="s">
        <v>137</v>
      </c>
      <c r="J381" s="2" t="s">
        <v>66</v>
      </c>
      <c r="K381" s="2" t="s">
        <v>38</v>
      </c>
      <c r="L381" s="2" t="s">
        <v>39</v>
      </c>
      <c r="M381" s="2" t="s">
        <v>39</v>
      </c>
      <c r="N381" s="2" t="s">
        <v>38</v>
      </c>
      <c r="O381" s="2" t="s">
        <v>39</v>
      </c>
      <c r="P381" s="2" t="s">
        <v>39</v>
      </c>
      <c r="Q381" s="2" t="s">
        <v>38</v>
      </c>
      <c r="R381" s="2" t="s">
        <v>38</v>
      </c>
      <c r="S381" s="2" t="s">
        <v>38</v>
      </c>
      <c r="T381" s="2" t="s">
        <v>39</v>
      </c>
      <c r="U381" s="2" t="s">
        <v>38</v>
      </c>
      <c r="V381" s="2" t="s">
        <v>39</v>
      </c>
      <c r="W381" s="2" t="s">
        <v>38</v>
      </c>
      <c r="X381" s="2" t="s">
        <v>39</v>
      </c>
      <c r="Y381" s="2" t="s">
        <v>38</v>
      </c>
      <c r="Z381" s="2" t="s">
        <v>39</v>
      </c>
      <c r="AA381" s="2" t="s">
        <v>38</v>
      </c>
      <c r="AB381" s="2" t="s">
        <v>39</v>
      </c>
      <c r="AC381" s="2" t="s">
        <v>39</v>
      </c>
      <c r="AD381" s="2" t="s">
        <v>38</v>
      </c>
      <c r="AE381" s="2" t="s">
        <v>39</v>
      </c>
    </row>
    <row r="382" spans="1:31" ht="409.5">
      <c r="A382" s="2">
        <v>2718261</v>
      </c>
      <c r="B382" s="2">
        <f>HYPERLINK("https://platform.v2.vetology.net/cases/2718261/screening-report/18?type=pdf&amp;v=v6&amp;scorecard=1&amp;secret_key=BX%25IJ%24%2F65ieZ%29f6", 2718261)</f>
        <v>2718261</v>
      </c>
      <c r="C382" s="2">
        <f>HYPERLINK("https://platform.v2.vetology.net/report/v/final/"&amp;2718261, 2718261)</f>
        <v>2718261</v>
      </c>
      <c r="D382" s="2" t="s">
        <v>1315</v>
      </c>
      <c r="E382" s="2" t="s">
        <v>1316</v>
      </c>
      <c r="F382" s="2" t="s">
        <v>1317</v>
      </c>
      <c r="G382" s="2" t="s">
        <v>34</v>
      </c>
      <c r="H382" s="2" t="s">
        <v>43</v>
      </c>
      <c r="I382" s="2" t="s">
        <v>44</v>
      </c>
      <c r="J382" s="2"/>
      <c r="K382" s="2" t="s">
        <v>38</v>
      </c>
      <c r="L382" s="2" t="s">
        <v>38</v>
      </c>
      <c r="M382" s="2" t="s">
        <v>38</v>
      </c>
      <c r="N382" s="2" t="s">
        <v>38</v>
      </c>
      <c r="O382" s="2" t="s">
        <v>38</v>
      </c>
      <c r="P382" s="2" t="s">
        <v>38</v>
      </c>
      <c r="Q382" s="2" t="s">
        <v>38</v>
      </c>
      <c r="R382" s="2" t="s">
        <v>38</v>
      </c>
      <c r="S382" s="2" t="s">
        <v>38</v>
      </c>
      <c r="T382" s="2" t="s">
        <v>38</v>
      </c>
      <c r="U382" s="2" t="s">
        <v>38</v>
      </c>
      <c r="V382" s="2" t="s">
        <v>38</v>
      </c>
      <c r="W382" s="2" t="s">
        <v>38</v>
      </c>
      <c r="X382" s="2" t="s">
        <v>38</v>
      </c>
      <c r="Y382" s="2" t="s">
        <v>38</v>
      </c>
      <c r="Z382" s="2" t="s">
        <v>38</v>
      </c>
      <c r="AA382" s="2" t="s">
        <v>38</v>
      </c>
      <c r="AB382" s="2" t="s">
        <v>38</v>
      </c>
      <c r="AC382" s="2" t="s">
        <v>38</v>
      </c>
      <c r="AD382" s="2" t="s">
        <v>38</v>
      </c>
      <c r="AE382" s="2" t="s">
        <v>38</v>
      </c>
    </row>
    <row r="383" spans="1:31" ht="409.5">
      <c r="A383" s="2">
        <v>2718020</v>
      </c>
      <c r="B383" s="2">
        <f>HYPERLINK("https://platform.v2.vetology.net/cases/2718020/screening-report/18?type=pdf&amp;v=v6&amp;scorecard=1&amp;secret_key=BX%25IJ%24%2F65ieZ%29f6", 2718020)</f>
        <v>2718020</v>
      </c>
      <c r="C383" s="2">
        <f>HYPERLINK("https://platform.v2.vetology.net/report/v/final/"&amp;2718020, 2718020)</f>
        <v>2718020</v>
      </c>
      <c r="D383" s="2" t="s">
        <v>1318</v>
      </c>
      <c r="E383" s="2" t="s">
        <v>1319</v>
      </c>
      <c r="F383" s="2" t="s">
        <v>1320</v>
      </c>
      <c r="G383" s="2" t="s">
        <v>34</v>
      </c>
      <c r="H383" s="2" t="s">
        <v>1321</v>
      </c>
      <c r="I383" s="2" t="s">
        <v>1322</v>
      </c>
      <c r="J383" s="2" t="s">
        <v>710</v>
      </c>
      <c r="K383" s="2" t="s">
        <v>38</v>
      </c>
      <c r="L383" s="2" t="s">
        <v>38</v>
      </c>
      <c r="M383" s="2" t="s">
        <v>39</v>
      </c>
      <c r="N383" s="2" t="s">
        <v>38</v>
      </c>
      <c r="O383" s="2" t="s">
        <v>38</v>
      </c>
      <c r="P383" s="2" t="s">
        <v>38</v>
      </c>
      <c r="Q383" s="2" t="s">
        <v>38</v>
      </c>
      <c r="R383" s="2" t="s">
        <v>38</v>
      </c>
      <c r="S383" s="2" t="s">
        <v>39</v>
      </c>
      <c r="T383" s="2" t="s">
        <v>39</v>
      </c>
      <c r="U383" s="2" t="s">
        <v>38</v>
      </c>
      <c r="V383" s="2" t="s">
        <v>39</v>
      </c>
      <c r="W383" s="2" t="s">
        <v>38</v>
      </c>
      <c r="X383" s="2" t="s">
        <v>39</v>
      </c>
      <c r="Y383" s="2" t="s">
        <v>38</v>
      </c>
      <c r="Z383" s="2" t="s">
        <v>38</v>
      </c>
      <c r="AA383" s="2" t="s">
        <v>38</v>
      </c>
      <c r="AB383" s="2" t="s">
        <v>38</v>
      </c>
      <c r="AC383" s="2" t="s">
        <v>38</v>
      </c>
      <c r="AD383" s="2" t="s">
        <v>38</v>
      </c>
      <c r="AE383" s="2" t="s">
        <v>39</v>
      </c>
    </row>
    <row r="384" spans="1:31" ht="409.5">
      <c r="A384" s="2">
        <v>2717975</v>
      </c>
      <c r="B384" s="2">
        <f>HYPERLINK("https://platform.v2.vetology.net/cases/2717975/screening-report/18?type=pdf&amp;v=v6&amp;scorecard=1&amp;secret_key=BX%25IJ%24%2F65ieZ%29f6", 2717975)</f>
        <v>2717975</v>
      </c>
      <c r="C384" s="2">
        <f>HYPERLINK("https://platform.v2.vetology.net/report/v/final/"&amp;2717975, 2717975)</f>
        <v>2717975</v>
      </c>
      <c r="D384" s="2" t="s">
        <v>1323</v>
      </c>
      <c r="E384" s="2" t="s">
        <v>1324</v>
      </c>
      <c r="F384" s="2" t="s">
        <v>1325</v>
      </c>
      <c r="G384" s="2" t="s">
        <v>34</v>
      </c>
      <c r="H384" s="2" t="s">
        <v>94</v>
      </c>
      <c r="I384" s="2" t="s">
        <v>89</v>
      </c>
      <c r="J384" s="2" t="s">
        <v>66</v>
      </c>
      <c r="K384" s="2" t="s">
        <v>38</v>
      </c>
      <c r="L384" s="2" t="s">
        <v>38</v>
      </c>
      <c r="M384" s="2" t="s">
        <v>39</v>
      </c>
      <c r="N384" s="2" t="s">
        <v>38</v>
      </c>
      <c r="O384" s="2" t="s">
        <v>38</v>
      </c>
      <c r="P384" s="2" t="s">
        <v>38</v>
      </c>
      <c r="Q384" s="2" t="s">
        <v>38</v>
      </c>
      <c r="R384" s="2" t="s">
        <v>38</v>
      </c>
      <c r="S384" s="2" t="s">
        <v>38</v>
      </c>
      <c r="T384" s="2" t="s">
        <v>38</v>
      </c>
      <c r="U384" s="2" t="s">
        <v>38</v>
      </c>
      <c r="V384" s="2" t="s">
        <v>38</v>
      </c>
      <c r="W384" s="2" t="s">
        <v>38</v>
      </c>
      <c r="X384" s="2" t="s">
        <v>38</v>
      </c>
      <c r="Y384" s="2" t="s">
        <v>38</v>
      </c>
      <c r="Z384" s="2" t="s">
        <v>38</v>
      </c>
      <c r="AA384" s="2" t="s">
        <v>38</v>
      </c>
      <c r="AB384" s="2" t="s">
        <v>38</v>
      </c>
      <c r="AC384" s="2" t="s">
        <v>38</v>
      </c>
      <c r="AD384" s="2" t="s">
        <v>38</v>
      </c>
      <c r="AE384" s="2" t="s">
        <v>38</v>
      </c>
    </row>
    <row r="385" spans="1:31" ht="409.5">
      <c r="A385" s="2">
        <v>2717969</v>
      </c>
      <c r="B385" s="2">
        <f>HYPERLINK("https://platform.v2.vetology.net/cases/2717969/screening-report/18?type=pdf&amp;v=v6&amp;scorecard=1&amp;secret_key=BX%25IJ%24%2F65ieZ%29f6", 2717969)</f>
        <v>2717969</v>
      </c>
      <c r="C385" s="2">
        <f>HYPERLINK("https://platform.v2.vetology.net/report/v/final/"&amp;2717969, 2717969)</f>
        <v>2717969</v>
      </c>
      <c r="D385" s="2" t="s">
        <v>1326</v>
      </c>
      <c r="E385" s="2" t="s">
        <v>1327</v>
      </c>
      <c r="F385" s="2" t="s">
        <v>1328</v>
      </c>
      <c r="G385" s="2" t="s">
        <v>58</v>
      </c>
      <c r="H385" s="2" t="s">
        <v>136</v>
      </c>
      <c r="I385" s="2" t="s">
        <v>137</v>
      </c>
      <c r="J385" s="2" t="s">
        <v>66</v>
      </c>
      <c r="K385" s="2" t="s">
        <v>38</v>
      </c>
      <c r="L385" s="2" t="s">
        <v>38</v>
      </c>
      <c r="M385" s="2" t="s">
        <v>38</v>
      </c>
      <c r="N385" s="2" t="s">
        <v>38</v>
      </c>
      <c r="O385" s="2" t="s">
        <v>38</v>
      </c>
      <c r="P385" s="2" t="s">
        <v>38</v>
      </c>
      <c r="Q385" s="2" t="s">
        <v>38</v>
      </c>
      <c r="R385" s="2" t="s">
        <v>38</v>
      </c>
      <c r="S385" s="2" t="s">
        <v>38</v>
      </c>
      <c r="T385" s="2" t="s">
        <v>38</v>
      </c>
      <c r="U385" s="2" t="s">
        <v>38</v>
      </c>
      <c r="V385" s="2" t="s">
        <v>38</v>
      </c>
      <c r="W385" s="2" t="s">
        <v>38</v>
      </c>
      <c r="X385" s="2" t="s">
        <v>38</v>
      </c>
      <c r="Y385" s="2" t="s">
        <v>38</v>
      </c>
      <c r="Z385" s="2" t="s">
        <v>38</v>
      </c>
      <c r="AA385" s="2" t="s">
        <v>38</v>
      </c>
      <c r="AB385" s="2" t="s">
        <v>38</v>
      </c>
      <c r="AC385" s="2" t="s">
        <v>38</v>
      </c>
      <c r="AD385" s="2" t="s">
        <v>38</v>
      </c>
      <c r="AE385" s="2" t="s">
        <v>39</v>
      </c>
    </row>
    <row r="386" spans="1:31" ht="409.5">
      <c r="A386" s="2">
        <v>2717882</v>
      </c>
      <c r="B386" s="2">
        <f>HYPERLINK("https://platform.v2.vetology.net/cases/2717882/screening-report/18?type=pdf&amp;v=v6&amp;scorecard=1&amp;secret_key=BX%25IJ%24%2F65ieZ%29f6", 2717882)</f>
        <v>2717882</v>
      </c>
      <c r="C386" s="2">
        <f>HYPERLINK("https://platform.v2.vetology.net/report/v/final/"&amp;2717882, 2717882)</f>
        <v>2717882</v>
      </c>
      <c r="D386" s="2" t="s">
        <v>1329</v>
      </c>
      <c r="E386" s="2" t="s">
        <v>1330</v>
      </c>
      <c r="F386" s="2" t="s">
        <v>81</v>
      </c>
      <c r="G386" s="2" t="s">
        <v>268</v>
      </c>
      <c r="H386" s="2" t="s">
        <v>54</v>
      </c>
      <c r="I386" s="2" t="s">
        <v>44</v>
      </c>
      <c r="J386" s="2" t="s">
        <v>106</v>
      </c>
      <c r="K386" s="2" t="s">
        <v>38</v>
      </c>
      <c r="L386" s="2" t="s">
        <v>38</v>
      </c>
      <c r="M386" s="2" t="s">
        <v>38</v>
      </c>
      <c r="N386" s="2" t="s">
        <v>38</v>
      </c>
      <c r="O386" s="2" t="s">
        <v>38</v>
      </c>
      <c r="P386" s="2" t="s">
        <v>38</v>
      </c>
      <c r="Q386" s="2" t="s">
        <v>38</v>
      </c>
      <c r="R386" s="2" t="s">
        <v>38</v>
      </c>
      <c r="S386" s="2" t="s">
        <v>38</v>
      </c>
      <c r="T386" s="2" t="s">
        <v>38</v>
      </c>
      <c r="U386" s="2" t="s">
        <v>38</v>
      </c>
      <c r="V386" s="2" t="s">
        <v>38</v>
      </c>
      <c r="W386" s="2" t="s">
        <v>38</v>
      </c>
      <c r="X386" s="2" t="s">
        <v>38</v>
      </c>
      <c r="Y386" s="2" t="s">
        <v>38</v>
      </c>
      <c r="Z386" s="2" t="s">
        <v>38</v>
      </c>
      <c r="AA386" s="2" t="s">
        <v>38</v>
      </c>
      <c r="AB386" s="2" t="s">
        <v>38</v>
      </c>
      <c r="AC386" s="2" t="s">
        <v>38</v>
      </c>
      <c r="AD386" s="2" t="s">
        <v>38</v>
      </c>
      <c r="AE386" s="2" t="s">
        <v>38</v>
      </c>
    </row>
    <row r="387" spans="1:31" ht="409.5">
      <c r="A387" s="2">
        <v>2717706</v>
      </c>
      <c r="B387" s="2">
        <f>HYPERLINK("https://platform.v2.vetology.net/cases/2717706/screening-report/18?type=pdf&amp;v=v6&amp;scorecard=1&amp;secret_key=BX%25IJ%24%2F65ieZ%29f6", 2717706)</f>
        <v>2717706</v>
      </c>
      <c r="C387" s="2">
        <f>HYPERLINK("https://platform.v2.vetology.net/report/v/final/"&amp;2717706, 2717706)</f>
        <v>2717706</v>
      </c>
      <c r="D387" s="2" t="s">
        <v>1331</v>
      </c>
      <c r="E387" s="2" t="s">
        <v>1332</v>
      </c>
      <c r="F387" s="2" t="s">
        <v>1333</v>
      </c>
      <c r="G387" s="2" t="s">
        <v>575</v>
      </c>
      <c r="H387" s="2" t="s">
        <v>733</v>
      </c>
      <c r="I387" s="2" t="s">
        <v>158</v>
      </c>
      <c r="J387" s="2" t="s">
        <v>50</v>
      </c>
      <c r="K387" s="2" t="s">
        <v>38</v>
      </c>
      <c r="L387" s="2" t="s">
        <v>39</v>
      </c>
      <c r="M387" s="2" t="s">
        <v>39</v>
      </c>
      <c r="N387" s="2" t="s">
        <v>38</v>
      </c>
      <c r="O387" s="2" t="s">
        <v>38</v>
      </c>
      <c r="P387" s="2" t="s">
        <v>39</v>
      </c>
      <c r="Q387" s="2" t="s">
        <v>38</v>
      </c>
      <c r="R387" s="2" t="s">
        <v>38</v>
      </c>
      <c r="S387" s="2" t="s">
        <v>38</v>
      </c>
      <c r="T387" s="2" t="s">
        <v>38</v>
      </c>
      <c r="U387" s="2" t="s">
        <v>38</v>
      </c>
      <c r="V387" s="2" t="s">
        <v>38</v>
      </c>
      <c r="W387" s="2" t="s">
        <v>38</v>
      </c>
      <c r="X387" s="2" t="s">
        <v>38</v>
      </c>
      <c r="Y387" s="2" t="s">
        <v>38</v>
      </c>
      <c r="Z387" s="2" t="s">
        <v>38</v>
      </c>
      <c r="AA387" s="2" t="s">
        <v>38</v>
      </c>
      <c r="AB387" s="2" t="s">
        <v>38</v>
      </c>
      <c r="AC387" s="2" t="s">
        <v>38</v>
      </c>
      <c r="AD387" s="2" t="s">
        <v>38</v>
      </c>
      <c r="AE387" s="2" t="s">
        <v>38</v>
      </c>
    </row>
    <row r="388" spans="1:31" ht="409.5">
      <c r="A388" s="2">
        <v>2717587</v>
      </c>
      <c r="B388" s="2">
        <f>HYPERLINK("https://platform.v2.vetology.net/cases/2717587/screening-report/18?type=pdf&amp;v=v6&amp;scorecard=1&amp;secret_key=BX%25IJ%24%2F65ieZ%29f6", 2717587)</f>
        <v>2717587</v>
      </c>
      <c r="C388" s="2">
        <f>HYPERLINK("https://platform.v2.vetology.net/report/v/final/"&amp;2717587, 2717587)</f>
        <v>2717587</v>
      </c>
      <c r="D388" s="2" t="s">
        <v>1334</v>
      </c>
      <c r="E388" s="2" t="s">
        <v>1335</v>
      </c>
      <c r="F388" s="2" t="s">
        <v>81</v>
      </c>
      <c r="G388" s="2" t="s">
        <v>150</v>
      </c>
      <c r="H388" s="2" t="s">
        <v>1336</v>
      </c>
      <c r="I388" s="2" t="s">
        <v>841</v>
      </c>
      <c r="J388" s="2" t="s">
        <v>518</v>
      </c>
      <c r="K388" s="2" t="s">
        <v>38</v>
      </c>
      <c r="L388" s="2" t="s">
        <v>38</v>
      </c>
      <c r="M388" s="2" t="s">
        <v>38</v>
      </c>
      <c r="N388" s="2" t="s">
        <v>39</v>
      </c>
      <c r="O388" s="2" t="s">
        <v>38</v>
      </c>
      <c r="P388" s="2" t="s">
        <v>38</v>
      </c>
      <c r="Q388" s="2" t="s">
        <v>38</v>
      </c>
      <c r="R388" s="2" t="s">
        <v>38</v>
      </c>
      <c r="S388" s="2" t="s">
        <v>38</v>
      </c>
      <c r="T388" s="2" t="s">
        <v>38</v>
      </c>
      <c r="U388" s="2" t="s">
        <v>38</v>
      </c>
      <c r="V388" s="2" t="s">
        <v>38</v>
      </c>
      <c r="W388" s="2" t="s">
        <v>38</v>
      </c>
      <c r="X388" s="2" t="s">
        <v>38</v>
      </c>
      <c r="Y388" s="2" t="s">
        <v>38</v>
      </c>
      <c r="Z388" s="2" t="s">
        <v>38</v>
      </c>
      <c r="AA388" s="2" t="s">
        <v>38</v>
      </c>
      <c r="AB388" s="2" t="s">
        <v>38</v>
      </c>
      <c r="AC388" s="2" t="s">
        <v>38</v>
      </c>
      <c r="AD388" s="2" t="s">
        <v>38</v>
      </c>
      <c r="AE388" s="2" t="s">
        <v>39</v>
      </c>
    </row>
    <row r="389" spans="1:31" ht="409.5">
      <c r="A389" s="2">
        <v>2717334</v>
      </c>
      <c r="B389" s="2">
        <f>HYPERLINK("https://platform.v2.vetology.net/cases/2717334/screening-report/18?type=pdf&amp;v=v6&amp;scorecard=1&amp;secret_key=BX%25IJ%24%2F65ieZ%29f6", 2717334)</f>
        <v>2717334</v>
      </c>
      <c r="C389" s="2">
        <f>HYPERLINK("https://platform.v2.vetology.net/report/v/final/"&amp;2717334, 2717334)</f>
        <v>2717334</v>
      </c>
      <c r="D389" s="2" t="s">
        <v>1337</v>
      </c>
      <c r="E389" s="2" t="s">
        <v>1338</v>
      </c>
      <c r="F389" s="2"/>
      <c r="G389" s="2" t="s">
        <v>268</v>
      </c>
      <c r="H389" s="2" t="s">
        <v>78</v>
      </c>
      <c r="I389" s="2" t="s">
        <v>44</v>
      </c>
      <c r="J389" s="2" t="s">
        <v>106</v>
      </c>
      <c r="K389" s="2" t="s">
        <v>38</v>
      </c>
      <c r="L389" s="2" t="s">
        <v>39</v>
      </c>
      <c r="M389" s="2" t="s">
        <v>38</v>
      </c>
      <c r="N389" s="2" t="s">
        <v>38</v>
      </c>
      <c r="O389" s="2" t="s">
        <v>38</v>
      </c>
      <c r="P389" s="2" t="s">
        <v>38</v>
      </c>
      <c r="Q389" s="2" t="s">
        <v>38</v>
      </c>
      <c r="R389" s="2" t="s">
        <v>38</v>
      </c>
      <c r="S389" s="2" t="s">
        <v>38</v>
      </c>
      <c r="T389" s="2" t="s">
        <v>38</v>
      </c>
      <c r="U389" s="2" t="s">
        <v>38</v>
      </c>
      <c r="V389" s="2" t="s">
        <v>38</v>
      </c>
      <c r="W389" s="2" t="s">
        <v>38</v>
      </c>
      <c r="X389" s="2" t="s">
        <v>39</v>
      </c>
      <c r="Y389" s="2" t="s">
        <v>38</v>
      </c>
      <c r="Z389" s="2" t="s">
        <v>38</v>
      </c>
      <c r="AA389" s="2" t="s">
        <v>38</v>
      </c>
      <c r="AB389" s="2" t="s">
        <v>39</v>
      </c>
      <c r="AC389" s="2" t="s">
        <v>39</v>
      </c>
      <c r="AD389" s="2" t="s">
        <v>38</v>
      </c>
      <c r="AE389" s="2" t="s">
        <v>38</v>
      </c>
    </row>
    <row r="390" spans="1:31" ht="409.5">
      <c r="A390" s="2">
        <v>2717300</v>
      </c>
      <c r="B390" s="2">
        <f>HYPERLINK("https://platform.v2.vetology.net/cases/2717300/screening-report/18?type=pdf&amp;v=v6&amp;scorecard=1&amp;secret_key=BX%25IJ%24%2F65ieZ%29f6", 2717300)</f>
        <v>2717300</v>
      </c>
      <c r="C390" s="2">
        <f>HYPERLINK("https://platform.v2.vetology.net/report/v/final/"&amp;2717300, 2717300)</f>
        <v>2717300</v>
      </c>
      <c r="D390" s="2" t="s">
        <v>1339</v>
      </c>
      <c r="E390" s="2" t="s">
        <v>1340</v>
      </c>
      <c r="F390" s="2" t="s">
        <v>1341</v>
      </c>
      <c r="G390" s="2" t="s">
        <v>135</v>
      </c>
      <c r="H390" s="2" t="s">
        <v>129</v>
      </c>
      <c r="I390" s="2" t="s">
        <v>44</v>
      </c>
      <c r="J390" s="2"/>
      <c r="K390" s="2" t="s">
        <v>38</v>
      </c>
      <c r="L390" s="2" t="s">
        <v>38</v>
      </c>
      <c r="M390" s="2" t="s">
        <v>38</v>
      </c>
      <c r="N390" s="2" t="s">
        <v>38</v>
      </c>
      <c r="O390" s="2" t="s">
        <v>38</v>
      </c>
      <c r="P390" s="2" t="s">
        <v>38</v>
      </c>
      <c r="Q390" s="2" t="s">
        <v>38</v>
      </c>
      <c r="R390" s="2" t="s">
        <v>38</v>
      </c>
      <c r="S390" s="2" t="s">
        <v>38</v>
      </c>
      <c r="T390" s="2" t="s">
        <v>38</v>
      </c>
      <c r="U390" s="2" t="s">
        <v>39</v>
      </c>
      <c r="V390" s="2" t="s">
        <v>39</v>
      </c>
      <c r="W390" s="2" t="s">
        <v>38</v>
      </c>
      <c r="X390" s="2" t="s">
        <v>39</v>
      </c>
      <c r="Y390" s="2" t="s">
        <v>38</v>
      </c>
      <c r="Z390" s="2" t="s">
        <v>39</v>
      </c>
      <c r="AA390" s="2" t="s">
        <v>38</v>
      </c>
      <c r="AB390" s="2" t="s">
        <v>38</v>
      </c>
      <c r="AC390" s="2" t="s">
        <v>38</v>
      </c>
      <c r="AD390" s="2" t="s">
        <v>38</v>
      </c>
      <c r="AE390" s="2" t="s">
        <v>39</v>
      </c>
    </row>
    <row r="391" spans="1:31" ht="409.5">
      <c r="A391" s="2">
        <v>2717272</v>
      </c>
      <c r="B391" s="2">
        <f>HYPERLINK("https://platform.v2.vetology.net/cases/2717272/screening-report/18?type=pdf&amp;v=v6&amp;scorecard=1&amp;secret_key=BX%25IJ%24%2F65ieZ%29f6", 2717272)</f>
        <v>2717272</v>
      </c>
      <c r="C391" s="2">
        <f>HYPERLINK("https://platform.v2.vetology.net/report/v/final/"&amp;2717272, 2717272)</f>
        <v>2717272</v>
      </c>
      <c r="D391" s="2" t="s">
        <v>1342</v>
      </c>
      <c r="E391" s="2" t="s">
        <v>1343</v>
      </c>
      <c r="F391" s="2" t="s">
        <v>1344</v>
      </c>
      <c r="G391" s="2" t="s">
        <v>93</v>
      </c>
      <c r="H391" s="2" t="s">
        <v>1345</v>
      </c>
      <c r="I391" s="2" t="s">
        <v>1346</v>
      </c>
      <c r="J391" s="2" t="s">
        <v>1347</v>
      </c>
      <c r="K391" s="2" t="s">
        <v>38</v>
      </c>
      <c r="L391" s="2" t="s">
        <v>39</v>
      </c>
      <c r="M391" s="2" t="s">
        <v>39</v>
      </c>
      <c r="N391" s="2" t="s">
        <v>38</v>
      </c>
      <c r="O391" s="2" t="s">
        <v>38</v>
      </c>
      <c r="P391" s="2" t="s">
        <v>39</v>
      </c>
      <c r="Q391" s="2" t="s">
        <v>38</v>
      </c>
      <c r="R391" s="2" t="s">
        <v>38</v>
      </c>
      <c r="S391" s="2" t="s">
        <v>38</v>
      </c>
      <c r="T391" s="2" t="s">
        <v>38</v>
      </c>
      <c r="U391" s="2" t="s">
        <v>39</v>
      </c>
      <c r="V391" s="2" t="s">
        <v>38</v>
      </c>
      <c r="W391" s="2" t="s">
        <v>38</v>
      </c>
      <c r="X391" s="2" t="s">
        <v>38</v>
      </c>
      <c r="Y391" s="2" t="s">
        <v>38</v>
      </c>
      <c r="Z391" s="2" t="s">
        <v>39</v>
      </c>
      <c r="AA391" s="2" t="s">
        <v>38</v>
      </c>
      <c r="AB391" s="2" t="s">
        <v>39</v>
      </c>
      <c r="AC391" s="2" t="s">
        <v>39</v>
      </c>
      <c r="AD391" s="2" t="s">
        <v>38</v>
      </c>
      <c r="AE391" s="2" t="s">
        <v>38</v>
      </c>
    </row>
    <row r="392" spans="1:31" ht="409.5">
      <c r="A392" s="2">
        <v>2717239</v>
      </c>
      <c r="B392" s="2">
        <f>HYPERLINK("https://platform.v2.vetology.net/cases/2717239/screening-report/18?type=pdf&amp;v=v6&amp;scorecard=1&amp;secret_key=BX%25IJ%24%2F65ieZ%29f6", 2717239)</f>
        <v>2717239</v>
      </c>
      <c r="C392" s="2">
        <f>HYPERLINK("https://platform.v2.vetology.net/report/v/final/"&amp;2717239, 2717239)</f>
        <v>2717239</v>
      </c>
      <c r="D392" s="2" t="s">
        <v>1348</v>
      </c>
      <c r="E392" s="2" t="s">
        <v>1349</v>
      </c>
      <c r="F392" s="2" t="s">
        <v>1350</v>
      </c>
      <c r="G392" s="2" t="s">
        <v>58</v>
      </c>
      <c r="H392" s="2" t="s">
        <v>1351</v>
      </c>
      <c r="I392" s="2" t="s">
        <v>1322</v>
      </c>
      <c r="J392" s="2" t="s">
        <v>710</v>
      </c>
      <c r="K392" s="2" t="s">
        <v>38</v>
      </c>
      <c r="L392" s="2" t="s">
        <v>39</v>
      </c>
      <c r="M392" s="2" t="s">
        <v>39</v>
      </c>
      <c r="N392" s="2" t="s">
        <v>38</v>
      </c>
      <c r="O392" s="2" t="s">
        <v>39</v>
      </c>
      <c r="P392" s="2" t="s">
        <v>38</v>
      </c>
      <c r="Q392" s="2" t="s">
        <v>38</v>
      </c>
      <c r="R392" s="2" t="s">
        <v>38</v>
      </c>
      <c r="S392" s="2" t="s">
        <v>39</v>
      </c>
      <c r="T392" s="2" t="s">
        <v>38</v>
      </c>
      <c r="U392" s="2" t="s">
        <v>38</v>
      </c>
      <c r="V392" s="2" t="s">
        <v>38</v>
      </c>
      <c r="W392" s="2" t="s">
        <v>38</v>
      </c>
      <c r="X392" s="2" t="s">
        <v>38</v>
      </c>
      <c r="Y392" s="2" t="s">
        <v>38</v>
      </c>
      <c r="Z392" s="2" t="s">
        <v>38</v>
      </c>
      <c r="AA392" s="2" t="s">
        <v>38</v>
      </c>
      <c r="AB392" s="2" t="s">
        <v>38</v>
      </c>
      <c r="AC392" s="2" t="s">
        <v>38</v>
      </c>
      <c r="AD392" s="2" t="s">
        <v>38</v>
      </c>
      <c r="AE392" s="2" t="s">
        <v>38</v>
      </c>
    </row>
    <row r="393" spans="1:31" ht="409.5">
      <c r="A393" s="2">
        <v>2717118</v>
      </c>
      <c r="B393" s="2">
        <f>HYPERLINK("https://platform.v2.vetology.net/cases/2717118/screening-report/18?type=pdf&amp;v=v6&amp;scorecard=1&amp;secret_key=BX%25IJ%24%2F65ieZ%29f6", 2717118)</f>
        <v>2717118</v>
      </c>
      <c r="C393" s="2">
        <f>HYPERLINK("https://platform.v2.vetology.net/report/v/final/"&amp;2717118, 2717118)</f>
        <v>2717118</v>
      </c>
      <c r="D393" s="2" t="s">
        <v>1352</v>
      </c>
      <c r="E393" s="2" t="s">
        <v>1353</v>
      </c>
      <c r="F393" s="2" t="s">
        <v>1354</v>
      </c>
      <c r="G393" s="2" t="s">
        <v>34</v>
      </c>
      <c r="H393" s="2" t="s">
        <v>680</v>
      </c>
      <c r="I393" s="2" t="s">
        <v>681</v>
      </c>
      <c r="J393" s="2" t="s">
        <v>50</v>
      </c>
      <c r="K393" s="2" t="s">
        <v>38</v>
      </c>
      <c r="L393" s="2" t="s">
        <v>38</v>
      </c>
      <c r="M393" s="2" t="s">
        <v>39</v>
      </c>
      <c r="N393" s="2" t="s">
        <v>38</v>
      </c>
      <c r="O393" s="2" t="s">
        <v>38</v>
      </c>
      <c r="P393" s="2" t="s">
        <v>38</v>
      </c>
      <c r="Q393" s="2" t="s">
        <v>38</v>
      </c>
      <c r="R393" s="2" t="s">
        <v>38</v>
      </c>
      <c r="S393" s="2" t="s">
        <v>39</v>
      </c>
      <c r="T393" s="2" t="s">
        <v>39</v>
      </c>
      <c r="U393" s="2" t="s">
        <v>38</v>
      </c>
      <c r="V393" s="2" t="s">
        <v>38</v>
      </c>
      <c r="W393" s="2" t="s">
        <v>38</v>
      </c>
      <c r="X393" s="2" t="s">
        <v>38</v>
      </c>
      <c r="Y393" s="2" t="s">
        <v>38</v>
      </c>
      <c r="Z393" s="2" t="s">
        <v>38</v>
      </c>
      <c r="AA393" s="2" t="s">
        <v>38</v>
      </c>
      <c r="AB393" s="2" t="s">
        <v>38</v>
      </c>
      <c r="AC393" s="2" t="s">
        <v>38</v>
      </c>
      <c r="AD393" s="2" t="s">
        <v>38</v>
      </c>
      <c r="AE393" s="2" t="s">
        <v>39</v>
      </c>
    </row>
    <row r="394" spans="1:31" ht="409.5">
      <c r="A394" s="2">
        <v>2716978</v>
      </c>
      <c r="B394" s="2">
        <f>HYPERLINK("https://platform.v2.vetology.net/cases/2716978/screening-report/18?type=pdf&amp;v=v6&amp;scorecard=1&amp;secret_key=BX%25IJ%24%2F65ieZ%29f6", 2716978)</f>
        <v>2716978</v>
      </c>
      <c r="C394" s="2">
        <f>HYPERLINK("https://platform.v2.vetology.net/report/v/final/"&amp;2716978, 2716978)</f>
        <v>2716978</v>
      </c>
      <c r="D394" s="2" t="s">
        <v>1355</v>
      </c>
      <c r="E394" s="2" t="s">
        <v>1356</v>
      </c>
      <c r="F394" s="2" t="s">
        <v>919</v>
      </c>
      <c r="G394" s="2" t="s">
        <v>58</v>
      </c>
      <c r="H394" s="2" t="s">
        <v>240</v>
      </c>
      <c r="I394" s="2" t="s">
        <v>89</v>
      </c>
      <c r="J394" s="2" t="s">
        <v>66</v>
      </c>
      <c r="K394" s="2" t="s">
        <v>38</v>
      </c>
      <c r="L394" s="2" t="s">
        <v>39</v>
      </c>
      <c r="M394" s="2" t="s">
        <v>38</v>
      </c>
      <c r="N394" s="2" t="s">
        <v>38</v>
      </c>
      <c r="O394" s="2" t="s">
        <v>38</v>
      </c>
      <c r="P394" s="2" t="s">
        <v>38</v>
      </c>
      <c r="Q394" s="2" t="s">
        <v>38</v>
      </c>
      <c r="R394" s="2" t="s">
        <v>38</v>
      </c>
      <c r="S394" s="2" t="s">
        <v>38</v>
      </c>
      <c r="T394" s="2" t="s">
        <v>38</v>
      </c>
      <c r="U394" s="2" t="s">
        <v>38</v>
      </c>
      <c r="V394" s="2" t="s">
        <v>38</v>
      </c>
      <c r="W394" s="2" t="s">
        <v>38</v>
      </c>
      <c r="X394" s="2" t="s">
        <v>38</v>
      </c>
      <c r="Y394" s="2" t="s">
        <v>38</v>
      </c>
      <c r="Z394" s="2" t="s">
        <v>38</v>
      </c>
      <c r="AA394" s="2" t="s">
        <v>38</v>
      </c>
      <c r="AB394" s="2" t="s">
        <v>38</v>
      </c>
      <c r="AC394" s="2" t="s">
        <v>39</v>
      </c>
      <c r="AD394" s="2" t="s">
        <v>38</v>
      </c>
      <c r="AE394" s="2" t="s">
        <v>39</v>
      </c>
    </row>
    <row r="395" spans="1:31" ht="409.5">
      <c r="A395" s="2">
        <v>2716805</v>
      </c>
      <c r="B395" s="2">
        <f>HYPERLINK("https://platform.v2.vetology.net/cases/2716805/screening-report/18?type=pdf&amp;v=v6&amp;scorecard=1&amp;secret_key=BX%25IJ%24%2F65ieZ%29f6", 2716805)</f>
        <v>2716805</v>
      </c>
      <c r="C395" s="2">
        <f>HYPERLINK("https://platform.v2.vetology.net/report/v/final/"&amp;2716805, 2716805)</f>
        <v>2716805</v>
      </c>
      <c r="D395" s="2" t="s">
        <v>1357</v>
      </c>
      <c r="E395" s="2" t="s">
        <v>1358</v>
      </c>
      <c r="F395" s="2" t="s">
        <v>455</v>
      </c>
      <c r="G395" s="2" t="s">
        <v>58</v>
      </c>
      <c r="H395" s="2" t="s">
        <v>1359</v>
      </c>
      <c r="I395" s="2" t="s">
        <v>1360</v>
      </c>
      <c r="J395" s="2" t="s">
        <v>66</v>
      </c>
      <c r="K395" s="2" t="s">
        <v>38</v>
      </c>
      <c r="L395" s="2" t="s">
        <v>38</v>
      </c>
      <c r="M395" s="2" t="s">
        <v>39</v>
      </c>
      <c r="N395" s="2" t="s">
        <v>38</v>
      </c>
      <c r="O395" s="2" t="s">
        <v>38</v>
      </c>
      <c r="P395" s="2" t="s">
        <v>38</v>
      </c>
      <c r="Q395" s="2" t="s">
        <v>38</v>
      </c>
      <c r="R395" s="2" t="s">
        <v>38</v>
      </c>
      <c r="S395" s="2" t="s">
        <v>39</v>
      </c>
      <c r="T395" s="2" t="s">
        <v>38</v>
      </c>
      <c r="U395" s="2" t="s">
        <v>39</v>
      </c>
      <c r="V395" s="2" t="s">
        <v>38</v>
      </c>
      <c r="W395" s="2" t="s">
        <v>38</v>
      </c>
      <c r="X395" s="2" t="s">
        <v>38</v>
      </c>
      <c r="Y395" s="2" t="s">
        <v>38</v>
      </c>
      <c r="Z395" s="2" t="s">
        <v>38</v>
      </c>
      <c r="AA395" s="2" t="s">
        <v>38</v>
      </c>
      <c r="AB395" s="2" t="s">
        <v>39</v>
      </c>
      <c r="AC395" s="2" t="s">
        <v>39</v>
      </c>
      <c r="AD395" s="2" t="s">
        <v>38</v>
      </c>
      <c r="AE395" s="2" t="s">
        <v>39</v>
      </c>
    </row>
    <row r="396" spans="1:31" ht="409.5">
      <c r="A396" s="2">
        <v>2716762</v>
      </c>
      <c r="B396" s="2">
        <f>HYPERLINK("https://platform.v2.vetology.net/cases/2716762/screening-report/18?type=pdf&amp;v=v6&amp;scorecard=1&amp;secret_key=BX%25IJ%24%2F65ieZ%29f6", 2716762)</f>
        <v>2716762</v>
      </c>
      <c r="C396" s="2">
        <f>HYPERLINK("https://platform.v2.vetology.net/report/v/final/"&amp;2716762, 2716762)</f>
        <v>2716762</v>
      </c>
      <c r="D396" s="2" t="s">
        <v>1361</v>
      </c>
      <c r="E396" s="2" t="s">
        <v>1115</v>
      </c>
      <c r="F396" s="2" t="s">
        <v>687</v>
      </c>
      <c r="G396" s="2" t="s">
        <v>150</v>
      </c>
      <c r="H396" s="2" t="s">
        <v>78</v>
      </c>
      <c r="I396" s="2" t="s">
        <v>44</v>
      </c>
      <c r="J396" s="2" t="s">
        <v>106</v>
      </c>
      <c r="K396" s="2" t="s">
        <v>38</v>
      </c>
      <c r="L396" s="2" t="s">
        <v>38</v>
      </c>
      <c r="M396" s="2" t="s">
        <v>38</v>
      </c>
      <c r="N396" s="2" t="s">
        <v>38</v>
      </c>
      <c r="O396" s="2" t="s">
        <v>38</v>
      </c>
      <c r="P396" s="2" t="s">
        <v>38</v>
      </c>
      <c r="Q396" s="2" t="s">
        <v>38</v>
      </c>
      <c r="R396" s="2" t="s">
        <v>38</v>
      </c>
      <c r="S396" s="2" t="s">
        <v>38</v>
      </c>
      <c r="T396" s="2" t="s">
        <v>38</v>
      </c>
      <c r="U396" s="2" t="s">
        <v>38</v>
      </c>
      <c r="V396" s="2" t="s">
        <v>38</v>
      </c>
      <c r="W396" s="2" t="s">
        <v>38</v>
      </c>
      <c r="X396" s="2" t="s">
        <v>38</v>
      </c>
      <c r="Y396" s="2" t="s">
        <v>38</v>
      </c>
      <c r="Z396" s="2" t="s">
        <v>38</v>
      </c>
      <c r="AA396" s="2" t="s">
        <v>38</v>
      </c>
      <c r="AB396" s="2" t="s">
        <v>39</v>
      </c>
      <c r="AC396" s="2" t="s">
        <v>38</v>
      </c>
      <c r="AD396" s="2" t="s">
        <v>38</v>
      </c>
      <c r="AE396" s="2" t="s">
        <v>38</v>
      </c>
    </row>
    <row r="397" spans="1:31" ht="409.5">
      <c r="A397" s="2">
        <v>2716760</v>
      </c>
      <c r="B397" s="2">
        <f>HYPERLINK("https://platform.v2.vetology.net/cases/2716760/screening-report/18?type=pdf&amp;v=v6&amp;scorecard=1&amp;secret_key=BX%25IJ%24%2F65ieZ%29f6", 2716760)</f>
        <v>2716760</v>
      </c>
      <c r="C397" s="2">
        <f>HYPERLINK("https://platform.v2.vetology.net/report/v/final/"&amp;2716760, 2716760)</f>
        <v>2716760</v>
      </c>
      <c r="D397" s="2" t="s">
        <v>1362</v>
      </c>
      <c r="E397" s="2" t="s">
        <v>1363</v>
      </c>
      <c r="F397" s="2" t="s">
        <v>149</v>
      </c>
      <c r="G397" s="2" t="s">
        <v>150</v>
      </c>
      <c r="H397" s="2" t="s">
        <v>1364</v>
      </c>
      <c r="I397" s="2" t="s">
        <v>290</v>
      </c>
      <c r="J397" s="2" t="s">
        <v>66</v>
      </c>
      <c r="K397" s="2" t="s">
        <v>38</v>
      </c>
      <c r="L397" s="2" t="s">
        <v>39</v>
      </c>
      <c r="M397" s="2" t="s">
        <v>39</v>
      </c>
      <c r="N397" s="2" t="s">
        <v>38</v>
      </c>
      <c r="O397" s="2" t="s">
        <v>38</v>
      </c>
      <c r="P397" s="2" t="s">
        <v>38</v>
      </c>
      <c r="Q397" s="2" t="s">
        <v>38</v>
      </c>
      <c r="R397" s="2" t="s">
        <v>38</v>
      </c>
      <c r="S397" s="2" t="s">
        <v>39</v>
      </c>
      <c r="T397" s="2" t="s">
        <v>38</v>
      </c>
      <c r="U397" s="2" t="s">
        <v>38</v>
      </c>
      <c r="V397" s="2" t="s">
        <v>38</v>
      </c>
      <c r="W397" s="2" t="s">
        <v>38</v>
      </c>
      <c r="X397" s="2" t="s">
        <v>38</v>
      </c>
      <c r="Y397" s="2" t="s">
        <v>38</v>
      </c>
      <c r="Z397" s="2" t="s">
        <v>39</v>
      </c>
      <c r="AA397" s="2" t="s">
        <v>38</v>
      </c>
      <c r="AB397" s="2" t="s">
        <v>39</v>
      </c>
      <c r="AC397" s="2" t="s">
        <v>39</v>
      </c>
      <c r="AD397" s="2" t="s">
        <v>38</v>
      </c>
      <c r="AE397" s="2" t="s">
        <v>38</v>
      </c>
    </row>
    <row r="398" spans="1:31" ht="409.5">
      <c r="A398" s="2">
        <v>2716624</v>
      </c>
      <c r="B398" s="2">
        <f>HYPERLINK("https://platform.v2.vetology.net/cases/2716624/screening-report/18?type=pdf&amp;v=v6&amp;scorecard=1&amp;secret_key=BX%25IJ%24%2F65ieZ%29f6", 2716624)</f>
        <v>2716624</v>
      </c>
      <c r="C398" s="2">
        <f>HYPERLINK("https://platform.v2.vetology.net/report/v/final/"&amp;2716624, 2716624)</f>
        <v>2716624</v>
      </c>
      <c r="D398" s="2" t="s">
        <v>1365</v>
      </c>
      <c r="E398" s="2" t="s">
        <v>1366</v>
      </c>
      <c r="F398" s="2" t="s">
        <v>1193</v>
      </c>
      <c r="G398" s="2" t="s">
        <v>135</v>
      </c>
      <c r="H398" s="2" t="s">
        <v>78</v>
      </c>
      <c r="I398" s="2" t="s">
        <v>44</v>
      </c>
      <c r="J398" s="2" t="s">
        <v>106</v>
      </c>
      <c r="K398" s="2" t="s">
        <v>38</v>
      </c>
      <c r="L398" s="2" t="s">
        <v>38</v>
      </c>
      <c r="M398" s="2" t="s">
        <v>38</v>
      </c>
      <c r="N398" s="2" t="s">
        <v>38</v>
      </c>
      <c r="O398" s="2" t="s">
        <v>38</v>
      </c>
      <c r="P398" s="2" t="s">
        <v>38</v>
      </c>
      <c r="Q398" s="2" t="s">
        <v>38</v>
      </c>
      <c r="R398" s="2" t="s">
        <v>38</v>
      </c>
      <c r="S398" s="2" t="s">
        <v>38</v>
      </c>
      <c r="T398" s="2" t="s">
        <v>39</v>
      </c>
      <c r="U398" s="2" t="s">
        <v>38</v>
      </c>
      <c r="V398" s="2" t="s">
        <v>39</v>
      </c>
      <c r="W398" s="2" t="s">
        <v>38</v>
      </c>
      <c r="X398" s="2" t="s">
        <v>39</v>
      </c>
      <c r="Y398" s="2" t="s">
        <v>38</v>
      </c>
      <c r="Z398" s="2" t="s">
        <v>38</v>
      </c>
      <c r="AA398" s="2" t="s">
        <v>38</v>
      </c>
      <c r="AB398" s="2" t="s">
        <v>38</v>
      </c>
      <c r="AC398" s="2" t="s">
        <v>38</v>
      </c>
      <c r="AD398" s="2" t="s">
        <v>38</v>
      </c>
      <c r="AE398" s="2" t="s">
        <v>38</v>
      </c>
    </row>
    <row r="399" spans="1:31" ht="409.5">
      <c r="A399" s="2">
        <v>2716367</v>
      </c>
      <c r="B399" s="2">
        <f>HYPERLINK("https://platform.v2.vetology.net/cases/2716367/screening-report/18?type=pdf&amp;v=v6&amp;scorecard=1&amp;secret_key=BX%25IJ%24%2F65ieZ%29f6", 2716367)</f>
        <v>2716367</v>
      </c>
      <c r="C399" s="2">
        <f>HYPERLINK("https://platform.v2.vetology.net/report/v/final/"&amp;2716367, 2716367)</f>
        <v>2716367</v>
      </c>
      <c r="D399" s="2" t="s">
        <v>1367</v>
      </c>
      <c r="E399" s="2" t="s">
        <v>1368</v>
      </c>
      <c r="F399" s="2" t="s">
        <v>1369</v>
      </c>
      <c r="G399" s="2" t="s">
        <v>58</v>
      </c>
      <c r="H399" s="2" t="s">
        <v>129</v>
      </c>
      <c r="I399" s="2" t="s">
        <v>44</v>
      </c>
      <c r="J399" s="2"/>
      <c r="K399" s="2" t="s">
        <v>38</v>
      </c>
      <c r="L399" s="2" t="s">
        <v>39</v>
      </c>
      <c r="M399" s="2" t="s">
        <v>39</v>
      </c>
      <c r="N399" s="2" t="s">
        <v>38</v>
      </c>
      <c r="O399" s="2" t="s">
        <v>38</v>
      </c>
      <c r="P399" s="2" t="s">
        <v>38</v>
      </c>
      <c r="Q399" s="2" t="s">
        <v>38</v>
      </c>
      <c r="R399" s="2" t="s">
        <v>38</v>
      </c>
      <c r="S399" s="2" t="s">
        <v>39</v>
      </c>
      <c r="T399" s="2" t="s">
        <v>39</v>
      </c>
      <c r="U399" s="2" t="s">
        <v>38</v>
      </c>
      <c r="V399" s="2" t="s">
        <v>39</v>
      </c>
      <c r="W399" s="2" t="s">
        <v>38</v>
      </c>
      <c r="X399" s="2" t="s">
        <v>39</v>
      </c>
      <c r="Y399" s="2" t="s">
        <v>38</v>
      </c>
      <c r="Z399" s="2" t="s">
        <v>38</v>
      </c>
      <c r="AA399" s="2" t="s">
        <v>38</v>
      </c>
      <c r="AB399" s="2" t="s">
        <v>38</v>
      </c>
      <c r="AC399" s="2" t="s">
        <v>38</v>
      </c>
      <c r="AD399" s="2" t="s">
        <v>38</v>
      </c>
      <c r="AE399" s="2" t="s">
        <v>38</v>
      </c>
    </row>
    <row r="400" spans="1:31" ht="409.5">
      <c r="A400" s="2">
        <v>2716310</v>
      </c>
      <c r="B400" s="2">
        <f>HYPERLINK("https://platform.v2.vetology.net/cases/2716310/screening-report/18?type=pdf&amp;v=v6&amp;scorecard=1&amp;secret_key=BX%25IJ%24%2F65ieZ%29f6", 2716310)</f>
        <v>2716310</v>
      </c>
      <c r="C400" s="2">
        <f>HYPERLINK("https://platform.v2.vetology.net/report/v/final/"&amp;2716310, 2716310)</f>
        <v>2716310</v>
      </c>
      <c r="D400" s="2" t="s">
        <v>1370</v>
      </c>
      <c r="E400" s="2" t="s">
        <v>1371</v>
      </c>
      <c r="F400" s="2" t="s">
        <v>1372</v>
      </c>
      <c r="G400" s="2" t="s">
        <v>212</v>
      </c>
      <c r="H400" s="2" t="s">
        <v>680</v>
      </c>
      <c r="I400" s="2" t="s">
        <v>681</v>
      </c>
      <c r="J400" s="2" t="s">
        <v>50</v>
      </c>
      <c r="K400" s="2" t="s">
        <v>38</v>
      </c>
      <c r="L400" s="2" t="s">
        <v>38</v>
      </c>
      <c r="M400" s="2" t="s">
        <v>39</v>
      </c>
      <c r="N400" s="2" t="s">
        <v>38</v>
      </c>
      <c r="O400" s="2" t="s">
        <v>38</v>
      </c>
      <c r="P400" s="2" t="s">
        <v>38</v>
      </c>
      <c r="Q400" s="2" t="s">
        <v>38</v>
      </c>
      <c r="R400" s="2" t="s">
        <v>38</v>
      </c>
      <c r="S400" s="2" t="s">
        <v>38</v>
      </c>
      <c r="T400" s="2" t="s">
        <v>39</v>
      </c>
      <c r="U400" s="2" t="s">
        <v>38</v>
      </c>
      <c r="V400" s="2" t="s">
        <v>38</v>
      </c>
      <c r="W400" s="2" t="s">
        <v>38</v>
      </c>
      <c r="X400" s="2" t="s">
        <v>39</v>
      </c>
      <c r="Y400" s="2" t="s">
        <v>38</v>
      </c>
      <c r="Z400" s="2" t="s">
        <v>39</v>
      </c>
      <c r="AA400" s="2" t="s">
        <v>38</v>
      </c>
      <c r="AB400" s="2" t="s">
        <v>38</v>
      </c>
      <c r="AC400" s="2" t="s">
        <v>38</v>
      </c>
      <c r="AD400" s="2" t="s">
        <v>38</v>
      </c>
      <c r="AE400" s="2" t="s">
        <v>39</v>
      </c>
    </row>
    <row r="401" spans="1:31" ht="409.5">
      <c r="A401" s="2">
        <v>2716295</v>
      </c>
      <c r="B401" s="2">
        <f>HYPERLINK("https://platform.v2.vetology.net/cases/2716295/screening-report/18?type=pdf&amp;v=v6&amp;scorecard=1&amp;secret_key=BX%25IJ%24%2F65ieZ%29f6", 2716295)</f>
        <v>2716295</v>
      </c>
      <c r="C401" s="2">
        <f>HYPERLINK("https://platform.v2.vetology.net/report/v/final/"&amp;2716295, 2716295)</f>
        <v>2716295</v>
      </c>
      <c r="D401" s="2" t="s">
        <v>1373</v>
      </c>
      <c r="E401" s="2" t="s">
        <v>1374</v>
      </c>
      <c r="F401" s="2" t="s">
        <v>1375</v>
      </c>
      <c r="G401" s="2" t="s">
        <v>58</v>
      </c>
      <c r="H401" s="2" t="s">
        <v>54</v>
      </c>
      <c r="I401" s="2" t="s">
        <v>44</v>
      </c>
      <c r="J401" s="2" t="s">
        <v>106</v>
      </c>
      <c r="K401" s="2" t="s">
        <v>38</v>
      </c>
      <c r="L401" s="2" t="s">
        <v>39</v>
      </c>
      <c r="M401" s="2" t="s">
        <v>38</v>
      </c>
      <c r="N401" s="2" t="s">
        <v>38</v>
      </c>
      <c r="O401" s="2" t="s">
        <v>38</v>
      </c>
      <c r="P401" s="2" t="s">
        <v>38</v>
      </c>
      <c r="Q401" s="2" t="s">
        <v>38</v>
      </c>
      <c r="R401" s="2" t="s">
        <v>38</v>
      </c>
      <c r="S401" s="2" t="s">
        <v>38</v>
      </c>
      <c r="T401" s="2" t="s">
        <v>39</v>
      </c>
      <c r="U401" s="2" t="s">
        <v>38</v>
      </c>
      <c r="V401" s="2" t="s">
        <v>38</v>
      </c>
      <c r="W401" s="2" t="s">
        <v>38</v>
      </c>
      <c r="X401" s="2" t="s">
        <v>38</v>
      </c>
      <c r="Y401" s="2" t="s">
        <v>38</v>
      </c>
      <c r="Z401" s="2" t="s">
        <v>38</v>
      </c>
      <c r="AA401" s="2" t="s">
        <v>38</v>
      </c>
      <c r="AB401" s="2" t="s">
        <v>38</v>
      </c>
      <c r="AC401" s="2" t="s">
        <v>38</v>
      </c>
      <c r="AD401" s="2" t="s">
        <v>38</v>
      </c>
      <c r="AE401" s="2" t="s">
        <v>38</v>
      </c>
    </row>
    <row r="402" spans="1:31" ht="409.5">
      <c r="A402" s="2">
        <v>2716211</v>
      </c>
      <c r="B402" s="2">
        <f>HYPERLINK("https://platform.v2.vetology.net/cases/2716211/screening-report/18?type=pdf&amp;v=v6&amp;scorecard=1&amp;secret_key=BX%25IJ%24%2F65ieZ%29f6", 2716211)</f>
        <v>2716211</v>
      </c>
      <c r="C402" s="2">
        <f>HYPERLINK("https://platform.v2.vetology.net/report/v/final/"&amp;2716211, 2716211)</f>
        <v>2716211</v>
      </c>
      <c r="D402" s="2" t="s">
        <v>1376</v>
      </c>
      <c r="E402" s="2" t="s">
        <v>1377</v>
      </c>
      <c r="F402" s="2" t="s">
        <v>1378</v>
      </c>
      <c r="G402" s="2" t="s">
        <v>34</v>
      </c>
      <c r="H402" s="2" t="s">
        <v>88</v>
      </c>
      <c r="I402" s="2" t="s">
        <v>89</v>
      </c>
      <c r="J402" s="2" t="s">
        <v>66</v>
      </c>
      <c r="K402" s="2" t="s">
        <v>38</v>
      </c>
      <c r="L402" s="2" t="s">
        <v>39</v>
      </c>
      <c r="M402" s="2" t="s">
        <v>39</v>
      </c>
      <c r="N402" s="2" t="s">
        <v>38</v>
      </c>
      <c r="O402" s="2" t="s">
        <v>38</v>
      </c>
      <c r="P402" s="2" t="s">
        <v>39</v>
      </c>
      <c r="Q402" s="2" t="s">
        <v>38</v>
      </c>
      <c r="R402" s="2" t="s">
        <v>38</v>
      </c>
      <c r="S402" s="2" t="s">
        <v>38</v>
      </c>
      <c r="T402" s="2" t="s">
        <v>38</v>
      </c>
      <c r="U402" s="2" t="s">
        <v>38</v>
      </c>
      <c r="V402" s="2" t="s">
        <v>38</v>
      </c>
      <c r="W402" s="2" t="s">
        <v>38</v>
      </c>
      <c r="X402" s="2" t="s">
        <v>38</v>
      </c>
      <c r="Y402" s="2" t="s">
        <v>38</v>
      </c>
      <c r="Z402" s="2" t="s">
        <v>38</v>
      </c>
      <c r="AA402" s="2" t="s">
        <v>38</v>
      </c>
      <c r="AB402" s="2" t="s">
        <v>38</v>
      </c>
      <c r="AC402" s="2" t="s">
        <v>38</v>
      </c>
      <c r="AD402" s="2" t="s">
        <v>38</v>
      </c>
      <c r="AE402" s="2" t="s">
        <v>39</v>
      </c>
    </row>
    <row r="403" spans="1:31" ht="409.5">
      <c r="A403" s="2">
        <v>2715573</v>
      </c>
      <c r="B403" s="2">
        <f>HYPERLINK("https://platform.v2.vetology.net/cases/2715573/screening-report/18?type=pdf&amp;v=v6&amp;scorecard=1&amp;secret_key=BX%25IJ%24%2F65ieZ%29f6", 2715573)</f>
        <v>2715573</v>
      </c>
      <c r="C403" s="2">
        <f>HYPERLINK("https://platform.v2.vetology.net/report/v/final/"&amp;2715573, 2715573)</f>
        <v>2715573</v>
      </c>
      <c r="D403" s="2" t="s">
        <v>1379</v>
      </c>
      <c r="E403" s="2" t="s">
        <v>1380</v>
      </c>
      <c r="F403" s="2" t="s">
        <v>670</v>
      </c>
      <c r="G403" s="2" t="s">
        <v>34</v>
      </c>
      <c r="H403" s="2" t="s">
        <v>1381</v>
      </c>
      <c r="I403" s="2" t="s">
        <v>214</v>
      </c>
      <c r="J403" s="2" t="s">
        <v>50</v>
      </c>
      <c r="K403" s="2" t="s">
        <v>38</v>
      </c>
      <c r="L403" s="2" t="s">
        <v>38</v>
      </c>
      <c r="M403" s="2" t="s">
        <v>39</v>
      </c>
      <c r="N403" s="2" t="s">
        <v>38</v>
      </c>
      <c r="O403" s="2" t="s">
        <v>38</v>
      </c>
      <c r="P403" s="2" t="s">
        <v>38</v>
      </c>
      <c r="Q403" s="2" t="s">
        <v>38</v>
      </c>
      <c r="R403" s="2" t="s">
        <v>38</v>
      </c>
      <c r="S403" s="2" t="s">
        <v>38</v>
      </c>
      <c r="T403" s="2" t="s">
        <v>39</v>
      </c>
      <c r="U403" s="2" t="s">
        <v>38</v>
      </c>
      <c r="V403" s="2" t="s">
        <v>39</v>
      </c>
      <c r="W403" s="2" t="s">
        <v>38</v>
      </c>
      <c r="X403" s="2" t="s">
        <v>39</v>
      </c>
      <c r="Y403" s="2" t="s">
        <v>38</v>
      </c>
      <c r="Z403" s="2" t="s">
        <v>38</v>
      </c>
      <c r="AA403" s="2" t="s">
        <v>38</v>
      </c>
      <c r="AB403" s="2" t="s">
        <v>39</v>
      </c>
      <c r="AC403" s="2" t="s">
        <v>38</v>
      </c>
      <c r="AD403" s="2" t="s">
        <v>38</v>
      </c>
      <c r="AE403" s="2" t="s">
        <v>38</v>
      </c>
    </row>
    <row r="404" spans="1:31" ht="409.5">
      <c r="A404" s="2">
        <v>2715539</v>
      </c>
      <c r="B404" s="2">
        <f>HYPERLINK("https://platform.v2.vetology.net/cases/2715539/screening-report/18?type=pdf&amp;v=v6&amp;scorecard=1&amp;secret_key=BX%25IJ%24%2F65ieZ%29f6", 2715539)</f>
        <v>2715539</v>
      </c>
      <c r="C404" s="2">
        <f>HYPERLINK("https://platform.v2.vetology.net/report/v/final/"&amp;2715539, 2715539)</f>
        <v>2715539</v>
      </c>
      <c r="D404" s="2" t="s">
        <v>1382</v>
      </c>
      <c r="E404" s="2" t="s">
        <v>1383</v>
      </c>
      <c r="F404" s="2" t="s">
        <v>1384</v>
      </c>
      <c r="G404" s="2" t="s">
        <v>34</v>
      </c>
      <c r="H404" s="2" t="s">
        <v>360</v>
      </c>
      <c r="I404" s="2" t="s">
        <v>284</v>
      </c>
      <c r="J404" s="2" t="s">
        <v>285</v>
      </c>
      <c r="K404" s="2" t="s">
        <v>38</v>
      </c>
      <c r="L404" s="2" t="s">
        <v>38</v>
      </c>
      <c r="M404" s="2" t="s">
        <v>38</v>
      </c>
      <c r="N404" s="2" t="s">
        <v>38</v>
      </c>
      <c r="O404" s="2" t="s">
        <v>38</v>
      </c>
      <c r="P404" s="2" t="s">
        <v>38</v>
      </c>
      <c r="Q404" s="2" t="s">
        <v>38</v>
      </c>
      <c r="R404" s="2" t="s">
        <v>38</v>
      </c>
      <c r="S404" s="2" t="s">
        <v>38</v>
      </c>
      <c r="T404" s="2" t="s">
        <v>39</v>
      </c>
      <c r="U404" s="2" t="s">
        <v>38</v>
      </c>
      <c r="V404" s="2" t="s">
        <v>39</v>
      </c>
      <c r="W404" s="2" t="s">
        <v>38</v>
      </c>
      <c r="X404" s="2" t="s">
        <v>39</v>
      </c>
      <c r="Y404" s="2" t="s">
        <v>38</v>
      </c>
      <c r="Z404" s="2" t="s">
        <v>38</v>
      </c>
      <c r="AA404" s="2" t="s">
        <v>38</v>
      </c>
      <c r="AB404" s="2" t="s">
        <v>38</v>
      </c>
      <c r="AC404" s="2" t="s">
        <v>38</v>
      </c>
      <c r="AD404" s="2" t="s">
        <v>38</v>
      </c>
      <c r="AE404" s="2" t="s">
        <v>38</v>
      </c>
    </row>
    <row r="405" spans="1:31" ht="409.5">
      <c r="A405" s="2">
        <v>2715223</v>
      </c>
      <c r="B405" s="2">
        <f>HYPERLINK("https://platform.v2.vetology.net/cases/2715223/screening-report/18?type=pdf&amp;v=v6&amp;scorecard=1&amp;secret_key=BX%25IJ%24%2F65ieZ%29f6", 2715223)</f>
        <v>2715223</v>
      </c>
      <c r="C405" s="2">
        <f>HYPERLINK("https://platform.v2.vetology.net/report/v/final/"&amp;2715223, 2715223)</f>
        <v>2715223</v>
      </c>
      <c r="D405" s="2" t="s">
        <v>1385</v>
      </c>
      <c r="E405" s="2" t="s">
        <v>1386</v>
      </c>
      <c r="F405" s="2" t="s">
        <v>1387</v>
      </c>
      <c r="G405" s="2" t="s">
        <v>34</v>
      </c>
      <c r="H405" s="2" t="s">
        <v>54</v>
      </c>
      <c r="I405" s="2" t="s">
        <v>199</v>
      </c>
      <c r="J405" s="2"/>
      <c r="K405" s="2" t="s">
        <v>38</v>
      </c>
      <c r="L405" s="2" t="s">
        <v>39</v>
      </c>
      <c r="M405" s="2" t="s">
        <v>38</v>
      </c>
      <c r="N405" s="2" t="s">
        <v>38</v>
      </c>
      <c r="O405" s="2" t="s">
        <v>38</v>
      </c>
      <c r="P405" s="2" t="s">
        <v>38</v>
      </c>
      <c r="Q405" s="2" t="s">
        <v>39</v>
      </c>
      <c r="R405" s="2" t="s">
        <v>38</v>
      </c>
      <c r="S405" s="2" t="s">
        <v>38</v>
      </c>
      <c r="T405" s="2" t="s">
        <v>39</v>
      </c>
      <c r="U405" s="2" t="s">
        <v>38</v>
      </c>
      <c r="V405" s="2" t="s">
        <v>39</v>
      </c>
      <c r="W405" s="2" t="s">
        <v>38</v>
      </c>
      <c r="X405" s="2" t="s">
        <v>39</v>
      </c>
      <c r="Y405" s="2" t="s">
        <v>38</v>
      </c>
      <c r="Z405" s="2" t="s">
        <v>39</v>
      </c>
      <c r="AA405" s="2" t="s">
        <v>38</v>
      </c>
      <c r="AB405" s="2" t="s">
        <v>39</v>
      </c>
      <c r="AC405" s="2" t="s">
        <v>38</v>
      </c>
      <c r="AD405" s="2" t="s">
        <v>38</v>
      </c>
      <c r="AE405" s="2" t="s">
        <v>38</v>
      </c>
    </row>
    <row r="406" spans="1:31" ht="409.5">
      <c r="A406" s="2">
        <v>2715159</v>
      </c>
      <c r="B406" s="2">
        <f>HYPERLINK("https://platform.v2.vetology.net/cases/2715159/screening-report/18?type=pdf&amp;v=v6&amp;scorecard=1&amp;secret_key=BX%25IJ%24%2F65ieZ%29f6", 2715159)</f>
        <v>2715159</v>
      </c>
      <c r="C406" s="2">
        <f>HYPERLINK("https://platform.v2.vetology.net/report/v/final/"&amp;2715159, 2715159)</f>
        <v>2715159</v>
      </c>
      <c r="D406" s="2" t="s">
        <v>1388</v>
      </c>
      <c r="E406" s="2" t="s">
        <v>1389</v>
      </c>
      <c r="F406" s="2" t="s">
        <v>1390</v>
      </c>
      <c r="G406" s="2" t="s">
        <v>34</v>
      </c>
      <c r="H406" s="2" t="s">
        <v>78</v>
      </c>
      <c r="I406" s="2" t="s">
        <v>44</v>
      </c>
      <c r="J406" s="2" t="s">
        <v>106</v>
      </c>
      <c r="K406" s="2" t="s">
        <v>38</v>
      </c>
      <c r="L406" s="2" t="s">
        <v>38</v>
      </c>
      <c r="M406" s="2" t="s">
        <v>38</v>
      </c>
      <c r="N406" s="2" t="s">
        <v>38</v>
      </c>
      <c r="O406" s="2" t="s">
        <v>38</v>
      </c>
      <c r="P406" s="2" t="s">
        <v>38</v>
      </c>
      <c r="Q406" s="2" t="s">
        <v>38</v>
      </c>
      <c r="R406" s="2" t="s">
        <v>38</v>
      </c>
      <c r="S406" s="2" t="s">
        <v>38</v>
      </c>
      <c r="T406" s="2" t="s">
        <v>38</v>
      </c>
      <c r="U406" s="2" t="s">
        <v>38</v>
      </c>
      <c r="V406" s="2" t="s">
        <v>38</v>
      </c>
      <c r="W406" s="2" t="s">
        <v>38</v>
      </c>
      <c r="X406" s="2" t="s">
        <v>38</v>
      </c>
      <c r="Y406" s="2" t="s">
        <v>38</v>
      </c>
      <c r="Z406" s="2" t="s">
        <v>38</v>
      </c>
      <c r="AA406" s="2" t="s">
        <v>38</v>
      </c>
      <c r="AB406" s="2" t="s">
        <v>38</v>
      </c>
      <c r="AC406" s="2" t="s">
        <v>38</v>
      </c>
      <c r="AD406" s="2" t="s">
        <v>38</v>
      </c>
      <c r="AE406" s="2" t="s">
        <v>38</v>
      </c>
    </row>
    <row r="407" spans="1:31" ht="409.5">
      <c r="A407" s="2">
        <v>2715130</v>
      </c>
      <c r="B407" s="2">
        <f>HYPERLINK("https://platform.v2.vetology.net/cases/2715130/screening-report/18?type=pdf&amp;v=v6&amp;scorecard=1&amp;secret_key=BX%25IJ%24%2F65ieZ%29f6", 2715130)</f>
        <v>2715130</v>
      </c>
      <c r="C407" s="2">
        <f>HYPERLINK("https://platform.v2.vetology.net/report/v/final/"&amp;2715130, 2715130)</f>
        <v>2715130</v>
      </c>
      <c r="D407" s="2" t="s">
        <v>1391</v>
      </c>
      <c r="E407" s="2" t="s">
        <v>1392</v>
      </c>
      <c r="F407" s="2" t="s">
        <v>1393</v>
      </c>
      <c r="G407" s="2" t="s">
        <v>58</v>
      </c>
      <c r="H407" s="2" t="s">
        <v>136</v>
      </c>
      <c r="I407" s="2" t="s">
        <v>137</v>
      </c>
      <c r="J407" s="2" t="s">
        <v>66</v>
      </c>
      <c r="K407" s="2" t="s">
        <v>38</v>
      </c>
      <c r="L407" s="2" t="s">
        <v>39</v>
      </c>
      <c r="M407" s="2" t="s">
        <v>38</v>
      </c>
      <c r="N407" s="2" t="s">
        <v>38</v>
      </c>
      <c r="O407" s="2" t="s">
        <v>38</v>
      </c>
      <c r="P407" s="2" t="s">
        <v>38</v>
      </c>
      <c r="Q407" s="2" t="s">
        <v>38</v>
      </c>
      <c r="R407" s="2" t="s">
        <v>38</v>
      </c>
      <c r="S407" s="2" t="s">
        <v>38</v>
      </c>
      <c r="T407" s="2" t="s">
        <v>38</v>
      </c>
      <c r="U407" s="2" t="s">
        <v>39</v>
      </c>
      <c r="V407" s="2" t="s">
        <v>38</v>
      </c>
      <c r="W407" s="2" t="s">
        <v>38</v>
      </c>
      <c r="X407" s="2" t="s">
        <v>38</v>
      </c>
      <c r="Y407" s="2" t="s">
        <v>38</v>
      </c>
      <c r="Z407" s="2" t="s">
        <v>38</v>
      </c>
      <c r="AA407" s="2" t="s">
        <v>38</v>
      </c>
      <c r="AB407" s="2" t="s">
        <v>39</v>
      </c>
      <c r="AC407" s="2" t="s">
        <v>39</v>
      </c>
      <c r="AD407" s="2" t="s">
        <v>38</v>
      </c>
      <c r="AE407" s="2" t="s">
        <v>39</v>
      </c>
    </row>
    <row r="408" spans="1:31" ht="409.5">
      <c r="A408" s="2">
        <v>2715114</v>
      </c>
      <c r="B408" s="2">
        <f>HYPERLINK("https://platform.v2.vetology.net/cases/2715114/screening-report/18?type=pdf&amp;v=v6&amp;scorecard=1&amp;secret_key=BX%25IJ%24%2F65ieZ%29f6", 2715114)</f>
        <v>2715114</v>
      </c>
      <c r="C408" s="2">
        <f>HYPERLINK("https://platform.v2.vetology.net/report/v/final/"&amp;2715114, 2715114)</f>
        <v>2715114</v>
      </c>
      <c r="D408" s="2" t="s">
        <v>1394</v>
      </c>
      <c r="E408" s="2" t="s">
        <v>1395</v>
      </c>
      <c r="F408" s="2" t="s">
        <v>1396</v>
      </c>
      <c r="G408" s="2" t="s">
        <v>58</v>
      </c>
      <c r="H408" s="2" t="s">
        <v>1090</v>
      </c>
      <c r="I408" s="2" t="s">
        <v>1091</v>
      </c>
      <c r="J408" s="2" t="s">
        <v>50</v>
      </c>
      <c r="K408" s="2" t="s">
        <v>39</v>
      </c>
      <c r="L408" s="2" t="s">
        <v>39</v>
      </c>
      <c r="M408" s="2" t="s">
        <v>39</v>
      </c>
      <c r="N408" s="2" t="s">
        <v>38</v>
      </c>
      <c r="O408" s="2" t="s">
        <v>39</v>
      </c>
      <c r="P408" s="2" t="s">
        <v>39</v>
      </c>
      <c r="Q408" s="2" t="s">
        <v>39</v>
      </c>
      <c r="R408" s="2" t="s">
        <v>38</v>
      </c>
      <c r="S408" s="2" t="s">
        <v>39</v>
      </c>
      <c r="T408" s="2" t="s">
        <v>39</v>
      </c>
      <c r="U408" s="2" t="s">
        <v>39</v>
      </c>
      <c r="V408" s="2" t="s">
        <v>39</v>
      </c>
      <c r="W408" s="2" t="s">
        <v>38</v>
      </c>
      <c r="X408" s="2" t="s">
        <v>39</v>
      </c>
      <c r="Y408" s="2" t="s">
        <v>38</v>
      </c>
      <c r="Z408" s="2" t="s">
        <v>39</v>
      </c>
      <c r="AA408" s="2" t="s">
        <v>39</v>
      </c>
      <c r="AB408" s="2" t="s">
        <v>39</v>
      </c>
      <c r="AC408" s="2" t="s">
        <v>39</v>
      </c>
      <c r="AD408" s="2" t="s">
        <v>38</v>
      </c>
      <c r="AE408" s="2" t="s">
        <v>38</v>
      </c>
    </row>
    <row r="409" spans="1:31" ht="409.5">
      <c r="A409" s="2">
        <v>2715077</v>
      </c>
      <c r="B409" s="2">
        <f>HYPERLINK("https://platform.v2.vetology.net/cases/2715077/screening-report/18?type=pdf&amp;v=v6&amp;scorecard=1&amp;secret_key=BX%25IJ%24%2F65ieZ%29f6", 2715077)</f>
        <v>2715077</v>
      </c>
      <c r="C409" s="2">
        <f>HYPERLINK("https://platform.v2.vetology.net/report/v/final/"&amp;2715077, 2715077)</f>
        <v>2715077</v>
      </c>
      <c r="D409" s="2" t="s">
        <v>1397</v>
      </c>
      <c r="E409" s="2" t="s">
        <v>1398</v>
      </c>
      <c r="F409" s="2" t="s">
        <v>1399</v>
      </c>
      <c r="G409" s="2" t="s">
        <v>58</v>
      </c>
      <c r="H409" s="2" t="s">
        <v>1400</v>
      </c>
      <c r="I409" s="2" t="s">
        <v>1401</v>
      </c>
      <c r="J409" s="2" t="s">
        <v>1402</v>
      </c>
      <c r="K409" s="2" t="s">
        <v>39</v>
      </c>
      <c r="L409" s="2" t="s">
        <v>39</v>
      </c>
      <c r="M409" s="2" t="s">
        <v>39</v>
      </c>
      <c r="N409" s="2" t="s">
        <v>39</v>
      </c>
      <c r="O409" s="2" t="s">
        <v>39</v>
      </c>
      <c r="P409" s="2" t="s">
        <v>39</v>
      </c>
      <c r="Q409" s="2" t="s">
        <v>39</v>
      </c>
      <c r="R409" s="2" t="s">
        <v>38</v>
      </c>
      <c r="S409" s="2" t="s">
        <v>39</v>
      </c>
      <c r="T409" s="2" t="s">
        <v>39</v>
      </c>
      <c r="U409" s="2" t="s">
        <v>39</v>
      </c>
      <c r="V409" s="2" t="s">
        <v>38</v>
      </c>
      <c r="W409" s="2" t="s">
        <v>38</v>
      </c>
      <c r="X409" s="2" t="s">
        <v>39</v>
      </c>
      <c r="Y409" s="2" t="s">
        <v>38</v>
      </c>
      <c r="Z409" s="2" t="s">
        <v>39</v>
      </c>
      <c r="AA409" s="2" t="s">
        <v>38</v>
      </c>
      <c r="AB409" s="2" t="s">
        <v>39</v>
      </c>
      <c r="AC409" s="2" t="s">
        <v>39</v>
      </c>
      <c r="AD409" s="2" t="s">
        <v>39</v>
      </c>
      <c r="AE409" s="2" t="s">
        <v>39</v>
      </c>
    </row>
    <row r="410" spans="1:31" ht="409.5">
      <c r="A410" s="2">
        <v>2714966</v>
      </c>
      <c r="B410" s="2">
        <f>HYPERLINK("https://platform.v2.vetology.net/cases/2714966/screening-report/18?type=pdf&amp;v=v6&amp;scorecard=1&amp;secret_key=BX%25IJ%24%2F65ieZ%29f6", 2714966)</f>
        <v>2714966</v>
      </c>
      <c r="C410" s="2">
        <f>HYPERLINK("https://platform.v2.vetology.net/report/v/final/"&amp;2714966, 2714966)</f>
        <v>2714966</v>
      </c>
      <c r="D410" s="2" t="s">
        <v>1403</v>
      </c>
      <c r="E410" s="2" t="s">
        <v>1404</v>
      </c>
      <c r="F410" s="2" t="s">
        <v>1405</v>
      </c>
      <c r="G410" s="2" t="s">
        <v>58</v>
      </c>
      <c r="H410" s="2" t="s">
        <v>1406</v>
      </c>
      <c r="I410" s="2" t="s">
        <v>1407</v>
      </c>
      <c r="J410" s="2" t="s">
        <v>347</v>
      </c>
      <c r="K410" s="2" t="s">
        <v>38</v>
      </c>
      <c r="L410" s="2" t="s">
        <v>38</v>
      </c>
      <c r="M410" s="2" t="s">
        <v>39</v>
      </c>
      <c r="N410" s="2" t="s">
        <v>38</v>
      </c>
      <c r="O410" s="2" t="s">
        <v>39</v>
      </c>
      <c r="P410" s="2" t="s">
        <v>38</v>
      </c>
      <c r="Q410" s="2" t="s">
        <v>38</v>
      </c>
      <c r="R410" s="2" t="s">
        <v>38</v>
      </c>
      <c r="S410" s="2" t="s">
        <v>38</v>
      </c>
      <c r="T410" s="2" t="s">
        <v>39</v>
      </c>
      <c r="U410" s="2" t="s">
        <v>38</v>
      </c>
      <c r="V410" s="2" t="s">
        <v>38</v>
      </c>
      <c r="W410" s="2" t="s">
        <v>38</v>
      </c>
      <c r="X410" s="2" t="s">
        <v>39</v>
      </c>
      <c r="Y410" s="2" t="s">
        <v>38</v>
      </c>
      <c r="Z410" s="2" t="s">
        <v>39</v>
      </c>
      <c r="AA410" s="2" t="s">
        <v>38</v>
      </c>
      <c r="AB410" s="2" t="s">
        <v>39</v>
      </c>
      <c r="AC410" s="2" t="s">
        <v>38</v>
      </c>
      <c r="AD410" s="2" t="s">
        <v>38</v>
      </c>
      <c r="AE410" s="2" t="s">
        <v>39</v>
      </c>
    </row>
    <row r="411" spans="1:31" ht="409.5">
      <c r="A411" s="2">
        <v>2714919</v>
      </c>
      <c r="B411" s="2">
        <f>HYPERLINK("https://platform.v2.vetology.net/cases/2714919/screening-report/18?type=pdf&amp;v=v6&amp;scorecard=1&amp;secret_key=BX%25IJ%24%2F65ieZ%29f6", 2714919)</f>
        <v>2714919</v>
      </c>
      <c r="C411" s="2">
        <f>HYPERLINK("https://platform.v2.vetology.net/report/v/final/"&amp;2714919, 2714919)</f>
        <v>2714919</v>
      </c>
      <c r="D411" s="2" t="s">
        <v>414</v>
      </c>
      <c r="E411" s="2" t="s">
        <v>415</v>
      </c>
      <c r="F411" s="2" t="s">
        <v>1408</v>
      </c>
      <c r="G411" s="2" t="s">
        <v>135</v>
      </c>
      <c r="H411" s="2" t="s">
        <v>1409</v>
      </c>
      <c r="I411" s="2" t="s">
        <v>158</v>
      </c>
      <c r="J411" s="2" t="s">
        <v>50</v>
      </c>
      <c r="K411" s="2" t="s">
        <v>38</v>
      </c>
      <c r="L411" s="2" t="s">
        <v>39</v>
      </c>
      <c r="M411" s="2" t="s">
        <v>38</v>
      </c>
      <c r="N411" s="2" t="s">
        <v>39</v>
      </c>
      <c r="O411" s="2" t="s">
        <v>38</v>
      </c>
      <c r="P411" s="2" t="s">
        <v>39</v>
      </c>
      <c r="Q411" s="2" t="s">
        <v>39</v>
      </c>
      <c r="R411" s="2" t="s">
        <v>38</v>
      </c>
      <c r="S411" s="2" t="s">
        <v>39</v>
      </c>
      <c r="T411" s="2" t="s">
        <v>39</v>
      </c>
      <c r="U411" s="2" t="s">
        <v>39</v>
      </c>
      <c r="V411" s="2" t="s">
        <v>39</v>
      </c>
      <c r="W411" s="2" t="s">
        <v>38</v>
      </c>
      <c r="X411" s="2" t="s">
        <v>39</v>
      </c>
      <c r="Y411" s="2" t="s">
        <v>38</v>
      </c>
      <c r="Z411" s="2" t="s">
        <v>39</v>
      </c>
      <c r="AA411" s="2" t="s">
        <v>38</v>
      </c>
      <c r="AB411" s="2" t="s">
        <v>39</v>
      </c>
      <c r="AC411" s="2" t="s">
        <v>38</v>
      </c>
      <c r="AD411" s="2" t="s">
        <v>38</v>
      </c>
      <c r="AE411" s="2" t="s">
        <v>38</v>
      </c>
    </row>
    <row r="412" spans="1:31" ht="409.5">
      <c r="A412" s="2">
        <v>2714426</v>
      </c>
      <c r="B412" s="2">
        <f>HYPERLINK("https://platform.v2.vetology.net/cases/2714426/screening-report/18?type=pdf&amp;v=v6&amp;scorecard=1&amp;secret_key=BX%25IJ%24%2F65ieZ%29f6", 2714426)</f>
        <v>2714426</v>
      </c>
      <c r="C412" s="2">
        <f>HYPERLINK("https://platform.v2.vetology.net/report/v/final/"&amp;2714426, 2714426)</f>
        <v>2714426</v>
      </c>
      <c r="D412" s="2" t="s">
        <v>1410</v>
      </c>
      <c r="E412" s="2" t="s">
        <v>1411</v>
      </c>
      <c r="F412" s="2" t="s">
        <v>1412</v>
      </c>
      <c r="G412" s="2" t="s">
        <v>93</v>
      </c>
      <c r="H412" s="2" t="s">
        <v>244</v>
      </c>
      <c r="I412" s="2" t="s">
        <v>245</v>
      </c>
      <c r="J412" s="2" t="s">
        <v>246</v>
      </c>
      <c r="K412" s="2" t="s">
        <v>38</v>
      </c>
      <c r="L412" s="2" t="s">
        <v>39</v>
      </c>
      <c r="M412" s="2" t="s">
        <v>39</v>
      </c>
      <c r="N412" s="2" t="s">
        <v>39</v>
      </c>
      <c r="O412" s="2" t="s">
        <v>38</v>
      </c>
      <c r="P412" s="2" t="s">
        <v>39</v>
      </c>
      <c r="Q412" s="2" t="s">
        <v>39</v>
      </c>
      <c r="R412" s="2" t="s">
        <v>38</v>
      </c>
      <c r="S412" s="2" t="s">
        <v>38</v>
      </c>
      <c r="T412" s="2" t="s">
        <v>38</v>
      </c>
      <c r="U412" s="2" t="s">
        <v>38</v>
      </c>
      <c r="V412" s="2" t="s">
        <v>38</v>
      </c>
      <c r="W412" s="2" t="s">
        <v>38</v>
      </c>
      <c r="X412" s="2" t="s">
        <v>39</v>
      </c>
      <c r="Y412" s="2" t="s">
        <v>38</v>
      </c>
      <c r="Z412" s="2" t="s">
        <v>38</v>
      </c>
      <c r="AA412" s="2" t="s">
        <v>38</v>
      </c>
      <c r="AB412" s="2" t="s">
        <v>39</v>
      </c>
      <c r="AC412" s="2" t="s">
        <v>39</v>
      </c>
      <c r="AD412" s="2" t="s">
        <v>38</v>
      </c>
      <c r="AE412" s="2" t="s">
        <v>38</v>
      </c>
    </row>
    <row r="413" spans="1:31" ht="409.5">
      <c r="A413" s="2">
        <v>2714374</v>
      </c>
      <c r="B413" s="2">
        <f>HYPERLINK("https://platform.v2.vetology.net/cases/2714374/screening-report/18?type=pdf&amp;v=v6&amp;scorecard=1&amp;secret_key=BX%25IJ%24%2F65ieZ%29f6", 2714374)</f>
        <v>2714374</v>
      </c>
      <c r="C413" s="2">
        <f>HYPERLINK("https://platform.v2.vetology.net/report/v/final/"&amp;2714374, 2714374)</f>
        <v>2714374</v>
      </c>
      <c r="D413" s="2" t="s">
        <v>1413</v>
      </c>
      <c r="E413" s="2" t="s">
        <v>1414</v>
      </c>
      <c r="F413" s="2" t="s">
        <v>1415</v>
      </c>
      <c r="G413" s="2" t="s">
        <v>150</v>
      </c>
      <c r="H413" s="2" t="s">
        <v>1416</v>
      </c>
      <c r="I413" s="2" t="s">
        <v>284</v>
      </c>
      <c r="J413" s="2" t="s">
        <v>285</v>
      </c>
      <c r="K413" s="2" t="s">
        <v>38</v>
      </c>
      <c r="L413" s="2" t="s">
        <v>39</v>
      </c>
      <c r="M413" s="2" t="s">
        <v>39</v>
      </c>
      <c r="N413" s="2" t="s">
        <v>38</v>
      </c>
      <c r="O413" s="2" t="s">
        <v>38</v>
      </c>
      <c r="P413" s="2" t="s">
        <v>38</v>
      </c>
      <c r="Q413" s="2" t="s">
        <v>38</v>
      </c>
      <c r="R413" s="2" t="s">
        <v>38</v>
      </c>
      <c r="S413" s="2" t="s">
        <v>38</v>
      </c>
      <c r="T413" s="2" t="s">
        <v>38</v>
      </c>
      <c r="U413" s="2" t="s">
        <v>38</v>
      </c>
      <c r="V413" s="2" t="s">
        <v>38</v>
      </c>
      <c r="W413" s="2" t="s">
        <v>38</v>
      </c>
      <c r="X413" s="2" t="s">
        <v>38</v>
      </c>
      <c r="Y413" s="2" t="s">
        <v>38</v>
      </c>
      <c r="Z413" s="2" t="s">
        <v>38</v>
      </c>
      <c r="AA413" s="2" t="s">
        <v>38</v>
      </c>
      <c r="AB413" s="2" t="s">
        <v>38</v>
      </c>
      <c r="AC413" s="2" t="s">
        <v>38</v>
      </c>
      <c r="AD413" s="2" t="s">
        <v>38</v>
      </c>
      <c r="AE413" s="2" t="s">
        <v>38</v>
      </c>
    </row>
    <row r="414" spans="1:31" ht="409.5">
      <c r="A414" s="2">
        <v>2714227</v>
      </c>
      <c r="B414" s="2">
        <f>HYPERLINK("https://platform.v2.vetology.net/cases/2714227/screening-report/18?type=pdf&amp;v=v6&amp;scorecard=1&amp;secret_key=BX%25IJ%24%2F65ieZ%29f6", 2714227)</f>
        <v>2714227</v>
      </c>
      <c r="C414" s="2">
        <f>HYPERLINK("https://platform.v2.vetology.net/report/v/final/"&amp;2714227, 2714227)</f>
        <v>2714227</v>
      </c>
      <c r="D414" s="2" t="s">
        <v>1417</v>
      </c>
      <c r="E414" s="2" t="s">
        <v>1418</v>
      </c>
      <c r="F414" s="2"/>
      <c r="G414" s="2" t="s">
        <v>150</v>
      </c>
      <c r="H414" s="2" t="s">
        <v>1419</v>
      </c>
      <c r="I414" s="2" t="s">
        <v>435</v>
      </c>
      <c r="J414" s="2" t="s">
        <v>436</v>
      </c>
      <c r="K414" s="2" t="s">
        <v>38</v>
      </c>
      <c r="L414" s="2" t="s">
        <v>39</v>
      </c>
      <c r="M414" s="2" t="s">
        <v>39</v>
      </c>
      <c r="N414" s="2" t="s">
        <v>39</v>
      </c>
      <c r="O414" s="2" t="s">
        <v>38</v>
      </c>
      <c r="P414" s="2" t="s">
        <v>39</v>
      </c>
      <c r="Q414" s="2" t="s">
        <v>38</v>
      </c>
      <c r="R414" s="2" t="s">
        <v>38</v>
      </c>
      <c r="S414" s="2" t="s">
        <v>39</v>
      </c>
      <c r="T414" s="2" t="s">
        <v>38</v>
      </c>
      <c r="U414" s="2" t="s">
        <v>38</v>
      </c>
      <c r="V414" s="2" t="s">
        <v>39</v>
      </c>
      <c r="W414" s="2" t="s">
        <v>38</v>
      </c>
      <c r="X414" s="2" t="s">
        <v>39</v>
      </c>
      <c r="Y414" s="2" t="s">
        <v>38</v>
      </c>
      <c r="Z414" s="2" t="s">
        <v>39</v>
      </c>
      <c r="AA414" s="2" t="s">
        <v>38</v>
      </c>
      <c r="AB414" s="2" t="s">
        <v>39</v>
      </c>
      <c r="AC414" s="2" t="s">
        <v>39</v>
      </c>
      <c r="AD414" s="2" t="s">
        <v>38</v>
      </c>
      <c r="AE414" s="2" t="s">
        <v>39</v>
      </c>
    </row>
    <row r="415" spans="1:31" ht="409.5">
      <c r="A415" s="2">
        <v>2714219</v>
      </c>
      <c r="B415" s="2">
        <f>HYPERLINK("https://platform.v2.vetology.net/cases/2714219/screening-report/18?type=pdf&amp;v=v6&amp;scorecard=1&amp;secret_key=BX%25IJ%24%2F65ieZ%29f6", 2714219)</f>
        <v>2714219</v>
      </c>
      <c r="C415" s="2">
        <f>HYPERLINK("https://platform.v2.vetology.net/report/v/final/"&amp;2714219, 2714219)</f>
        <v>2714219</v>
      </c>
      <c r="D415" s="2" t="s">
        <v>1420</v>
      </c>
      <c r="E415" s="2" t="s">
        <v>1421</v>
      </c>
      <c r="F415" s="2" t="s">
        <v>81</v>
      </c>
      <c r="G415" s="2" t="s">
        <v>268</v>
      </c>
      <c r="H415" s="2" t="s">
        <v>1265</v>
      </c>
      <c r="I415" s="2" t="s">
        <v>1245</v>
      </c>
      <c r="J415" s="2" t="s">
        <v>66</v>
      </c>
      <c r="K415" s="2" t="s">
        <v>38</v>
      </c>
      <c r="L415" s="2" t="s">
        <v>38</v>
      </c>
      <c r="M415" s="2" t="s">
        <v>39</v>
      </c>
      <c r="N415" s="2" t="s">
        <v>38</v>
      </c>
      <c r="O415" s="2" t="s">
        <v>38</v>
      </c>
      <c r="P415" s="2" t="s">
        <v>39</v>
      </c>
      <c r="Q415" s="2" t="s">
        <v>38</v>
      </c>
      <c r="R415" s="2" t="s">
        <v>38</v>
      </c>
      <c r="S415" s="2" t="s">
        <v>38</v>
      </c>
      <c r="T415" s="2" t="s">
        <v>38</v>
      </c>
      <c r="U415" s="2" t="s">
        <v>38</v>
      </c>
      <c r="V415" s="2" t="s">
        <v>38</v>
      </c>
      <c r="W415" s="2" t="s">
        <v>38</v>
      </c>
      <c r="X415" s="2" t="s">
        <v>38</v>
      </c>
      <c r="Y415" s="2" t="s">
        <v>38</v>
      </c>
      <c r="Z415" s="2" t="s">
        <v>38</v>
      </c>
      <c r="AA415" s="2" t="s">
        <v>38</v>
      </c>
      <c r="AB415" s="2" t="s">
        <v>39</v>
      </c>
      <c r="AC415" s="2" t="s">
        <v>39</v>
      </c>
      <c r="AD415" s="2" t="s">
        <v>38</v>
      </c>
      <c r="AE415" s="2" t="s">
        <v>39</v>
      </c>
    </row>
    <row r="416" spans="1:31" ht="409.5">
      <c r="A416" s="2">
        <v>2713991</v>
      </c>
      <c r="B416" s="2">
        <f>HYPERLINK("https://platform.v2.vetology.net/cases/2713991/screening-report/18?type=pdf&amp;v=v6&amp;scorecard=1&amp;secret_key=BX%25IJ%24%2F65ieZ%29f6", 2713991)</f>
        <v>2713991</v>
      </c>
      <c r="C416" s="2">
        <f>HYPERLINK("https://platform.v2.vetology.net/report/v/final/"&amp;2713991, 2713991)</f>
        <v>2713991</v>
      </c>
      <c r="D416" s="2" t="s">
        <v>1422</v>
      </c>
      <c r="E416" s="2" t="s">
        <v>1423</v>
      </c>
      <c r="F416" s="2" t="s">
        <v>81</v>
      </c>
      <c r="G416" s="2" t="s">
        <v>268</v>
      </c>
      <c r="H416" s="2" t="s">
        <v>54</v>
      </c>
      <c r="I416" s="2" t="s">
        <v>44</v>
      </c>
      <c r="J416" s="2"/>
      <c r="K416" s="2" t="s">
        <v>38</v>
      </c>
      <c r="L416" s="2" t="s">
        <v>39</v>
      </c>
      <c r="M416" s="2" t="s">
        <v>38</v>
      </c>
      <c r="N416" s="2" t="s">
        <v>38</v>
      </c>
      <c r="O416" s="2" t="s">
        <v>38</v>
      </c>
      <c r="P416" s="2" t="s">
        <v>38</v>
      </c>
      <c r="Q416" s="2" t="s">
        <v>38</v>
      </c>
      <c r="R416" s="2" t="s">
        <v>38</v>
      </c>
      <c r="S416" s="2" t="s">
        <v>38</v>
      </c>
      <c r="T416" s="2" t="s">
        <v>38</v>
      </c>
      <c r="U416" s="2" t="s">
        <v>38</v>
      </c>
      <c r="V416" s="2" t="s">
        <v>38</v>
      </c>
      <c r="W416" s="2" t="s">
        <v>38</v>
      </c>
      <c r="X416" s="2" t="s">
        <v>38</v>
      </c>
      <c r="Y416" s="2" t="s">
        <v>38</v>
      </c>
      <c r="Z416" s="2" t="s">
        <v>38</v>
      </c>
      <c r="AA416" s="2" t="s">
        <v>38</v>
      </c>
      <c r="AB416" s="2" t="s">
        <v>38</v>
      </c>
      <c r="AC416" s="2" t="s">
        <v>38</v>
      </c>
      <c r="AD416" s="2" t="s">
        <v>38</v>
      </c>
      <c r="AE416" s="2" t="s">
        <v>38</v>
      </c>
    </row>
    <row r="417" spans="1:31" ht="409.5">
      <c r="A417" s="2">
        <v>2713882</v>
      </c>
      <c r="B417" s="2">
        <f>HYPERLINK("https://platform.v2.vetology.net/cases/2713882/screening-report/18?type=pdf&amp;v=v6&amp;scorecard=1&amp;secret_key=BX%25IJ%24%2F65ieZ%29f6", 2713882)</f>
        <v>2713882</v>
      </c>
      <c r="C417" s="2">
        <f>HYPERLINK("https://platform.v2.vetology.net/report/v/final/"&amp;2713882, 2713882)</f>
        <v>2713882</v>
      </c>
      <c r="D417" s="2" t="s">
        <v>1424</v>
      </c>
      <c r="E417" s="2" t="s">
        <v>1425</v>
      </c>
      <c r="F417" s="2" t="s">
        <v>1426</v>
      </c>
      <c r="G417" s="2" t="s">
        <v>58</v>
      </c>
      <c r="H417" s="2" t="s">
        <v>822</v>
      </c>
      <c r="I417" s="2" t="s">
        <v>36</v>
      </c>
      <c r="J417" s="2" t="s">
        <v>37</v>
      </c>
      <c r="K417" s="2" t="s">
        <v>38</v>
      </c>
      <c r="L417" s="2" t="s">
        <v>39</v>
      </c>
      <c r="M417" s="2" t="s">
        <v>38</v>
      </c>
      <c r="N417" s="2" t="s">
        <v>38</v>
      </c>
      <c r="O417" s="2" t="s">
        <v>38</v>
      </c>
      <c r="P417" s="2" t="s">
        <v>38</v>
      </c>
      <c r="Q417" s="2" t="s">
        <v>38</v>
      </c>
      <c r="R417" s="2" t="s">
        <v>38</v>
      </c>
      <c r="S417" s="2" t="s">
        <v>38</v>
      </c>
      <c r="T417" s="2" t="s">
        <v>39</v>
      </c>
      <c r="U417" s="2" t="s">
        <v>38</v>
      </c>
      <c r="V417" s="2" t="s">
        <v>38</v>
      </c>
      <c r="W417" s="2" t="s">
        <v>38</v>
      </c>
      <c r="X417" s="2" t="s">
        <v>39</v>
      </c>
      <c r="Y417" s="2" t="s">
        <v>38</v>
      </c>
      <c r="Z417" s="2" t="s">
        <v>38</v>
      </c>
      <c r="AA417" s="2" t="s">
        <v>38</v>
      </c>
      <c r="AB417" s="2" t="s">
        <v>38</v>
      </c>
      <c r="AC417" s="2" t="s">
        <v>38</v>
      </c>
      <c r="AD417" s="2" t="s">
        <v>38</v>
      </c>
      <c r="AE417" s="2" t="s">
        <v>38</v>
      </c>
    </row>
    <row r="418" spans="1:31" ht="409.5">
      <c r="A418" s="2">
        <v>2713753</v>
      </c>
      <c r="B418" s="2">
        <f>HYPERLINK("https://platform.v2.vetology.net/cases/2713753/screening-report/18?type=pdf&amp;v=v6&amp;scorecard=1&amp;secret_key=BX%25IJ%24%2F65ieZ%29f6", 2713753)</f>
        <v>2713753</v>
      </c>
      <c r="C418" s="2">
        <f>HYPERLINK("https://platform.v2.vetology.net/report/v/final/"&amp;2713753, 2713753)</f>
        <v>2713753</v>
      </c>
      <c r="D418" s="2" t="s">
        <v>1427</v>
      </c>
      <c r="E418" s="2" t="s">
        <v>1428</v>
      </c>
      <c r="F418" s="2" t="s">
        <v>1429</v>
      </c>
      <c r="G418" s="2" t="s">
        <v>63</v>
      </c>
      <c r="H418" s="2" t="s">
        <v>129</v>
      </c>
      <c r="I418" s="2" t="s">
        <v>44</v>
      </c>
      <c r="J418" s="2" t="s">
        <v>106</v>
      </c>
      <c r="K418" s="2" t="s">
        <v>38</v>
      </c>
      <c r="L418" s="2" t="s">
        <v>39</v>
      </c>
      <c r="M418" s="2" t="s">
        <v>38</v>
      </c>
      <c r="N418" s="2" t="s">
        <v>38</v>
      </c>
      <c r="O418" s="2" t="s">
        <v>38</v>
      </c>
      <c r="P418" s="2" t="s">
        <v>39</v>
      </c>
      <c r="Q418" s="2" t="s">
        <v>38</v>
      </c>
      <c r="R418" s="2" t="s">
        <v>38</v>
      </c>
      <c r="S418" s="2" t="s">
        <v>38</v>
      </c>
      <c r="T418" s="2" t="s">
        <v>39</v>
      </c>
      <c r="U418" s="2" t="s">
        <v>38</v>
      </c>
      <c r="V418" s="2" t="s">
        <v>39</v>
      </c>
      <c r="W418" s="2" t="s">
        <v>38</v>
      </c>
      <c r="X418" s="2" t="s">
        <v>39</v>
      </c>
      <c r="Y418" s="2" t="s">
        <v>38</v>
      </c>
      <c r="Z418" s="2" t="s">
        <v>39</v>
      </c>
      <c r="AA418" s="2" t="s">
        <v>38</v>
      </c>
      <c r="AB418" s="2" t="s">
        <v>38</v>
      </c>
      <c r="AC418" s="2" t="s">
        <v>38</v>
      </c>
      <c r="AD418" s="2" t="s">
        <v>38</v>
      </c>
      <c r="AE418" s="2" t="s">
        <v>38</v>
      </c>
    </row>
    <row r="419" spans="1:31" ht="409.5">
      <c r="A419" s="2">
        <v>2713727</v>
      </c>
      <c r="B419" s="2">
        <f>HYPERLINK("https://platform.v2.vetology.net/cases/2713727/screening-report/18?type=pdf&amp;v=v6&amp;scorecard=1&amp;secret_key=BX%25IJ%24%2F65ieZ%29f6", 2713727)</f>
        <v>2713727</v>
      </c>
      <c r="C419" s="2">
        <f>HYPERLINK("https://platform.v2.vetology.net/report/v/final/"&amp;2713727, 2713727)</f>
        <v>2713727</v>
      </c>
      <c r="D419" s="2" t="s">
        <v>1430</v>
      </c>
      <c r="E419" s="2" t="s">
        <v>1431</v>
      </c>
      <c r="F419" s="2" t="s">
        <v>1432</v>
      </c>
      <c r="G419" s="2" t="s">
        <v>58</v>
      </c>
      <c r="H419" s="2" t="s">
        <v>54</v>
      </c>
      <c r="I419" s="2" t="s">
        <v>44</v>
      </c>
      <c r="J419" s="2" t="s">
        <v>106</v>
      </c>
      <c r="K419" s="2" t="s">
        <v>38</v>
      </c>
      <c r="L419" s="2" t="s">
        <v>39</v>
      </c>
      <c r="M419" s="2" t="s">
        <v>38</v>
      </c>
      <c r="N419" s="2" t="s">
        <v>38</v>
      </c>
      <c r="O419" s="2" t="s">
        <v>38</v>
      </c>
      <c r="P419" s="2" t="s">
        <v>39</v>
      </c>
      <c r="Q419" s="2" t="s">
        <v>38</v>
      </c>
      <c r="R419" s="2" t="s">
        <v>38</v>
      </c>
      <c r="S419" s="2" t="s">
        <v>38</v>
      </c>
      <c r="T419" s="2" t="s">
        <v>38</v>
      </c>
      <c r="U419" s="2" t="s">
        <v>38</v>
      </c>
      <c r="V419" s="2" t="s">
        <v>38</v>
      </c>
      <c r="W419" s="2" t="s">
        <v>38</v>
      </c>
      <c r="X419" s="2" t="s">
        <v>38</v>
      </c>
      <c r="Y419" s="2" t="s">
        <v>38</v>
      </c>
      <c r="Z419" s="2" t="s">
        <v>38</v>
      </c>
      <c r="AA419" s="2" t="s">
        <v>38</v>
      </c>
      <c r="AB419" s="2" t="s">
        <v>38</v>
      </c>
      <c r="AC419" s="2" t="s">
        <v>38</v>
      </c>
      <c r="AD419" s="2" t="s">
        <v>38</v>
      </c>
      <c r="AE419" s="2" t="s">
        <v>38</v>
      </c>
    </row>
    <row r="420" spans="1:31" ht="409.5">
      <c r="A420" s="2">
        <v>2713694</v>
      </c>
      <c r="B420" s="2">
        <f>HYPERLINK("https://platform.v2.vetology.net/cases/2713694/screening-report/18?type=pdf&amp;v=v6&amp;scorecard=1&amp;secret_key=BX%25IJ%24%2F65ieZ%29f6", 2713694)</f>
        <v>2713694</v>
      </c>
      <c r="C420" s="2">
        <f>HYPERLINK("https://platform.v2.vetology.net/report/v/final/"&amp;2713694, 2713694)</f>
        <v>2713694</v>
      </c>
      <c r="D420" s="2" t="s">
        <v>1433</v>
      </c>
      <c r="E420" s="2" t="s">
        <v>1434</v>
      </c>
      <c r="F420" s="2"/>
      <c r="G420" s="2" t="s">
        <v>268</v>
      </c>
      <c r="H420" s="2" t="s">
        <v>129</v>
      </c>
      <c r="I420" s="2" t="s">
        <v>44</v>
      </c>
      <c r="J420" s="2" t="s">
        <v>106</v>
      </c>
      <c r="K420" s="2" t="s">
        <v>38</v>
      </c>
      <c r="L420" s="2" t="s">
        <v>38</v>
      </c>
      <c r="M420" s="2" t="s">
        <v>38</v>
      </c>
      <c r="N420" s="2" t="s">
        <v>38</v>
      </c>
      <c r="O420" s="2" t="s">
        <v>38</v>
      </c>
      <c r="P420" s="2" t="s">
        <v>38</v>
      </c>
      <c r="Q420" s="2" t="s">
        <v>38</v>
      </c>
      <c r="R420" s="2" t="s">
        <v>38</v>
      </c>
      <c r="S420" s="2" t="s">
        <v>38</v>
      </c>
      <c r="T420" s="2" t="s">
        <v>38</v>
      </c>
      <c r="U420" s="2" t="s">
        <v>38</v>
      </c>
      <c r="V420" s="2" t="s">
        <v>38</v>
      </c>
      <c r="W420" s="2" t="s">
        <v>38</v>
      </c>
      <c r="X420" s="2" t="s">
        <v>38</v>
      </c>
      <c r="Y420" s="2" t="s">
        <v>38</v>
      </c>
      <c r="Z420" s="2" t="s">
        <v>38</v>
      </c>
      <c r="AA420" s="2" t="s">
        <v>38</v>
      </c>
      <c r="AB420" s="2" t="s">
        <v>38</v>
      </c>
      <c r="AC420" s="2" t="s">
        <v>38</v>
      </c>
      <c r="AD420" s="2" t="s">
        <v>38</v>
      </c>
      <c r="AE420" s="2" t="s">
        <v>38</v>
      </c>
    </row>
    <row r="421" spans="1:31" ht="409.5">
      <c r="A421" s="2">
        <v>2713318</v>
      </c>
      <c r="B421" s="2">
        <f>HYPERLINK("https://platform.v2.vetology.net/cases/2713318/screening-report/18?type=pdf&amp;v=v6&amp;scorecard=1&amp;secret_key=BX%25IJ%24%2F65ieZ%29f6", 2713318)</f>
        <v>2713318</v>
      </c>
      <c r="C421" s="2">
        <f>HYPERLINK("https://platform.v2.vetology.net/report/v/final/"&amp;2713318, 2713318)</f>
        <v>2713318</v>
      </c>
      <c r="D421" s="2" t="s">
        <v>414</v>
      </c>
      <c r="E421" s="2" t="s">
        <v>1093</v>
      </c>
      <c r="F421" s="2" t="s">
        <v>789</v>
      </c>
      <c r="G421" s="2" t="s">
        <v>135</v>
      </c>
      <c r="H421" s="2" t="s">
        <v>607</v>
      </c>
      <c r="I421" s="2" t="s">
        <v>137</v>
      </c>
      <c r="J421" s="2" t="s">
        <v>66</v>
      </c>
      <c r="K421" s="2" t="s">
        <v>38</v>
      </c>
      <c r="L421" s="2" t="s">
        <v>39</v>
      </c>
      <c r="M421" s="2" t="s">
        <v>38</v>
      </c>
      <c r="N421" s="2" t="s">
        <v>38</v>
      </c>
      <c r="O421" s="2" t="s">
        <v>38</v>
      </c>
      <c r="P421" s="2" t="s">
        <v>39</v>
      </c>
      <c r="Q421" s="2" t="s">
        <v>38</v>
      </c>
      <c r="R421" s="2" t="s">
        <v>38</v>
      </c>
      <c r="S421" s="2" t="s">
        <v>38</v>
      </c>
      <c r="T421" s="2" t="s">
        <v>38</v>
      </c>
      <c r="U421" s="2" t="s">
        <v>38</v>
      </c>
      <c r="V421" s="2" t="s">
        <v>38</v>
      </c>
      <c r="W421" s="2" t="s">
        <v>38</v>
      </c>
      <c r="X421" s="2" t="s">
        <v>38</v>
      </c>
      <c r="Y421" s="2" t="s">
        <v>38</v>
      </c>
      <c r="Z421" s="2" t="s">
        <v>38</v>
      </c>
      <c r="AA421" s="2" t="s">
        <v>38</v>
      </c>
      <c r="AB421" s="2" t="s">
        <v>38</v>
      </c>
      <c r="AC421" s="2" t="s">
        <v>38</v>
      </c>
      <c r="AD421" s="2" t="s">
        <v>38</v>
      </c>
      <c r="AE421" s="2" t="s">
        <v>38</v>
      </c>
    </row>
    <row r="422" spans="1:31" ht="409.5">
      <c r="A422" s="2">
        <v>2713001</v>
      </c>
      <c r="B422" s="2">
        <f>HYPERLINK("https://platform.v2.vetology.net/cases/2713001/screening-report/18?type=pdf&amp;v=v6&amp;scorecard=1&amp;secret_key=BX%25IJ%24%2F65ieZ%29f6", 2713001)</f>
        <v>2713001</v>
      </c>
      <c r="C422" s="2">
        <f>HYPERLINK("https://platform.v2.vetology.net/report/v/final/"&amp;2713001, 2713001)</f>
        <v>2713001</v>
      </c>
      <c r="D422" s="2" t="s">
        <v>1435</v>
      </c>
      <c r="E422" s="2" t="s">
        <v>1436</v>
      </c>
      <c r="F422" s="2"/>
      <c r="G422" s="2" t="s">
        <v>141</v>
      </c>
      <c r="H422" s="2" t="s">
        <v>43</v>
      </c>
      <c r="I422" s="2" t="s">
        <v>44</v>
      </c>
      <c r="J422" s="2"/>
      <c r="K422" s="2" t="s">
        <v>38</v>
      </c>
      <c r="L422" s="2" t="s">
        <v>38</v>
      </c>
      <c r="M422" s="2" t="s">
        <v>39</v>
      </c>
      <c r="N422" s="2" t="s">
        <v>38</v>
      </c>
      <c r="O422" s="2" t="s">
        <v>38</v>
      </c>
      <c r="P422" s="2" t="s">
        <v>38</v>
      </c>
      <c r="Q422" s="2" t="s">
        <v>38</v>
      </c>
      <c r="R422" s="2" t="s">
        <v>38</v>
      </c>
      <c r="S422" s="2" t="s">
        <v>38</v>
      </c>
      <c r="T422" s="2" t="s">
        <v>39</v>
      </c>
      <c r="U422" s="2" t="s">
        <v>38</v>
      </c>
      <c r="V422" s="2" t="s">
        <v>39</v>
      </c>
      <c r="W422" s="2" t="s">
        <v>38</v>
      </c>
      <c r="X422" s="2" t="s">
        <v>39</v>
      </c>
      <c r="Y422" s="2" t="s">
        <v>38</v>
      </c>
      <c r="Z422" s="2" t="s">
        <v>38</v>
      </c>
      <c r="AA422" s="2" t="s">
        <v>38</v>
      </c>
      <c r="AB422" s="2" t="s">
        <v>38</v>
      </c>
      <c r="AC422" s="2" t="s">
        <v>38</v>
      </c>
      <c r="AD422" s="2" t="s">
        <v>38</v>
      </c>
      <c r="AE422" s="2" t="s">
        <v>38</v>
      </c>
    </row>
    <row r="423" spans="1:31" ht="409.5">
      <c r="A423" s="2">
        <v>2712880</v>
      </c>
      <c r="B423" s="2">
        <f>HYPERLINK("https://platform.v2.vetology.net/cases/2712880/screening-report/18?type=pdf&amp;v=v6&amp;scorecard=1&amp;secret_key=BX%25IJ%24%2F65ieZ%29f6", 2712880)</f>
        <v>2712880</v>
      </c>
      <c r="C423" s="2">
        <f>HYPERLINK("https://platform.v2.vetology.net/report/v/final/"&amp;2712880, 2712880)</f>
        <v>2712880</v>
      </c>
      <c r="D423" s="2" t="s">
        <v>1437</v>
      </c>
      <c r="E423" s="2" t="s">
        <v>1438</v>
      </c>
      <c r="F423" s="2" t="s">
        <v>1439</v>
      </c>
      <c r="G423" s="2" t="s">
        <v>58</v>
      </c>
      <c r="H423" s="2" t="s">
        <v>1440</v>
      </c>
      <c r="I423" s="2" t="s">
        <v>190</v>
      </c>
      <c r="J423" s="2" t="s">
        <v>112</v>
      </c>
      <c r="K423" s="2" t="s">
        <v>39</v>
      </c>
      <c r="L423" s="2" t="s">
        <v>39</v>
      </c>
      <c r="M423" s="2" t="s">
        <v>39</v>
      </c>
      <c r="N423" s="2" t="s">
        <v>39</v>
      </c>
      <c r="O423" s="2" t="s">
        <v>39</v>
      </c>
      <c r="P423" s="2" t="s">
        <v>39</v>
      </c>
      <c r="Q423" s="2" t="s">
        <v>39</v>
      </c>
      <c r="R423" s="2" t="s">
        <v>39</v>
      </c>
      <c r="S423" s="2" t="s">
        <v>39</v>
      </c>
      <c r="T423" s="2" t="s">
        <v>39</v>
      </c>
      <c r="U423" s="2" t="s">
        <v>39</v>
      </c>
      <c r="V423" s="2" t="s">
        <v>39</v>
      </c>
      <c r="W423" s="2" t="s">
        <v>39</v>
      </c>
      <c r="X423" s="2" t="s">
        <v>39</v>
      </c>
      <c r="Y423" s="2" t="s">
        <v>39</v>
      </c>
      <c r="Z423" s="2" t="s">
        <v>39</v>
      </c>
      <c r="AA423" s="2" t="s">
        <v>39</v>
      </c>
      <c r="AB423" s="2" t="s">
        <v>39</v>
      </c>
      <c r="AC423" s="2" t="s">
        <v>39</v>
      </c>
      <c r="AD423" s="2" t="s">
        <v>38</v>
      </c>
      <c r="AE423" s="2" t="s">
        <v>39</v>
      </c>
    </row>
    <row r="424" spans="1:31" ht="409.5">
      <c r="A424" s="2">
        <v>2712861</v>
      </c>
      <c r="B424" s="2">
        <f>HYPERLINK("https://platform.v2.vetology.net/cases/2712861/screening-report/18?type=pdf&amp;v=v6&amp;scorecard=1&amp;secret_key=BX%25IJ%24%2F65ieZ%29f6", 2712861)</f>
        <v>2712861</v>
      </c>
      <c r="C424" s="2">
        <f>HYPERLINK("https://platform.v2.vetology.net/report/v/final/"&amp;2712861, 2712861)</f>
        <v>2712861</v>
      </c>
      <c r="D424" s="2" t="s">
        <v>1441</v>
      </c>
      <c r="E424" s="2" t="s">
        <v>148</v>
      </c>
      <c r="F424" s="2" t="s">
        <v>149</v>
      </c>
      <c r="G424" s="2" t="s">
        <v>150</v>
      </c>
      <c r="H424" s="2" t="s">
        <v>733</v>
      </c>
      <c r="I424" s="2" t="s">
        <v>158</v>
      </c>
      <c r="J424" s="2" t="s">
        <v>50</v>
      </c>
      <c r="K424" s="2" t="s">
        <v>38</v>
      </c>
      <c r="L424" s="2" t="s">
        <v>39</v>
      </c>
      <c r="M424" s="2" t="s">
        <v>38</v>
      </c>
      <c r="N424" s="2" t="s">
        <v>38</v>
      </c>
      <c r="O424" s="2" t="s">
        <v>38</v>
      </c>
      <c r="P424" s="2" t="s">
        <v>38</v>
      </c>
      <c r="Q424" s="2" t="s">
        <v>38</v>
      </c>
      <c r="R424" s="2" t="s">
        <v>38</v>
      </c>
      <c r="S424" s="2" t="s">
        <v>38</v>
      </c>
      <c r="T424" s="2" t="s">
        <v>38</v>
      </c>
      <c r="U424" s="2" t="s">
        <v>38</v>
      </c>
      <c r="V424" s="2" t="s">
        <v>38</v>
      </c>
      <c r="W424" s="2" t="s">
        <v>38</v>
      </c>
      <c r="X424" s="2" t="s">
        <v>39</v>
      </c>
      <c r="Y424" s="2" t="s">
        <v>38</v>
      </c>
      <c r="Z424" s="2" t="s">
        <v>38</v>
      </c>
      <c r="AA424" s="2" t="s">
        <v>38</v>
      </c>
      <c r="AB424" s="2" t="s">
        <v>38</v>
      </c>
      <c r="AC424" s="2" t="s">
        <v>38</v>
      </c>
      <c r="AD424" s="2" t="s">
        <v>38</v>
      </c>
      <c r="AE424" s="2" t="s">
        <v>38</v>
      </c>
    </row>
    <row r="425" spans="1:31" ht="409.5">
      <c r="A425" s="2">
        <v>2712736</v>
      </c>
      <c r="B425" s="2">
        <f>HYPERLINK("https://platform.v2.vetology.net/cases/2712736/screening-report/18?type=pdf&amp;v=v6&amp;scorecard=1&amp;secret_key=BX%25IJ%24%2F65ieZ%29f6", 2712736)</f>
        <v>2712736</v>
      </c>
      <c r="C425" s="2">
        <f>HYPERLINK("https://platform.v2.vetology.net/report/v/final/"&amp;2712736, 2712736)</f>
        <v>2712736</v>
      </c>
      <c r="D425" s="2" t="s">
        <v>1442</v>
      </c>
      <c r="E425" s="2" t="s">
        <v>1443</v>
      </c>
      <c r="F425" s="2" t="s">
        <v>1444</v>
      </c>
      <c r="G425" s="2" t="s">
        <v>464</v>
      </c>
      <c r="H425" s="2" t="s">
        <v>1445</v>
      </c>
      <c r="I425" s="2" t="s">
        <v>460</v>
      </c>
      <c r="J425" s="2" t="s">
        <v>66</v>
      </c>
      <c r="K425" s="2" t="s">
        <v>38</v>
      </c>
      <c r="L425" s="2" t="s">
        <v>39</v>
      </c>
      <c r="M425" s="2" t="s">
        <v>39</v>
      </c>
      <c r="N425" s="2" t="s">
        <v>38</v>
      </c>
      <c r="O425" s="2" t="s">
        <v>38</v>
      </c>
      <c r="P425" s="2" t="s">
        <v>39</v>
      </c>
      <c r="Q425" s="2" t="s">
        <v>38</v>
      </c>
      <c r="R425" s="2" t="s">
        <v>38</v>
      </c>
      <c r="S425" s="2" t="s">
        <v>39</v>
      </c>
      <c r="T425" s="2" t="s">
        <v>39</v>
      </c>
      <c r="U425" s="2" t="s">
        <v>38</v>
      </c>
      <c r="V425" s="2" t="s">
        <v>39</v>
      </c>
      <c r="W425" s="2" t="s">
        <v>38</v>
      </c>
      <c r="X425" s="2" t="s">
        <v>39</v>
      </c>
      <c r="Y425" s="2" t="s">
        <v>38</v>
      </c>
      <c r="Z425" s="2" t="s">
        <v>39</v>
      </c>
      <c r="AA425" s="2" t="s">
        <v>38</v>
      </c>
      <c r="AB425" s="2" t="s">
        <v>39</v>
      </c>
      <c r="AC425" s="2" t="s">
        <v>39</v>
      </c>
      <c r="AD425" s="2" t="s">
        <v>38</v>
      </c>
      <c r="AE425" s="2" t="s">
        <v>39</v>
      </c>
    </row>
    <row r="426" spans="1:31" ht="409.5">
      <c r="A426" s="2">
        <v>2712618</v>
      </c>
      <c r="B426" s="2">
        <f>HYPERLINK("https://platform.v2.vetology.net/cases/2712618/screening-report/18?type=pdf&amp;v=v6&amp;scorecard=1&amp;secret_key=BX%25IJ%24%2F65ieZ%29f6", 2712618)</f>
        <v>2712618</v>
      </c>
      <c r="C426" s="2">
        <f>HYPERLINK("https://platform.v2.vetology.net/report/v/final/"&amp;2712618, 2712618)</f>
        <v>2712618</v>
      </c>
      <c r="D426" s="2" t="s">
        <v>1446</v>
      </c>
      <c r="E426" s="2" t="s">
        <v>1447</v>
      </c>
      <c r="F426" s="2" t="s">
        <v>1448</v>
      </c>
      <c r="G426" s="2" t="s">
        <v>135</v>
      </c>
      <c r="H426" s="2" t="s">
        <v>1449</v>
      </c>
      <c r="I426" s="2" t="s">
        <v>284</v>
      </c>
      <c r="J426" s="2" t="s">
        <v>285</v>
      </c>
      <c r="K426" s="2" t="s">
        <v>38</v>
      </c>
      <c r="L426" s="2" t="s">
        <v>39</v>
      </c>
      <c r="M426" s="2" t="s">
        <v>39</v>
      </c>
      <c r="N426" s="2" t="s">
        <v>38</v>
      </c>
      <c r="O426" s="2" t="s">
        <v>38</v>
      </c>
      <c r="P426" s="2" t="s">
        <v>38</v>
      </c>
      <c r="Q426" s="2" t="s">
        <v>38</v>
      </c>
      <c r="R426" s="2" t="s">
        <v>38</v>
      </c>
      <c r="S426" s="2" t="s">
        <v>38</v>
      </c>
      <c r="T426" s="2" t="s">
        <v>38</v>
      </c>
      <c r="U426" s="2" t="s">
        <v>38</v>
      </c>
      <c r="V426" s="2" t="s">
        <v>38</v>
      </c>
      <c r="W426" s="2" t="s">
        <v>38</v>
      </c>
      <c r="X426" s="2" t="s">
        <v>38</v>
      </c>
      <c r="Y426" s="2" t="s">
        <v>38</v>
      </c>
      <c r="Z426" s="2" t="s">
        <v>38</v>
      </c>
      <c r="AA426" s="2" t="s">
        <v>38</v>
      </c>
      <c r="AB426" s="2" t="s">
        <v>38</v>
      </c>
      <c r="AC426" s="2" t="s">
        <v>38</v>
      </c>
      <c r="AD426" s="2" t="s">
        <v>38</v>
      </c>
      <c r="AE426" s="2" t="s">
        <v>38</v>
      </c>
    </row>
    <row r="427" spans="1:31" ht="409.5">
      <c r="A427" s="2">
        <v>2712612</v>
      </c>
      <c r="B427" s="2">
        <f>HYPERLINK("https://platform.v2.vetology.net/cases/2712612/screening-report/18?type=pdf&amp;v=v6&amp;scorecard=1&amp;secret_key=BX%25IJ%24%2F65ieZ%29f6", 2712612)</f>
        <v>2712612</v>
      </c>
      <c r="C427" s="2">
        <f>HYPERLINK("https://platform.v2.vetology.net/report/v/final/"&amp;2712612, 2712612)</f>
        <v>2712612</v>
      </c>
      <c r="D427" s="2" t="s">
        <v>1450</v>
      </c>
      <c r="E427" s="2" t="s">
        <v>1451</v>
      </c>
      <c r="F427" s="2" t="s">
        <v>1452</v>
      </c>
      <c r="G427" s="2" t="s">
        <v>135</v>
      </c>
      <c r="H427" s="2" t="s">
        <v>730</v>
      </c>
      <c r="I427" s="2" t="s">
        <v>382</v>
      </c>
      <c r="J427" s="2" t="s">
        <v>66</v>
      </c>
      <c r="K427" s="2" t="s">
        <v>38</v>
      </c>
      <c r="L427" s="2" t="s">
        <v>39</v>
      </c>
      <c r="M427" s="2" t="s">
        <v>38</v>
      </c>
      <c r="N427" s="2" t="s">
        <v>38</v>
      </c>
      <c r="O427" s="2" t="s">
        <v>38</v>
      </c>
      <c r="P427" s="2" t="s">
        <v>39</v>
      </c>
      <c r="Q427" s="2" t="s">
        <v>38</v>
      </c>
      <c r="R427" s="2" t="s">
        <v>38</v>
      </c>
      <c r="S427" s="2" t="s">
        <v>39</v>
      </c>
      <c r="T427" s="2" t="s">
        <v>38</v>
      </c>
      <c r="U427" s="2" t="s">
        <v>39</v>
      </c>
      <c r="V427" s="2" t="s">
        <v>38</v>
      </c>
      <c r="W427" s="2" t="s">
        <v>38</v>
      </c>
      <c r="X427" s="2" t="s">
        <v>38</v>
      </c>
      <c r="Y427" s="2" t="s">
        <v>38</v>
      </c>
      <c r="Z427" s="2" t="s">
        <v>39</v>
      </c>
      <c r="AA427" s="2" t="s">
        <v>38</v>
      </c>
      <c r="AB427" s="2" t="s">
        <v>38</v>
      </c>
      <c r="AC427" s="2" t="s">
        <v>39</v>
      </c>
      <c r="AD427" s="2" t="s">
        <v>38</v>
      </c>
      <c r="AE427" s="2" t="s">
        <v>38</v>
      </c>
    </row>
    <row r="428" spans="1:31" ht="409.5">
      <c r="A428" s="2">
        <v>2712469</v>
      </c>
      <c r="B428" s="2">
        <f>HYPERLINK("https://platform.v2.vetology.net/cases/2712469/screening-report/18?type=pdf&amp;v=v6&amp;scorecard=1&amp;secret_key=BX%25IJ%24%2F65ieZ%29f6", 2712469)</f>
        <v>2712469</v>
      </c>
      <c r="C428" s="2">
        <f>HYPERLINK("https://platform.v2.vetology.net/report/v/final/"&amp;2712469, 2712469)</f>
        <v>2712469</v>
      </c>
      <c r="D428" s="2" t="s">
        <v>1453</v>
      </c>
      <c r="E428" s="2" t="s">
        <v>1454</v>
      </c>
      <c r="F428" s="2" t="s">
        <v>1455</v>
      </c>
      <c r="G428" s="2" t="s">
        <v>93</v>
      </c>
      <c r="H428" s="2" t="s">
        <v>688</v>
      </c>
      <c r="I428" s="2" t="s">
        <v>689</v>
      </c>
      <c r="J428" s="2" t="s">
        <v>690</v>
      </c>
      <c r="K428" s="2" t="s">
        <v>38</v>
      </c>
      <c r="L428" s="2" t="s">
        <v>39</v>
      </c>
      <c r="M428" s="2" t="s">
        <v>38</v>
      </c>
      <c r="N428" s="2" t="s">
        <v>38</v>
      </c>
      <c r="O428" s="2" t="s">
        <v>38</v>
      </c>
      <c r="P428" s="2" t="s">
        <v>38</v>
      </c>
      <c r="Q428" s="2" t="s">
        <v>38</v>
      </c>
      <c r="R428" s="2" t="s">
        <v>38</v>
      </c>
      <c r="S428" s="2" t="s">
        <v>38</v>
      </c>
      <c r="T428" s="2" t="s">
        <v>38</v>
      </c>
      <c r="U428" s="2" t="s">
        <v>38</v>
      </c>
      <c r="V428" s="2" t="s">
        <v>38</v>
      </c>
      <c r="W428" s="2" t="s">
        <v>38</v>
      </c>
      <c r="X428" s="2" t="s">
        <v>38</v>
      </c>
      <c r="Y428" s="2" t="s">
        <v>38</v>
      </c>
      <c r="Z428" s="2" t="s">
        <v>38</v>
      </c>
      <c r="AA428" s="2" t="s">
        <v>38</v>
      </c>
      <c r="AB428" s="2" t="s">
        <v>38</v>
      </c>
      <c r="AC428" s="2" t="s">
        <v>38</v>
      </c>
      <c r="AD428" s="2" t="s">
        <v>38</v>
      </c>
      <c r="AE428" s="2" t="s">
        <v>39</v>
      </c>
    </row>
    <row r="429" spans="1:31" ht="409.5">
      <c r="A429" s="2">
        <v>2711962</v>
      </c>
      <c r="B429" s="2">
        <f>HYPERLINK("https://platform.v2.vetology.net/cases/2711962/screening-report/18?type=pdf&amp;v=v6&amp;scorecard=1&amp;secret_key=BX%25IJ%24%2F65ieZ%29f6", 2711962)</f>
        <v>2711962</v>
      </c>
      <c r="C429" s="2">
        <f>HYPERLINK("https://platform.v2.vetology.net/report/v/final/"&amp;2711962, 2711962)</f>
        <v>2711962</v>
      </c>
      <c r="D429" s="2" t="s">
        <v>1456</v>
      </c>
      <c r="E429" s="2" t="s">
        <v>1457</v>
      </c>
      <c r="F429" s="2" t="s">
        <v>1426</v>
      </c>
      <c r="G429" s="2" t="s">
        <v>58</v>
      </c>
      <c r="H429" s="2" t="s">
        <v>413</v>
      </c>
      <c r="I429" s="2" t="s">
        <v>214</v>
      </c>
      <c r="J429" s="2" t="s">
        <v>50</v>
      </c>
      <c r="K429" s="2" t="s">
        <v>38</v>
      </c>
      <c r="L429" s="2" t="s">
        <v>39</v>
      </c>
      <c r="M429" s="2" t="s">
        <v>38</v>
      </c>
      <c r="N429" s="2" t="s">
        <v>38</v>
      </c>
      <c r="O429" s="2" t="s">
        <v>38</v>
      </c>
      <c r="P429" s="2" t="s">
        <v>38</v>
      </c>
      <c r="Q429" s="2" t="s">
        <v>38</v>
      </c>
      <c r="R429" s="2" t="s">
        <v>38</v>
      </c>
      <c r="S429" s="2" t="s">
        <v>38</v>
      </c>
      <c r="T429" s="2" t="s">
        <v>39</v>
      </c>
      <c r="U429" s="2" t="s">
        <v>38</v>
      </c>
      <c r="V429" s="2" t="s">
        <v>38</v>
      </c>
      <c r="W429" s="2" t="s">
        <v>38</v>
      </c>
      <c r="X429" s="2" t="s">
        <v>39</v>
      </c>
      <c r="Y429" s="2" t="s">
        <v>38</v>
      </c>
      <c r="Z429" s="2" t="s">
        <v>38</v>
      </c>
      <c r="AA429" s="2" t="s">
        <v>38</v>
      </c>
      <c r="AB429" s="2" t="s">
        <v>38</v>
      </c>
      <c r="AC429" s="2" t="s">
        <v>38</v>
      </c>
      <c r="AD429" s="2" t="s">
        <v>38</v>
      </c>
      <c r="AE429" s="2" t="s">
        <v>38</v>
      </c>
    </row>
    <row r="430" spans="1:31" ht="409.5">
      <c r="A430" s="2">
        <v>2711872</v>
      </c>
      <c r="B430" s="2">
        <f>HYPERLINK("https://platform.v2.vetology.net/cases/2711872/screening-report/18?type=pdf&amp;v=v6&amp;scorecard=1&amp;secret_key=BX%25IJ%24%2F65ieZ%29f6", 2711872)</f>
        <v>2711872</v>
      </c>
      <c r="C430" s="2">
        <f>HYPERLINK("https://platform.v2.vetology.net/report/v/final/"&amp;2711872, 2711872)</f>
        <v>2711872</v>
      </c>
      <c r="D430" s="2" t="s">
        <v>1458</v>
      </c>
      <c r="E430" s="2" t="s">
        <v>1459</v>
      </c>
      <c r="F430" s="2"/>
      <c r="G430" s="2" t="s">
        <v>150</v>
      </c>
      <c r="H430" s="2" t="s">
        <v>1460</v>
      </c>
      <c r="I430" s="2" t="s">
        <v>214</v>
      </c>
      <c r="J430" s="2" t="s">
        <v>50</v>
      </c>
      <c r="K430" s="2" t="s">
        <v>38</v>
      </c>
      <c r="L430" s="2" t="s">
        <v>38</v>
      </c>
      <c r="M430" s="2" t="s">
        <v>39</v>
      </c>
      <c r="N430" s="2" t="s">
        <v>38</v>
      </c>
      <c r="O430" s="2" t="s">
        <v>39</v>
      </c>
      <c r="P430" s="2" t="s">
        <v>38</v>
      </c>
      <c r="Q430" s="2" t="s">
        <v>38</v>
      </c>
      <c r="R430" s="2" t="s">
        <v>38</v>
      </c>
      <c r="S430" s="2" t="s">
        <v>39</v>
      </c>
      <c r="T430" s="2" t="s">
        <v>38</v>
      </c>
      <c r="U430" s="2" t="s">
        <v>38</v>
      </c>
      <c r="V430" s="2" t="s">
        <v>38</v>
      </c>
      <c r="W430" s="2" t="s">
        <v>38</v>
      </c>
      <c r="X430" s="2" t="s">
        <v>39</v>
      </c>
      <c r="Y430" s="2" t="s">
        <v>38</v>
      </c>
      <c r="Z430" s="2" t="s">
        <v>39</v>
      </c>
      <c r="AA430" s="2" t="s">
        <v>38</v>
      </c>
      <c r="AB430" s="2" t="s">
        <v>38</v>
      </c>
      <c r="AC430" s="2" t="s">
        <v>38</v>
      </c>
      <c r="AD430" s="2" t="s">
        <v>38</v>
      </c>
      <c r="AE430" s="2" t="s">
        <v>38</v>
      </c>
    </row>
    <row r="431" spans="1:31" ht="409.5">
      <c r="A431" s="2">
        <v>2711541</v>
      </c>
      <c r="B431" s="2">
        <f>HYPERLINK("https://platform.v2.vetology.net/cases/2711541/screening-report/18?type=pdf&amp;v=v6&amp;scorecard=1&amp;secret_key=BX%25IJ%24%2F65ieZ%29f6", 2711541)</f>
        <v>2711541</v>
      </c>
      <c r="C431" s="2">
        <f>HYPERLINK("https://platform.v2.vetology.net/report/v/final/"&amp;2711541, 2711541)</f>
        <v>2711541</v>
      </c>
      <c r="D431" s="2" t="s">
        <v>1461</v>
      </c>
      <c r="E431" s="2" t="s">
        <v>1462</v>
      </c>
      <c r="F431" s="2" t="s">
        <v>1463</v>
      </c>
      <c r="G431" s="2" t="s">
        <v>34</v>
      </c>
      <c r="H431" s="2" t="s">
        <v>94</v>
      </c>
      <c r="I431" s="2" t="s">
        <v>89</v>
      </c>
      <c r="J431" s="2" t="s">
        <v>66</v>
      </c>
      <c r="K431" s="2" t="s">
        <v>38</v>
      </c>
      <c r="L431" s="2" t="s">
        <v>39</v>
      </c>
      <c r="M431" s="2" t="s">
        <v>39</v>
      </c>
      <c r="N431" s="2" t="s">
        <v>38</v>
      </c>
      <c r="O431" s="2" t="s">
        <v>38</v>
      </c>
      <c r="P431" s="2" t="s">
        <v>38</v>
      </c>
      <c r="Q431" s="2" t="s">
        <v>38</v>
      </c>
      <c r="R431" s="2" t="s">
        <v>38</v>
      </c>
      <c r="S431" s="2" t="s">
        <v>38</v>
      </c>
      <c r="T431" s="2" t="s">
        <v>39</v>
      </c>
      <c r="U431" s="2" t="s">
        <v>38</v>
      </c>
      <c r="V431" s="2" t="s">
        <v>39</v>
      </c>
      <c r="W431" s="2" t="s">
        <v>38</v>
      </c>
      <c r="X431" s="2" t="s">
        <v>39</v>
      </c>
      <c r="Y431" s="2" t="s">
        <v>38</v>
      </c>
      <c r="Z431" s="2" t="s">
        <v>38</v>
      </c>
      <c r="AA431" s="2" t="s">
        <v>38</v>
      </c>
      <c r="AB431" s="2" t="s">
        <v>39</v>
      </c>
      <c r="AC431" s="2" t="s">
        <v>38</v>
      </c>
      <c r="AD431" s="2" t="s">
        <v>38</v>
      </c>
      <c r="AE431" s="2" t="s">
        <v>39</v>
      </c>
    </row>
    <row r="432" spans="1:31" ht="409.5">
      <c r="A432" s="2">
        <v>2711494</v>
      </c>
      <c r="B432" s="2">
        <f>HYPERLINK("https://platform.v2.vetology.net/cases/2711494/screening-report/18?type=pdf&amp;v=v6&amp;scorecard=1&amp;secret_key=BX%25IJ%24%2F65ieZ%29f6", 2711494)</f>
        <v>2711494</v>
      </c>
      <c r="C432" s="2">
        <f>HYPERLINK("https://platform.v2.vetology.net/report/v/final/"&amp;2711494, 2711494)</f>
        <v>2711494</v>
      </c>
      <c r="D432" s="2" t="s">
        <v>1464</v>
      </c>
      <c r="E432" s="2" t="s">
        <v>1465</v>
      </c>
      <c r="F432" s="2" t="s">
        <v>1466</v>
      </c>
      <c r="G432" s="2" t="s">
        <v>34</v>
      </c>
      <c r="H432" s="2" t="s">
        <v>1467</v>
      </c>
      <c r="I432" s="2" t="s">
        <v>1468</v>
      </c>
      <c r="J432" s="2" t="s">
        <v>1469</v>
      </c>
      <c r="K432" s="2" t="s">
        <v>38</v>
      </c>
      <c r="L432" s="2" t="s">
        <v>39</v>
      </c>
      <c r="M432" s="2" t="s">
        <v>39</v>
      </c>
      <c r="N432" s="2" t="s">
        <v>38</v>
      </c>
      <c r="O432" s="2" t="s">
        <v>39</v>
      </c>
      <c r="P432" s="2" t="s">
        <v>39</v>
      </c>
      <c r="Q432" s="2" t="s">
        <v>39</v>
      </c>
      <c r="R432" s="2" t="s">
        <v>38</v>
      </c>
      <c r="S432" s="2" t="s">
        <v>38</v>
      </c>
      <c r="T432" s="2" t="s">
        <v>38</v>
      </c>
      <c r="U432" s="2" t="s">
        <v>38</v>
      </c>
      <c r="V432" s="2" t="s">
        <v>39</v>
      </c>
      <c r="W432" s="2" t="s">
        <v>38</v>
      </c>
      <c r="X432" s="2" t="s">
        <v>38</v>
      </c>
      <c r="Y432" s="2" t="s">
        <v>38</v>
      </c>
      <c r="Z432" s="2" t="s">
        <v>39</v>
      </c>
      <c r="AA432" s="2" t="s">
        <v>38</v>
      </c>
      <c r="AB432" s="2" t="s">
        <v>39</v>
      </c>
      <c r="AC432" s="2" t="s">
        <v>39</v>
      </c>
      <c r="AD432" s="2" t="s">
        <v>38</v>
      </c>
      <c r="AE432" s="2" t="s">
        <v>38</v>
      </c>
    </row>
    <row r="433" spans="1:31" ht="409.5">
      <c r="A433" s="2">
        <v>2711243</v>
      </c>
      <c r="B433" s="2">
        <f>HYPERLINK("https://platform.v2.vetology.net/cases/2711243/screening-report/18?type=pdf&amp;v=v6&amp;scorecard=1&amp;secret_key=BX%25IJ%24%2F65ieZ%29f6", 2711243)</f>
        <v>2711243</v>
      </c>
      <c r="C433" s="2">
        <f>HYPERLINK("https://platform.v2.vetology.net/report/v/final/"&amp;2711243, 2711243)</f>
        <v>2711243</v>
      </c>
      <c r="D433" s="2" t="s">
        <v>1470</v>
      </c>
      <c r="E433" s="2" t="s">
        <v>1471</v>
      </c>
      <c r="F433" s="2" t="s">
        <v>1472</v>
      </c>
      <c r="G433" s="2" t="s">
        <v>135</v>
      </c>
      <c r="H433" s="2" t="s">
        <v>54</v>
      </c>
      <c r="I433" s="2" t="s">
        <v>44</v>
      </c>
      <c r="J433" s="2"/>
      <c r="K433" s="2" t="s">
        <v>38</v>
      </c>
      <c r="L433" s="2" t="s">
        <v>39</v>
      </c>
      <c r="M433" s="2" t="s">
        <v>39</v>
      </c>
      <c r="N433" s="2" t="s">
        <v>38</v>
      </c>
      <c r="O433" s="2" t="s">
        <v>38</v>
      </c>
      <c r="P433" s="2" t="s">
        <v>39</v>
      </c>
      <c r="Q433" s="2" t="s">
        <v>38</v>
      </c>
      <c r="R433" s="2" t="s">
        <v>38</v>
      </c>
      <c r="S433" s="2" t="s">
        <v>38</v>
      </c>
      <c r="T433" s="2" t="s">
        <v>38</v>
      </c>
      <c r="U433" s="2" t="s">
        <v>38</v>
      </c>
      <c r="V433" s="2" t="s">
        <v>38</v>
      </c>
      <c r="W433" s="2" t="s">
        <v>38</v>
      </c>
      <c r="X433" s="2" t="s">
        <v>38</v>
      </c>
      <c r="Y433" s="2" t="s">
        <v>38</v>
      </c>
      <c r="Z433" s="2" t="s">
        <v>38</v>
      </c>
      <c r="AA433" s="2" t="s">
        <v>38</v>
      </c>
      <c r="AB433" s="2" t="s">
        <v>39</v>
      </c>
      <c r="AC433" s="2" t="s">
        <v>39</v>
      </c>
      <c r="AD433" s="2" t="s">
        <v>38</v>
      </c>
      <c r="AE433" s="2" t="s">
        <v>38</v>
      </c>
    </row>
    <row r="434" spans="1:31" ht="409.5">
      <c r="A434" s="2">
        <v>2711179</v>
      </c>
      <c r="B434" s="2">
        <f>HYPERLINK("https://platform.v2.vetology.net/cases/2711179/screening-report/18?type=pdf&amp;v=v6&amp;scorecard=1&amp;secret_key=BX%25IJ%24%2F65ieZ%29f6", 2711179)</f>
        <v>2711179</v>
      </c>
      <c r="C434" s="2">
        <f>HYPERLINK("https://platform.v2.vetology.net/report/v/final/"&amp;2711179, 2711179)</f>
        <v>2711179</v>
      </c>
      <c r="D434" s="2" t="s">
        <v>1473</v>
      </c>
      <c r="E434" s="2" t="s">
        <v>1474</v>
      </c>
      <c r="F434" s="2" t="s">
        <v>1475</v>
      </c>
      <c r="G434" s="2" t="s">
        <v>63</v>
      </c>
      <c r="H434" s="2" t="s">
        <v>54</v>
      </c>
      <c r="I434" s="2" t="s">
        <v>44</v>
      </c>
      <c r="J434" s="2" t="s">
        <v>106</v>
      </c>
      <c r="K434" s="2" t="s">
        <v>38</v>
      </c>
      <c r="L434" s="2" t="s">
        <v>38</v>
      </c>
      <c r="M434" s="2" t="s">
        <v>38</v>
      </c>
      <c r="N434" s="2" t="s">
        <v>38</v>
      </c>
      <c r="O434" s="2" t="s">
        <v>38</v>
      </c>
      <c r="P434" s="2" t="s">
        <v>38</v>
      </c>
      <c r="Q434" s="2" t="s">
        <v>38</v>
      </c>
      <c r="R434" s="2" t="s">
        <v>38</v>
      </c>
      <c r="S434" s="2" t="s">
        <v>38</v>
      </c>
      <c r="T434" s="2" t="s">
        <v>38</v>
      </c>
      <c r="U434" s="2" t="s">
        <v>38</v>
      </c>
      <c r="V434" s="2" t="s">
        <v>38</v>
      </c>
      <c r="W434" s="2" t="s">
        <v>38</v>
      </c>
      <c r="X434" s="2" t="s">
        <v>38</v>
      </c>
      <c r="Y434" s="2" t="s">
        <v>38</v>
      </c>
      <c r="Z434" s="2" t="s">
        <v>38</v>
      </c>
      <c r="AA434" s="2" t="s">
        <v>38</v>
      </c>
      <c r="AB434" s="2" t="s">
        <v>38</v>
      </c>
      <c r="AC434" s="2" t="s">
        <v>38</v>
      </c>
      <c r="AD434" s="2" t="s">
        <v>38</v>
      </c>
      <c r="AE434" s="2" t="s">
        <v>38</v>
      </c>
    </row>
    <row r="435" spans="1:31" ht="409.5">
      <c r="A435" s="2">
        <v>2711166</v>
      </c>
      <c r="B435" s="2">
        <f>HYPERLINK("https://platform.v2.vetology.net/cases/2711166/screening-report/18?type=pdf&amp;v=v6&amp;scorecard=1&amp;secret_key=BX%25IJ%24%2F65ieZ%29f6", 2711166)</f>
        <v>2711166</v>
      </c>
      <c r="C435" s="2">
        <f>HYPERLINK("https://platform.v2.vetology.net/report/v/final/"&amp;2711166, 2711166)</f>
        <v>2711166</v>
      </c>
      <c r="D435" s="2" t="s">
        <v>1476</v>
      </c>
      <c r="E435" s="2" t="s">
        <v>1477</v>
      </c>
      <c r="F435" s="2" t="s">
        <v>1478</v>
      </c>
      <c r="G435" s="2" t="s">
        <v>93</v>
      </c>
      <c r="H435" s="2" t="s">
        <v>54</v>
      </c>
      <c r="I435" s="2" t="s">
        <v>44</v>
      </c>
      <c r="J435" s="2"/>
      <c r="K435" s="2" t="s">
        <v>38</v>
      </c>
      <c r="L435" s="2" t="s">
        <v>39</v>
      </c>
      <c r="M435" s="2" t="s">
        <v>39</v>
      </c>
      <c r="N435" s="2" t="s">
        <v>38</v>
      </c>
      <c r="O435" s="2" t="s">
        <v>38</v>
      </c>
      <c r="P435" s="2" t="s">
        <v>39</v>
      </c>
      <c r="Q435" s="2" t="s">
        <v>38</v>
      </c>
      <c r="R435" s="2" t="s">
        <v>38</v>
      </c>
      <c r="S435" s="2" t="s">
        <v>38</v>
      </c>
      <c r="T435" s="2" t="s">
        <v>38</v>
      </c>
      <c r="U435" s="2" t="s">
        <v>38</v>
      </c>
      <c r="V435" s="2" t="s">
        <v>38</v>
      </c>
      <c r="W435" s="2" t="s">
        <v>38</v>
      </c>
      <c r="X435" s="2" t="s">
        <v>38</v>
      </c>
      <c r="Y435" s="2" t="s">
        <v>38</v>
      </c>
      <c r="Z435" s="2" t="s">
        <v>38</v>
      </c>
      <c r="AA435" s="2" t="s">
        <v>38</v>
      </c>
      <c r="AB435" s="2" t="s">
        <v>38</v>
      </c>
      <c r="AC435" s="2" t="s">
        <v>38</v>
      </c>
      <c r="AD435" s="2" t="s">
        <v>38</v>
      </c>
      <c r="AE435" s="2" t="s">
        <v>38</v>
      </c>
    </row>
    <row r="436" spans="1:31" ht="409.5">
      <c r="A436" s="2">
        <v>2711067</v>
      </c>
      <c r="B436" s="2">
        <f>HYPERLINK("https://platform.v2.vetology.net/cases/2711067/screening-report/18?type=pdf&amp;v=v6&amp;scorecard=1&amp;secret_key=BX%25IJ%24%2F65ieZ%29f6", 2711067)</f>
        <v>2711067</v>
      </c>
      <c r="C436" s="2">
        <f>HYPERLINK("https://platform.v2.vetology.net/report/v/final/"&amp;2711067, 2711067)</f>
        <v>2711067</v>
      </c>
      <c r="D436" s="2" t="s">
        <v>1479</v>
      </c>
      <c r="E436" s="2" t="s">
        <v>1480</v>
      </c>
      <c r="F436" s="2"/>
      <c r="G436" s="2" t="s">
        <v>141</v>
      </c>
      <c r="H436" s="2" t="s">
        <v>723</v>
      </c>
      <c r="I436" s="2" t="s">
        <v>44</v>
      </c>
      <c r="J436" s="2"/>
      <c r="K436" s="2" t="s">
        <v>38</v>
      </c>
      <c r="L436" s="2" t="s">
        <v>39</v>
      </c>
      <c r="M436" s="2" t="s">
        <v>39</v>
      </c>
      <c r="N436" s="2" t="s">
        <v>38</v>
      </c>
      <c r="O436" s="2" t="s">
        <v>38</v>
      </c>
      <c r="P436" s="2" t="s">
        <v>38</v>
      </c>
      <c r="Q436" s="2" t="s">
        <v>38</v>
      </c>
      <c r="R436" s="2" t="s">
        <v>38</v>
      </c>
      <c r="S436" s="2" t="s">
        <v>39</v>
      </c>
      <c r="T436" s="2" t="s">
        <v>38</v>
      </c>
      <c r="U436" s="2" t="s">
        <v>38</v>
      </c>
      <c r="V436" s="2" t="s">
        <v>38</v>
      </c>
      <c r="W436" s="2" t="s">
        <v>38</v>
      </c>
      <c r="X436" s="2" t="s">
        <v>38</v>
      </c>
      <c r="Y436" s="2" t="s">
        <v>38</v>
      </c>
      <c r="Z436" s="2" t="s">
        <v>38</v>
      </c>
      <c r="AA436" s="2" t="s">
        <v>38</v>
      </c>
      <c r="AB436" s="2" t="s">
        <v>39</v>
      </c>
      <c r="AC436" s="2" t="s">
        <v>39</v>
      </c>
      <c r="AD436" s="2" t="s">
        <v>38</v>
      </c>
      <c r="AE436" s="2" t="s">
        <v>38</v>
      </c>
    </row>
    <row r="437" spans="1:31" ht="409.5">
      <c r="A437" s="2">
        <v>2710282</v>
      </c>
      <c r="B437" s="2">
        <f>HYPERLINK("https://platform.v2.vetology.net/cases/2710282/screening-report/18?type=pdf&amp;v=v6&amp;scorecard=1&amp;secret_key=BX%25IJ%24%2F65ieZ%29f6", 2710282)</f>
        <v>2710282</v>
      </c>
      <c r="C437" s="2">
        <f>HYPERLINK("https://platform.v2.vetology.net/report/v/final/"&amp;2710282, 2710282)</f>
        <v>2710282</v>
      </c>
      <c r="D437" s="2" t="s">
        <v>1481</v>
      </c>
      <c r="E437" s="2" t="s">
        <v>1482</v>
      </c>
      <c r="F437" s="2" t="s">
        <v>1483</v>
      </c>
      <c r="G437" s="2" t="s">
        <v>34</v>
      </c>
      <c r="H437" s="2" t="s">
        <v>54</v>
      </c>
      <c r="I437" s="2" t="s">
        <v>44</v>
      </c>
      <c r="J437" s="2"/>
      <c r="K437" s="2" t="s">
        <v>38</v>
      </c>
      <c r="L437" s="2" t="s">
        <v>38</v>
      </c>
      <c r="M437" s="2" t="s">
        <v>38</v>
      </c>
      <c r="N437" s="2" t="s">
        <v>38</v>
      </c>
      <c r="O437" s="2" t="s">
        <v>38</v>
      </c>
      <c r="P437" s="2" t="s">
        <v>38</v>
      </c>
      <c r="Q437" s="2" t="s">
        <v>38</v>
      </c>
      <c r="R437" s="2" t="s">
        <v>38</v>
      </c>
      <c r="S437" s="2" t="s">
        <v>38</v>
      </c>
      <c r="T437" s="2" t="s">
        <v>38</v>
      </c>
      <c r="U437" s="2" t="s">
        <v>38</v>
      </c>
      <c r="V437" s="2" t="s">
        <v>38</v>
      </c>
      <c r="W437" s="2" t="s">
        <v>38</v>
      </c>
      <c r="X437" s="2" t="s">
        <v>39</v>
      </c>
      <c r="Y437" s="2" t="s">
        <v>38</v>
      </c>
      <c r="Z437" s="2" t="s">
        <v>39</v>
      </c>
      <c r="AA437" s="2" t="s">
        <v>38</v>
      </c>
      <c r="AB437" s="2" t="s">
        <v>38</v>
      </c>
      <c r="AC437" s="2" t="s">
        <v>39</v>
      </c>
      <c r="AD437" s="2" t="s">
        <v>38</v>
      </c>
      <c r="AE437" s="2" t="s">
        <v>38</v>
      </c>
    </row>
    <row r="438" spans="1:31" ht="409.5">
      <c r="A438" s="2">
        <v>2710191</v>
      </c>
      <c r="B438" s="2">
        <f>HYPERLINK("https://platform.v2.vetology.net/cases/2710191/screening-report/18?type=pdf&amp;v=v6&amp;scorecard=1&amp;secret_key=BX%25IJ%24%2F65ieZ%29f6", 2710191)</f>
        <v>2710191</v>
      </c>
      <c r="C438" s="2">
        <f>HYPERLINK("https://platform.v2.vetology.net/report/v/final/"&amp;2710191, 2710191)</f>
        <v>2710191</v>
      </c>
      <c r="D438" s="2" t="s">
        <v>1484</v>
      </c>
      <c r="E438" s="2" t="s">
        <v>1485</v>
      </c>
      <c r="F438" s="2" t="s">
        <v>1486</v>
      </c>
      <c r="G438" s="2" t="s">
        <v>34</v>
      </c>
      <c r="H438" s="2" t="s">
        <v>442</v>
      </c>
      <c r="I438" s="2" t="s">
        <v>36</v>
      </c>
      <c r="J438" s="2" t="s">
        <v>37</v>
      </c>
      <c r="K438" s="2" t="s">
        <v>38</v>
      </c>
      <c r="L438" s="2" t="s">
        <v>38</v>
      </c>
      <c r="M438" s="2" t="s">
        <v>39</v>
      </c>
      <c r="N438" s="2" t="s">
        <v>38</v>
      </c>
      <c r="O438" s="2" t="s">
        <v>38</v>
      </c>
      <c r="P438" s="2" t="s">
        <v>38</v>
      </c>
      <c r="Q438" s="2" t="s">
        <v>38</v>
      </c>
      <c r="R438" s="2" t="s">
        <v>38</v>
      </c>
      <c r="S438" s="2" t="s">
        <v>38</v>
      </c>
      <c r="T438" s="2" t="s">
        <v>38</v>
      </c>
      <c r="U438" s="2" t="s">
        <v>38</v>
      </c>
      <c r="V438" s="2" t="s">
        <v>38</v>
      </c>
      <c r="W438" s="2" t="s">
        <v>38</v>
      </c>
      <c r="X438" s="2" t="s">
        <v>38</v>
      </c>
      <c r="Y438" s="2" t="s">
        <v>38</v>
      </c>
      <c r="Z438" s="2" t="s">
        <v>38</v>
      </c>
      <c r="AA438" s="2" t="s">
        <v>38</v>
      </c>
      <c r="AB438" s="2" t="s">
        <v>39</v>
      </c>
      <c r="AC438" s="2" t="s">
        <v>38</v>
      </c>
      <c r="AD438" s="2" t="s">
        <v>38</v>
      </c>
      <c r="AE438" s="2" t="s">
        <v>38</v>
      </c>
    </row>
    <row r="439" spans="1:31" ht="409.5">
      <c r="A439" s="2">
        <v>2709940</v>
      </c>
      <c r="B439" s="2">
        <f>HYPERLINK("https://platform.v2.vetology.net/cases/2709940/screening-report/18?type=pdf&amp;v=v6&amp;scorecard=1&amp;secret_key=BX%25IJ%24%2F65ieZ%29f6", 2709940)</f>
        <v>2709940</v>
      </c>
      <c r="C439" s="2">
        <f>HYPERLINK("https://platform.v2.vetology.net/report/v/final/"&amp;2709940, 2709940)</f>
        <v>2709940</v>
      </c>
      <c r="D439" s="2" t="s">
        <v>1487</v>
      </c>
      <c r="E439" s="2" t="s">
        <v>1488</v>
      </c>
      <c r="F439" s="2" t="s">
        <v>1489</v>
      </c>
      <c r="G439" s="2" t="s">
        <v>82</v>
      </c>
      <c r="H439" s="2" t="s">
        <v>1490</v>
      </c>
      <c r="I439" s="2" t="s">
        <v>382</v>
      </c>
      <c r="J439" s="2" t="s">
        <v>66</v>
      </c>
      <c r="K439" s="2" t="s">
        <v>39</v>
      </c>
      <c r="L439" s="2" t="s">
        <v>38</v>
      </c>
      <c r="M439" s="2" t="s">
        <v>38</v>
      </c>
      <c r="N439" s="2" t="s">
        <v>38</v>
      </c>
      <c r="O439" s="2" t="s">
        <v>38</v>
      </c>
      <c r="P439" s="2" t="s">
        <v>38</v>
      </c>
      <c r="Q439" s="2" t="s">
        <v>38</v>
      </c>
      <c r="R439" s="2" t="s">
        <v>38</v>
      </c>
      <c r="S439" s="2" t="s">
        <v>38</v>
      </c>
      <c r="T439" s="2" t="s">
        <v>39</v>
      </c>
      <c r="U439" s="2" t="s">
        <v>38</v>
      </c>
      <c r="V439" s="2" t="s">
        <v>39</v>
      </c>
      <c r="W439" s="2" t="s">
        <v>38</v>
      </c>
      <c r="X439" s="2" t="s">
        <v>39</v>
      </c>
      <c r="Y439" s="2" t="s">
        <v>38</v>
      </c>
      <c r="Z439" s="2" t="s">
        <v>39</v>
      </c>
      <c r="AA439" s="2" t="s">
        <v>38</v>
      </c>
      <c r="AB439" s="2" t="s">
        <v>38</v>
      </c>
      <c r="AC439" s="2" t="s">
        <v>38</v>
      </c>
      <c r="AD439" s="2" t="s">
        <v>38</v>
      </c>
      <c r="AE439" s="2" t="s">
        <v>38</v>
      </c>
    </row>
    <row r="440" spans="1:31" ht="409.5">
      <c r="A440" s="2">
        <v>2709918</v>
      </c>
      <c r="B440" s="2">
        <f>HYPERLINK("https://platform.v2.vetology.net/cases/2709918/screening-report/18?type=pdf&amp;v=v6&amp;scorecard=1&amp;secret_key=BX%25IJ%24%2F65ieZ%29f6", 2709918)</f>
        <v>2709918</v>
      </c>
      <c r="C440" s="2">
        <f>HYPERLINK("https://platform.v2.vetology.net/report/v/final/"&amp;2709918, 2709918)</f>
        <v>2709918</v>
      </c>
      <c r="D440" s="2" t="s">
        <v>1491</v>
      </c>
      <c r="E440" s="2" t="s">
        <v>1492</v>
      </c>
      <c r="F440" s="2" t="s">
        <v>81</v>
      </c>
      <c r="G440" s="2" t="s">
        <v>150</v>
      </c>
      <c r="H440" s="2" t="s">
        <v>54</v>
      </c>
      <c r="I440" s="2" t="s">
        <v>44</v>
      </c>
      <c r="J440" s="2"/>
      <c r="K440" s="2" t="s">
        <v>38</v>
      </c>
      <c r="L440" s="2" t="s">
        <v>38</v>
      </c>
      <c r="M440" s="2" t="s">
        <v>38</v>
      </c>
      <c r="N440" s="2" t="s">
        <v>38</v>
      </c>
      <c r="O440" s="2" t="s">
        <v>38</v>
      </c>
      <c r="P440" s="2" t="s">
        <v>38</v>
      </c>
      <c r="Q440" s="2" t="s">
        <v>38</v>
      </c>
      <c r="R440" s="2" t="s">
        <v>38</v>
      </c>
      <c r="S440" s="2" t="s">
        <v>38</v>
      </c>
      <c r="T440" s="2" t="s">
        <v>38</v>
      </c>
      <c r="U440" s="2" t="s">
        <v>38</v>
      </c>
      <c r="V440" s="2" t="s">
        <v>38</v>
      </c>
      <c r="W440" s="2" t="s">
        <v>38</v>
      </c>
      <c r="X440" s="2" t="s">
        <v>38</v>
      </c>
      <c r="Y440" s="2" t="s">
        <v>38</v>
      </c>
      <c r="Z440" s="2" t="s">
        <v>38</v>
      </c>
      <c r="AA440" s="2" t="s">
        <v>38</v>
      </c>
      <c r="AB440" s="2" t="s">
        <v>39</v>
      </c>
      <c r="AC440" s="2" t="s">
        <v>38</v>
      </c>
      <c r="AD440" s="2" t="s">
        <v>38</v>
      </c>
      <c r="AE440" s="2" t="s">
        <v>38</v>
      </c>
    </row>
    <row r="441" spans="1:31" ht="409.5">
      <c r="A441" s="2">
        <v>2709714</v>
      </c>
      <c r="B441" s="2">
        <f>HYPERLINK("https://platform.v2.vetology.net/cases/2709714/screening-report/18?type=pdf&amp;v=v6&amp;scorecard=1&amp;secret_key=BX%25IJ%24%2F65ieZ%29f6", 2709714)</f>
        <v>2709714</v>
      </c>
      <c r="C441" s="2">
        <f>HYPERLINK("https://platform.v2.vetology.net/report/v/final/"&amp;2709714, 2709714)</f>
        <v>2709714</v>
      </c>
      <c r="D441" s="2" t="s">
        <v>1493</v>
      </c>
      <c r="E441" s="2" t="s">
        <v>1494</v>
      </c>
      <c r="F441" s="2"/>
      <c r="G441" s="2" t="s">
        <v>82</v>
      </c>
      <c r="H441" s="2" t="s">
        <v>54</v>
      </c>
      <c r="I441" s="2" t="s">
        <v>44</v>
      </c>
      <c r="J441" s="2" t="s">
        <v>106</v>
      </c>
      <c r="K441" s="2" t="s">
        <v>38</v>
      </c>
      <c r="L441" s="2" t="s">
        <v>38</v>
      </c>
      <c r="M441" s="2" t="s">
        <v>38</v>
      </c>
      <c r="N441" s="2" t="s">
        <v>38</v>
      </c>
      <c r="O441" s="2" t="s">
        <v>38</v>
      </c>
      <c r="P441" s="2" t="s">
        <v>39</v>
      </c>
      <c r="Q441" s="2" t="s">
        <v>38</v>
      </c>
      <c r="R441" s="2" t="s">
        <v>38</v>
      </c>
      <c r="S441" s="2" t="s">
        <v>38</v>
      </c>
      <c r="T441" s="2" t="s">
        <v>38</v>
      </c>
      <c r="U441" s="2" t="s">
        <v>38</v>
      </c>
      <c r="V441" s="2" t="s">
        <v>38</v>
      </c>
      <c r="W441" s="2" t="s">
        <v>38</v>
      </c>
      <c r="X441" s="2" t="s">
        <v>38</v>
      </c>
      <c r="Y441" s="2" t="s">
        <v>38</v>
      </c>
      <c r="Z441" s="2" t="s">
        <v>39</v>
      </c>
      <c r="AA441" s="2" t="s">
        <v>38</v>
      </c>
      <c r="AB441" s="2" t="s">
        <v>38</v>
      </c>
      <c r="AC441" s="2" t="s">
        <v>39</v>
      </c>
      <c r="AD441" s="2" t="s">
        <v>38</v>
      </c>
      <c r="AE441" s="2" t="s">
        <v>38</v>
      </c>
    </row>
    <row r="442" spans="1:31" ht="409.5">
      <c r="A442" s="2">
        <v>2709653</v>
      </c>
      <c r="B442" s="2">
        <f>HYPERLINK("https://platform.v2.vetology.net/cases/2709653/screening-report/18?type=pdf&amp;v=v6&amp;scorecard=1&amp;secret_key=BX%25IJ%24%2F65ieZ%29f6", 2709653)</f>
        <v>2709653</v>
      </c>
      <c r="C442" s="2">
        <f>HYPERLINK("https://platform.v2.vetology.net/report/v/final/"&amp;2709653, 2709653)</f>
        <v>2709653</v>
      </c>
      <c r="D442" s="2" t="s">
        <v>1495</v>
      </c>
      <c r="E442" s="2" t="s">
        <v>1496</v>
      </c>
      <c r="F442" s="2" t="s">
        <v>1497</v>
      </c>
      <c r="G442" s="2" t="s">
        <v>93</v>
      </c>
      <c r="H442" s="2" t="s">
        <v>901</v>
      </c>
      <c r="I442" s="2" t="s">
        <v>689</v>
      </c>
      <c r="J442" s="2" t="s">
        <v>690</v>
      </c>
      <c r="K442" s="2" t="s">
        <v>39</v>
      </c>
      <c r="L442" s="2" t="s">
        <v>39</v>
      </c>
      <c r="M442" s="2" t="s">
        <v>39</v>
      </c>
      <c r="N442" s="2" t="s">
        <v>39</v>
      </c>
      <c r="O442" s="2" t="s">
        <v>39</v>
      </c>
      <c r="P442" s="2" t="s">
        <v>39</v>
      </c>
      <c r="Q442" s="2" t="s">
        <v>39</v>
      </c>
      <c r="R442" s="2" t="s">
        <v>39</v>
      </c>
      <c r="S442" s="2" t="s">
        <v>39</v>
      </c>
      <c r="T442" s="2" t="s">
        <v>39</v>
      </c>
      <c r="U442" s="2" t="s">
        <v>39</v>
      </c>
      <c r="V442" s="2" t="s">
        <v>39</v>
      </c>
      <c r="W442" s="2" t="s">
        <v>39</v>
      </c>
      <c r="X442" s="2" t="s">
        <v>39</v>
      </c>
      <c r="Y442" s="2" t="s">
        <v>39</v>
      </c>
      <c r="Z442" s="2" t="s">
        <v>39</v>
      </c>
      <c r="AA442" s="2" t="s">
        <v>39</v>
      </c>
      <c r="AB442" s="2" t="s">
        <v>39</v>
      </c>
      <c r="AC442" s="2" t="s">
        <v>39</v>
      </c>
      <c r="AD442" s="2" t="s">
        <v>39</v>
      </c>
      <c r="AE442" s="2" t="s">
        <v>39</v>
      </c>
    </row>
    <row r="443" spans="1:31" ht="409.5">
      <c r="A443" s="2">
        <v>2709565</v>
      </c>
      <c r="B443" s="2">
        <f>HYPERLINK("https://platform.v2.vetology.net/cases/2709565/screening-report/18?type=pdf&amp;v=v6&amp;scorecard=1&amp;secret_key=BX%25IJ%24%2F65ieZ%29f6", 2709565)</f>
        <v>2709565</v>
      </c>
      <c r="C443" s="2">
        <f>HYPERLINK("https://platform.v2.vetology.net/report/v/final/"&amp;2709565, 2709565)</f>
        <v>2709565</v>
      </c>
      <c r="D443" s="2" t="s">
        <v>1498</v>
      </c>
      <c r="E443" s="2" t="s">
        <v>1499</v>
      </c>
      <c r="F443" s="2" t="s">
        <v>81</v>
      </c>
      <c r="G443" s="2" t="s">
        <v>268</v>
      </c>
      <c r="H443" s="2" t="s">
        <v>1500</v>
      </c>
      <c r="I443" s="2" t="s">
        <v>290</v>
      </c>
      <c r="J443" s="2" t="s">
        <v>66</v>
      </c>
      <c r="K443" s="2" t="s">
        <v>38</v>
      </c>
      <c r="L443" s="2" t="s">
        <v>39</v>
      </c>
      <c r="M443" s="2" t="s">
        <v>39</v>
      </c>
      <c r="N443" s="2" t="s">
        <v>39</v>
      </c>
      <c r="O443" s="2" t="s">
        <v>38</v>
      </c>
      <c r="P443" s="2" t="s">
        <v>39</v>
      </c>
      <c r="Q443" s="2" t="s">
        <v>38</v>
      </c>
      <c r="R443" s="2" t="s">
        <v>38</v>
      </c>
      <c r="S443" s="2" t="s">
        <v>38</v>
      </c>
      <c r="T443" s="2" t="s">
        <v>38</v>
      </c>
      <c r="U443" s="2" t="s">
        <v>39</v>
      </c>
      <c r="V443" s="2" t="s">
        <v>39</v>
      </c>
      <c r="W443" s="2" t="s">
        <v>38</v>
      </c>
      <c r="X443" s="2" t="s">
        <v>39</v>
      </c>
      <c r="Y443" s="2" t="s">
        <v>38</v>
      </c>
      <c r="Z443" s="2" t="s">
        <v>39</v>
      </c>
      <c r="AA443" s="2" t="s">
        <v>38</v>
      </c>
      <c r="AB443" s="2" t="s">
        <v>38</v>
      </c>
      <c r="AC443" s="2" t="s">
        <v>39</v>
      </c>
      <c r="AD443" s="2" t="s">
        <v>38</v>
      </c>
      <c r="AE443" s="2" t="s">
        <v>38</v>
      </c>
    </row>
    <row r="444" spans="1:31" ht="409.5">
      <c r="A444" s="2">
        <v>2709481</v>
      </c>
      <c r="B444" s="2">
        <f>HYPERLINK("https://platform.v2.vetology.net/cases/2709481/screening-report/18?type=pdf&amp;v=v6&amp;scorecard=1&amp;secret_key=BX%25IJ%24%2F65ieZ%29f6", 2709481)</f>
        <v>2709481</v>
      </c>
      <c r="C444" s="2">
        <f>HYPERLINK("https://platform.v2.vetology.net/report/v/final/"&amp;2709481, 2709481)</f>
        <v>2709481</v>
      </c>
      <c r="D444" s="2" t="s">
        <v>1501</v>
      </c>
      <c r="E444" s="2" t="s">
        <v>1502</v>
      </c>
      <c r="F444" s="2" t="s">
        <v>81</v>
      </c>
      <c r="G444" s="2" t="s">
        <v>268</v>
      </c>
      <c r="H444" s="2" t="s">
        <v>101</v>
      </c>
      <c r="I444" s="2" t="s">
        <v>44</v>
      </c>
      <c r="J444" s="2"/>
      <c r="K444" s="2" t="s">
        <v>38</v>
      </c>
      <c r="L444" s="2" t="s">
        <v>39</v>
      </c>
      <c r="M444" s="2" t="s">
        <v>38</v>
      </c>
      <c r="N444" s="2" t="s">
        <v>38</v>
      </c>
      <c r="O444" s="2" t="s">
        <v>38</v>
      </c>
      <c r="P444" s="2" t="s">
        <v>39</v>
      </c>
      <c r="Q444" s="2" t="s">
        <v>38</v>
      </c>
      <c r="R444" s="2" t="s">
        <v>38</v>
      </c>
      <c r="S444" s="2" t="s">
        <v>38</v>
      </c>
      <c r="T444" s="2" t="s">
        <v>38</v>
      </c>
      <c r="U444" s="2" t="s">
        <v>38</v>
      </c>
      <c r="V444" s="2" t="s">
        <v>38</v>
      </c>
      <c r="W444" s="2" t="s">
        <v>38</v>
      </c>
      <c r="X444" s="2" t="s">
        <v>38</v>
      </c>
      <c r="Y444" s="2" t="s">
        <v>38</v>
      </c>
      <c r="Z444" s="2" t="s">
        <v>38</v>
      </c>
      <c r="AA444" s="2" t="s">
        <v>38</v>
      </c>
      <c r="AB444" s="2" t="s">
        <v>38</v>
      </c>
      <c r="AC444" s="2" t="s">
        <v>38</v>
      </c>
      <c r="AD444" s="2" t="s">
        <v>38</v>
      </c>
      <c r="AE444" s="2" t="s">
        <v>38</v>
      </c>
    </row>
    <row r="445" spans="1:31" ht="409.5">
      <c r="A445" s="2">
        <v>2709425</v>
      </c>
      <c r="B445" s="2">
        <f>HYPERLINK("https://platform.v2.vetology.net/cases/2709425/screening-report/18?type=pdf&amp;v=v6&amp;scorecard=1&amp;secret_key=BX%25IJ%24%2F65ieZ%29f6", 2709425)</f>
        <v>2709425</v>
      </c>
      <c r="C445" s="2">
        <f>HYPERLINK("https://platform.v2.vetology.net/report/v/final/"&amp;2709425, 2709425)</f>
        <v>2709425</v>
      </c>
      <c r="D445" s="2" t="s">
        <v>1503</v>
      </c>
      <c r="E445" s="2" t="s">
        <v>1504</v>
      </c>
      <c r="F445" s="2" t="s">
        <v>81</v>
      </c>
      <c r="G445" s="2" t="s">
        <v>268</v>
      </c>
      <c r="H445" s="2" t="s">
        <v>1505</v>
      </c>
      <c r="I445" s="2" t="s">
        <v>214</v>
      </c>
      <c r="J445" s="2" t="s">
        <v>50</v>
      </c>
      <c r="K445" s="2" t="s">
        <v>38</v>
      </c>
      <c r="L445" s="2" t="s">
        <v>39</v>
      </c>
      <c r="M445" s="2" t="s">
        <v>38</v>
      </c>
      <c r="N445" s="2" t="s">
        <v>38</v>
      </c>
      <c r="O445" s="2" t="s">
        <v>38</v>
      </c>
      <c r="P445" s="2" t="s">
        <v>38</v>
      </c>
      <c r="Q445" s="2" t="s">
        <v>38</v>
      </c>
      <c r="R445" s="2" t="s">
        <v>38</v>
      </c>
      <c r="S445" s="2" t="s">
        <v>38</v>
      </c>
      <c r="T445" s="2" t="s">
        <v>38</v>
      </c>
      <c r="U445" s="2" t="s">
        <v>38</v>
      </c>
      <c r="V445" s="2" t="s">
        <v>38</v>
      </c>
      <c r="W445" s="2" t="s">
        <v>38</v>
      </c>
      <c r="X445" s="2" t="s">
        <v>38</v>
      </c>
      <c r="Y445" s="2" t="s">
        <v>38</v>
      </c>
      <c r="Z445" s="2" t="s">
        <v>38</v>
      </c>
      <c r="AA445" s="2" t="s">
        <v>38</v>
      </c>
      <c r="AB445" s="2" t="s">
        <v>38</v>
      </c>
      <c r="AC445" s="2" t="s">
        <v>38</v>
      </c>
      <c r="AD445" s="2" t="s">
        <v>38</v>
      </c>
      <c r="AE445" s="2" t="s">
        <v>38</v>
      </c>
    </row>
    <row r="446" spans="1:31" ht="409.5">
      <c r="A446" s="2">
        <v>2709234</v>
      </c>
      <c r="B446" s="2">
        <f>HYPERLINK("https://platform.v2.vetology.net/cases/2709234/screening-report/18?type=pdf&amp;v=v6&amp;scorecard=1&amp;secret_key=BX%25IJ%24%2F65ieZ%29f6", 2709234)</f>
        <v>2709234</v>
      </c>
      <c r="C446" s="2">
        <f>HYPERLINK("https://platform.v2.vetology.net/report/v/final/"&amp;2709234, 2709234)</f>
        <v>2709234</v>
      </c>
      <c r="D446" s="2" t="s">
        <v>1506</v>
      </c>
      <c r="E446" s="2" t="s">
        <v>1507</v>
      </c>
      <c r="F446" s="2" t="s">
        <v>1508</v>
      </c>
      <c r="G446" s="2" t="s">
        <v>34</v>
      </c>
      <c r="H446" s="2" t="s">
        <v>1509</v>
      </c>
      <c r="I446" s="2" t="s">
        <v>124</v>
      </c>
      <c r="J446" s="2" t="s">
        <v>125</v>
      </c>
      <c r="K446" s="2" t="s">
        <v>38</v>
      </c>
      <c r="L446" s="2" t="s">
        <v>39</v>
      </c>
      <c r="M446" s="2" t="s">
        <v>39</v>
      </c>
      <c r="N446" s="2" t="s">
        <v>38</v>
      </c>
      <c r="O446" s="2" t="s">
        <v>38</v>
      </c>
      <c r="P446" s="2" t="s">
        <v>38</v>
      </c>
      <c r="Q446" s="2" t="s">
        <v>38</v>
      </c>
      <c r="R446" s="2" t="s">
        <v>38</v>
      </c>
      <c r="S446" s="2" t="s">
        <v>38</v>
      </c>
      <c r="T446" s="2" t="s">
        <v>38</v>
      </c>
      <c r="U446" s="2" t="s">
        <v>38</v>
      </c>
      <c r="V446" s="2" t="s">
        <v>38</v>
      </c>
      <c r="W446" s="2" t="s">
        <v>38</v>
      </c>
      <c r="X446" s="2" t="s">
        <v>38</v>
      </c>
      <c r="Y446" s="2" t="s">
        <v>38</v>
      </c>
      <c r="Z446" s="2" t="s">
        <v>38</v>
      </c>
      <c r="AA446" s="2" t="s">
        <v>38</v>
      </c>
      <c r="AB446" s="2" t="s">
        <v>38</v>
      </c>
      <c r="AC446" s="2" t="s">
        <v>39</v>
      </c>
      <c r="AD446" s="2" t="s">
        <v>38</v>
      </c>
      <c r="AE446" s="2" t="s">
        <v>38</v>
      </c>
    </row>
    <row r="447" spans="1:31" ht="409.5">
      <c r="A447" s="2">
        <v>2709030</v>
      </c>
      <c r="B447" s="2">
        <f>HYPERLINK("https://platform.v2.vetology.net/cases/2709030/screening-report/18?type=pdf&amp;v=v6&amp;scorecard=1&amp;secret_key=BX%25IJ%24%2F65ieZ%29f6", 2709030)</f>
        <v>2709030</v>
      </c>
      <c r="C447" s="2">
        <f>HYPERLINK("https://platform.v2.vetology.net/report/v/final/"&amp;2709030, 2709030)</f>
        <v>2709030</v>
      </c>
      <c r="D447" s="2" t="s">
        <v>1510</v>
      </c>
      <c r="E447" s="2" t="s">
        <v>1511</v>
      </c>
      <c r="F447" s="2" t="s">
        <v>1512</v>
      </c>
      <c r="G447" s="2" t="s">
        <v>34</v>
      </c>
      <c r="H447" s="2" t="s">
        <v>283</v>
      </c>
      <c r="I447" s="2" t="s">
        <v>284</v>
      </c>
      <c r="J447" s="2" t="s">
        <v>285</v>
      </c>
      <c r="K447" s="2" t="s">
        <v>38</v>
      </c>
      <c r="L447" s="2" t="s">
        <v>38</v>
      </c>
      <c r="M447" s="2" t="s">
        <v>38</v>
      </c>
      <c r="N447" s="2" t="s">
        <v>38</v>
      </c>
      <c r="O447" s="2" t="s">
        <v>38</v>
      </c>
      <c r="P447" s="2" t="s">
        <v>38</v>
      </c>
      <c r="Q447" s="2" t="s">
        <v>38</v>
      </c>
      <c r="R447" s="2" t="s">
        <v>38</v>
      </c>
      <c r="S447" s="2" t="s">
        <v>38</v>
      </c>
      <c r="T447" s="2" t="s">
        <v>39</v>
      </c>
      <c r="U447" s="2" t="s">
        <v>38</v>
      </c>
      <c r="V447" s="2" t="s">
        <v>39</v>
      </c>
      <c r="W447" s="2" t="s">
        <v>38</v>
      </c>
      <c r="X447" s="2" t="s">
        <v>39</v>
      </c>
      <c r="Y447" s="2" t="s">
        <v>38</v>
      </c>
      <c r="Z447" s="2" t="s">
        <v>38</v>
      </c>
      <c r="AA447" s="2" t="s">
        <v>38</v>
      </c>
      <c r="AB447" s="2" t="s">
        <v>38</v>
      </c>
      <c r="AC447" s="2" t="s">
        <v>38</v>
      </c>
      <c r="AD447" s="2" t="s">
        <v>38</v>
      </c>
      <c r="AE447" s="2" t="s">
        <v>38</v>
      </c>
    </row>
    <row r="448" spans="1:31" ht="409.5">
      <c r="A448" s="2">
        <v>2708686</v>
      </c>
      <c r="B448" s="2">
        <f>HYPERLINK("https://platform.v2.vetology.net/cases/2708686/screening-report/18?type=pdf&amp;v=v6&amp;scorecard=1&amp;secret_key=BX%25IJ%24%2F65ieZ%29f6", 2708686)</f>
        <v>2708686</v>
      </c>
      <c r="C448" s="2">
        <f>HYPERLINK("https://platform.v2.vetology.net/report/v/final/"&amp;2708686, 2708686)</f>
        <v>2708686</v>
      </c>
      <c r="D448" s="2" t="s">
        <v>1513</v>
      </c>
      <c r="E448" s="2" t="s">
        <v>1514</v>
      </c>
      <c r="F448" s="2"/>
      <c r="G448" s="2" t="s">
        <v>268</v>
      </c>
      <c r="H448" s="2" t="s">
        <v>1515</v>
      </c>
      <c r="I448" s="2" t="s">
        <v>1516</v>
      </c>
      <c r="J448" s="2" t="s">
        <v>518</v>
      </c>
      <c r="K448" s="2" t="s">
        <v>38</v>
      </c>
      <c r="L448" s="2" t="s">
        <v>38</v>
      </c>
      <c r="M448" s="2" t="s">
        <v>38</v>
      </c>
      <c r="N448" s="2" t="s">
        <v>39</v>
      </c>
      <c r="O448" s="2" t="s">
        <v>38</v>
      </c>
      <c r="P448" s="2" t="s">
        <v>39</v>
      </c>
      <c r="Q448" s="2" t="s">
        <v>39</v>
      </c>
      <c r="R448" s="2" t="s">
        <v>38</v>
      </c>
      <c r="S448" s="2" t="s">
        <v>39</v>
      </c>
      <c r="T448" s="2" t="s">
        <v>38</v>
      </c>
      <c r="U448" s="2" t="s">
        <v>39</v>
      </c>
      <c r="V448" s="2" t="s">
        <v>38</v>
      </c>
      <c r="W448" s="2" t="s">
        <v>38</v>
      </c>
      <c r="X448" s="2" t="s">
        <v>38</v>
      </c>
      <c r="Y448" s="2" t="s">
        <v>38</v>
      </c>
      <c r="Z448" s="2" t="s">
        <v>39</v>
      </c>
      <c r="AA448" s="2" t="s">
        <v>39</v>
      </c>
      <c r="AB448" s="2" t="s">
        <v>39</v>
      </c>
      <c r="AC448" s="2" t="s">
        <v>39</v>
      </c>
      <c r="AD448" s="2" t="s">
        <v>38</v>
      </c>
      <c r="AE448" s="2" t="s">
        <v>38</v>
      </c>
    </row>
    <row r="449" spans="1:31" ht="409.5">
      <c r="A449" s="2">
        <v>2708429</v>
      </c>
      <c r="B449" s="2">
        <f>HYPERLINK("https://platform.v2.vetology.net/cases/2708429/screening-report/18?type=pdf&amp;v=v6&amp;scorecard=1&amp;secret_key=BX%25IJ%24%2F65ieZ%29f6", 2708429)</f>
        <v>2708429</v>
      </c>
      <c r="C449" s="2">
        <f>HYPERLINK("https://platform.v2.vetology.net/report/v/final/"&amp;2708429, 2708429)</f>
        <v>2708429</v>
      </c>
      <c r="D449" s="2" t="s">
        <v>1517</v>
      </c>
      <c r="E449" s="2" t="s">
        <v>1518</v>
      </c>
      <c r="F449" s="2" t="s">
        <v>81</v>
      </c>
      <c r="G449" s="2" t="s">
        <v>268</v>
      </c>
      <c r="H449" s="2" t="s">
        <v>1519</v>
      </c>
      <c r="I449" s="2" t="s">
        <v>207</v>
      </c>
      <c r="J449" s="2" t="s">
        <v>208</v>
      </c>
      <c r="K449" s="2" t="s">
        <v>38</v>
      </c>
      <c r="L449" s="2" t="s">
        <v>39</v>
      </c>
      <c r="M449" s="2" t="s">
        <v>38</v>
      </c>
      <c r="N449" s="2" t="s">
        <v>38</v>
      </c>
      <c r="O449" s="2" t="s">
        <v>38</v>
      </c>
      <c r="P449" s="2" t="s">
        <v>38</v>
      </c>
      <c r="Q449" s="2" t="s">
        <v>38</v>
      </c>
      <c r="R449" s="2" t="s">
        <v>38</v>
      </c>
      <c r="S449" s="2" t="s">
        <v>38</v>
      </c>
      <c r="T449" s="2" t="s">
        <v>38</v>
      </c>
      <c r="U449" s="2" t="s">
        <v>38</v>
      </c>
      <c r="V449" s="2" t="s">
        <v>38</v>
      </c>
      <c r="W449" s="2" t="s">
        <v>38</v>
      </c>
      <c r="X449" s="2" t="s">
        <v>39</v>
      </c>
      <c r="Y449" s="2" t="s">
        <v>38</v>
      </c>
      <c r="Z449" s="2" t="s">
        <v>38</v>
      </c>
      <c r="AA449" s="2" t="s">
        <v>38</v>
      </c>
      <c r="AB449" s="2" t="s">
        <v>38</v>
      </c>
      <c r="AC449" s="2" t="s">
        <v>38</v>
      </c>
      <c r="AD449" s="2" t="s">
        <v>38</v>
      </c>
      <c r="AE449" s="2" t="s">
        <v>38</v>
      </c>
    </row>
    <row r="450" spans="1:31" ht="409.5">
      <c r="A450" s="2">
        <v>2708313</v>
      </c>
      <c r="B450" s="2">
        <f>HYPERLINK("https://platform.v2.vetology.net/cases/2708313/screening-report/18?type=pdf&amp;v=v6&amp;scorecard=1&amp;secret_key=BX%25IJ%24%2F65ieZ%29f6", 2708313)</f>
        <v>2708313</v>
      </c>
      <c r="C450" s="2">
        <f>HYPERLINK("https://platform.v2.vetology.net/report/v/final/"&amp;2708313, 2708313)</f>
        <v>2708313</v>
      </c>
      <c r="D450" s="2" t="s">
        <v>1520</v>
      </c>
      <c r="E450" s="2" t="s">
        <v>1521</v>
      </c>
      <c r="F450" s="2" t="s">
        <v>1522</v>
      </c>
      <c r="G450" s="2" t="s">
        <v>212</v>
      </c>
      <c r="H450" s="2" t="s">
        <v>607</v>
      </c>
      <c r="I450" s="2" t="s">
        <v>137</v>
      </c>
      <c r="J450" s="2" t="s">
        <v>66</v>
      </c>
      <c r="K450" s="2" t="s">
        <v>38</v>
      </c>
      <c r="L450" s="2" t="s">
        <v>39</v>
      </c>
      <c r="M450" s="2" t="s">
        <v>39</v>
      </c>
      <c r="N450" s="2" t="s">
        <v>38</v>
      </c>
      <c r="O450" s="2" t="s">
        <v>38</v>
      </c>
      <c r="P450" s="2" t="s">
        <v>38</v>
      </c>
      <c r="Q450" s="2" t="s">
        <v>38</v>
      </c>
      <c r="R450" s="2" t="s">
        <v>38</v>
      </c>
      <c r="S450" s="2" t="s">
        <v>38</v>
      </c>
      <c r="T450" s="2" t="s">
        <v>38</v>
      </c>
      <c r="U450" s="2" t="s">
        <v>38</v>
      </c>
      <c r="V450" s="2" t="s">
        <v>38</v>
      </c>
      <c r="W450" s="2" t="s">
        <v>38</v>
      </c>
      <c r="X450" s="2" t="s">
        <v>39</v>
      </c>
      <c r="Y450" s="2" t="s">
        <v>38</v>
      </c>
      <c r="Z450" s="2" t="s">
        <v>38</v>
      </c>
      <c r="AA450" s="2" t="s">
        <v>38</v>
      </c>
      <c r="AB450" s="2" t="s">
        <v>39</v>
      </c>
      <c r="AC450" s="2" t="s">
        <v>38</v>
      </c>
      <c r="AD450" s="2" t="s">
        <v>38</v>
      </c>
      <c r="AE450" s="2" t="s">
        <v>39</v>
      </c>
    </row>
    <row r="451" spans="1:31" ht="409.5">
      <c r="A451" s="2">
        <v>2708300</v>
      </c>
      <c r="B451" s="2">
        <f>HYPERLINK("https://platform.v2.vetology.net/cases/2708300/screening-report/18?type=pdf&amp;v=v6&amp;scorecard=1&amp;secret_key=BX%25IJ%24%2F65ieZ%29f6", 2708300)</f>
        <v>2708300</v>
      </c>
      <c r="C451" s="2">
        <f>HYPERLINK("https://platform.v2.vetology.net/report/v/final/"&amp;2708300, 2708300)</f>
        <v>2708300</v>
      </c>
      <c r="D451" s="2" t="s">
        <v>1523</v>
      </c>
      <c r="E451" s="2" t="s">
        <v>1524</v>
      </c>
      <c r="F451" s="2" t="s">
        <v>1525</v>
      </c>
      <c r="G451" s="2" t="s">
        <v>58</v>
      </c>
      <c r="H451" s="2" t="s">
        <v>1526</v>
      </c>
      <c r="I451" s="2" t="s">
        <v>1118</v>
      </c>
      <c r="J451" s="2" t="s">
        <v>1119</v>
      </c>
      <c r="K451" s="2" t="s">
        <v>39</v>
      </c>
      <c r="L451" s="2" t="s">
        <v>39</v>
      </c>
      <c r="M451" s="2" t="s">
        <v>39</v>
      </c>
      <c r="N451" s="2" t="s">
        <v>39</v>
      </c>
      <c r="O451" s="2" t="s">
        <v>39</v>
      </c>
      <c r="P451" s="2" t="s">
        <v>39</v>
      </c>
      <c r="Q451" s="2" t="s">
        <v>38</v>
      </c>
      <c r="R451" s="2" t="s">
        <v>38</v>
      </c>
      <c r="S451" s="2" t="s">
        <v>39</v>
      </c>
      <c r="T451" s="2" t="s">
        <v>39</v>
      </c>
      <c r="U451" s="2" t="s">
        <v>39</v>
      </c>
      <c r="V451" s="2" t="s">
        <v>39</v>
      </c>
      <c r="W451" s="2" t="s">
        <v>38</v>
      </c>
      <c r="X451" s="2" t="s">
        <v>39</v>
      </c>
      <c r="Y451" s="2" t="s">
        <v>38</v>
      </c>
      <c r="Z451" s="2" t="s">
        <v>39</v>
      </c>
      <c r="AA451" s="2" t="s">
        <v>38</v>
      </c>
      <c r="AB451" s="2" t="s">
        <v>39</v>
      </c>
      <c r="AC451" s="2" t="s">
        <v>38</v>
      </c>
      <c r="AD451" s="2" t="s">
        <v>38</v>
      </c>
      <c r="AE451" s="2" t="s">
        <v>38</v>
      </c>
    </row>
    <row r="452" spans="1:31" ht="409.5">
      <c r="A452" s="2">
        <v>2708293</v>
      </c>
      <c r="B452" s="2">
        <f>HYPERLINK("https://platform.v2.vetology.net/cases/2708293/screening-report/18?type=pdf&amp;v=v6&amp;scorecard=1&amp;secret_key=BX%25IJ%24%2F65ieZ%29f6", 2708293)</f>
        <v>2708293</v>
      </c>
      <c r="C452" s="2">
        <f>HYPERLINK("https://platform.v2.vetology.net/report/v/final/"&amp;2708293, 2708293)</f>
        <v>2708293</v>
      </c>
      <c r="D452" s="2" t="s">
        <v>1527</v>
      </c>
      <c r="E452" s="2" t="s">
        <v>1528</v>
      </c>
      <c r="F452" s="2" t="s">
        <v>149</v>
      </c>
      <c r="G452" s="2" t="s">
        <v>150</v>
      </c>
      <c r="H452" s="2" t="s">
        <v>54</v>
      </c>
      <c r="I452" s="2" t="s">
        <v>44</v>
      </c>
      <c r="J452" s="2" t="s">
        <v>106</v>
      </c>
      <c r="K452" s="2" t="s">
        <v>38</v>
      </c>
      <c r="L452" s="2" t="s">
        <v>39</v>
      </c>
      <c r="M452" s="2" t="s">
        <v>38</v>
      </c>
      <c r="N452" s="2" t="s">
        <v>38</v>
      </c>
      <c r="O452" s="2" t="s">
        <v>38</v>
      </c>
      <c r="P452" s="2" t="s">
        <v>38</v>
      </c>
      <c r="Q452" s="2" t="s">
        <v>38</v>
      </c>
      <c r="R452" s="2" t="s">
        <v>38</v>
      </c>
      <c r="S452" s="2" t="s">
        <v>38</v>
      </c>
      <c r="T452" s="2" t="s">
        <v>39</v>
      </c>
      <c r="U452" s="2" t="s">
        <v>38</v>
      </c>
      <c r="V452" s="2" t="s">
        <v>39</v>
      </c>
      <c r="W452" s="2" t="s">
        <v>38</v>
      </c>
      <c r="X452" s="2" t="s">
        <v>39</v>
      </c>
      <c r="Y452" s="2" t="s">
        <v>38</v>
      </c>
      <c r="Z452" s="2" t="s">
        <v>39</v>
      </c>
      <c r="AA452" s="2" t="s">
        <v>38</v>
      </c>
      <c r="AB452" s="2" t="s">
        <v>38</v>
      </c>
      <c r="AC452" s="2" t="s">
        <v>38</v>
      </c>
      <c r="AD452" s="2" t="s">
        <v>38</v>
      </c>
      <c r="AE452" s="2" t="s">
        <v>38</v>
      </c>
    </row>
    <row r="453" spans="1:31" ht="409.5">
      <c r="A453" s="2">
        <v>2707922</v>
      </c>
      <c r="B453" s="2">
        <f>HYPERLINK("https://platform.v2.vetology.net/cases/2707922/screening-report/18?type=pdf&amp;v=v6&amp;scorecard=1&amp;secret_key=BX%25IJ%24%2F65ieZ%29f6", 2707922)</f>
        <v>2707922</v>
      </c>
      <c r="C453" s="2">
        <f>HYPERLINK("https://platform.v2.vetology.net/report/v/final/"&amp;2707922, 2707922)</f>
        <v>2707922</v>
      </c>
      <c r="D453" s="2" t="s">
        <v>1529</v>
      </c>
      <c r="E453" s="2" t="s">
        <v>1530</v>
      </c>
      <c r="F453" s="2" t="s">
        <v>1531</v>
      </c>
      <c r="G453" s="2" t="s">
        <v>58</v>
      </c>
      <c r="H453" s="2" t="s">
        <v>1532</v>
      </c>
      <c r="I453" s="2" t="s">
        <v>1533</v>
      </c>
      <c r="J453" s="2" t="s">
        <v>66</v>
      </c>
      <c r="K453" s="2" t="s">
        <v>38</v>
      </c>
      <c r="L453" s="2" t="s">
        <v>39</v>
      </c>
      <c r="M453" s="2" t="s">
        <v>39</v>
      </c>
      <c r="N453" s="2" t="s">
        <v>38</v>
      </c>
      <c r="O453" s="2" t="s">
        <v>39</v>
      </c>
      <c r="P453" s="2" t="s">
        <v>39</v>
      </c>
      <c r="Q453" s="2" t="s">
        <v>38</v>
      </c>
      <c r="R453" s="2" t="s">
        <v>38</v>
      </c>
      <c r="S453" s="2" t="s">
        <v>39</v>
      </c>
      <c r="T453" s="2" t="s">
        <v>39</v>
      </c>
      <c r="U453" s="2" t="s">
        <v>38</v>
      </c>
      <c r="V453" s="2" t="s">
        <v>39</v>
      </c>
      <c r="W453" s="2" t="s">
        <v>38</v>
      </c>
      <c r="X453" s="2" t="s">
        <v>39</v>
      </c>
      <c r="Y453" s="2" t="s">
        <v>38</v>
      </c>
      <c r="Z453" s="2" t="s">
        <v>39</v>
      </c>
      <c r="AA453" s="2" t="s">
        <v>38</v>
      </c>
      <c r="AB453" s="2" t="s">
        <v>39</v>
      </c>
      <c r="AC453" s="2" t="s">
        <v>39</v>
      </c>
      <c r="AD453" s="2" t="s">
        <v>38</v>
      </c>
      <c r="AE453" s="2" t="s">
        <v>39</v>
      </c>
    </row>
    <row r="454" spans="1:31" ht="409.5">
      <c r="A454" s="2">
        <v>2707913</v>
      </c>
      <c r="B454" s="2">
        <f>HYPERLINK("https://platform.v2.vetology.net/cases/2707913/screening-report/18?type=pdf&amp;v=v6&amp;scorecard=1&amp;secret_key=BX%25IJ%24%2F65ieZ%29f6", 2707913)</f>
        <v>2707913</v>
      </c>
      <c r="C454" s="2">
        <f>HYPERLINK("https://platform.v2.vetology.net/report/v/final/"&amp;2707913, 2707913)</f>
        <v>2707913</v>
      </c>
      <c r="D454" s="2" t="s">
        <v>1534</v>
      </c>
      <c r="E454" s="2" t="s">
        <v>1535</v>
      </c>
      <c r="F454" s="2" t="s">
        <v>1536</v>
      </c>
      <c r="G454" s="2" t="s">
        <v>34</v>
      </c>
      <c r="H454" s="2" t="s">
        <v>488</v>
      </c>
      <c r="I454" s="2" t="s">
        <v>89</v>
      </c>
      <c r="J454" s="2" t="s">
        <v>66</v>
      </c>
      <c r="K454" s="2" t="s">
        <v>38</v>
      </c>
      <c r="L454" s="2" t="s">
        <v>38</v>
      </c>
      <c r="M454" s="2" t="s">
        <v>39</v>
      </c>
      <c r="N454" s="2" t="s">
        <v>38</v>
      </c>
      <c r="O454" s="2" t="s">
        <v>38</v>
      </c>
      <c r="P454" s="2" t="s">
        <v>38</v>
      </c>
      <c r="Q454" s="2" t="s">
        <v>38</v>
      </c>
      <c r="R454" s="2" t="s">
        <v>38</v>
      </c>
      <c r="S454" s="2" t="s">
        <v>38</v>
      </c>
      <c r="T454" s="2" t="s">
        <v>38</v>
      </c>
      <c r="U454" s="2" t="s">
        <v>38</v>
      </c>
      <c r="V454" s="2" t="s">
        <v>38</v>
      </c>
      <c r="W454" s="2" t="s">
        <v>38</v>
      </c>
      <c r="X454" s="2" t="s">
        <v>38</v>
      </c>
      <c r="Y454" s="2" t="s">
        <v>38</v>
      </c>
      <c r="Z454" s="2" t="s">
        <v>38</v>
      </c>
      <c r="AA454" s="2" t="s">
        <v>38</v>
      </c>
      <c r="AB454" s="2" t="s">
        <v>39</v>
      </c>
      <c r="AC454" s="2" t="s">
        <v>38</v>
      </c>
      <c r="AD454" s="2" t="s">
        <v>38</v>
      </c>
      <c r="AE454" s="2" t="s">
        <v>39</v>
      </c>
    </row>
    <row r="455" spans="1:31" ht="409.5">
      <c r="A455" s="2">
        <v>2707858</v>
      </c>
      <c r="B455" s="2">
        <f>HYPERLINK("https://platform.v2.vetology.net/cases/2707858/screening-report/18?type=pdf&amp;v=v6&amp;scorecard=1&amp;secret_key=BX%25IJ%24%2F65ieZ%29f6", 2707858)</f>
        <v>2707858</v>
      </c>
      <c r="C455" s="2">
        <f>HYPERLINK("https://platform.v2.vetology.net/report/v/final/"&amp;2707858, 2707858)</f>
        <v>2707858</v>
      </c>
      <c r="D455" s="2" t="s">
        <v>1537</v>
      </c>
      <c r="E455" s="2" t="s">
        <v>1538</v>
      </c>
      <c r="F455" s="2" t="s">
        <v>1539</v>
      </c>
      <c r="G455" s="2" t="s">
        <v>212</v>
      </c>
      <c r="H455" s="2" t="s">
        <v>129</v>
      </c>
      <c r="I455" s="2" t="s">
        <v>44</v>
      </c>
      <c r="J455" s="2" t="s">
        <v>106</v>
      </c>
      <c r="K455" s="2" t="s">
        <v>38</v>
      </c>
      <c r="L455" s="2" t="s">
        <v>39</v>
      </c>
      <c r="M455" s="2" t="s">
        <v>39</v>
      </c>
      <c r="N455" s="2" t="s">
        <v>38</v>
      </c>
      <c r="O455" s="2" t="s">
        <v>39</v>
      </c>
      <c r="P455" s="2" t="s">
        <v>38</v>
      </c>
      <c r="Q455" s="2" t="s">
        <v>38</v>
      </c>
      <c r="R455" s="2" t="s">
        <v>38</v>
      </c>
      <c r="S455" s="2" t="s">
        <v>39</v>
      </c>
      <c r="T455" s="2" t="s">
        <v>38</v>
      </c>
      <c r="U455" s="2" t="s">
        <v>39</v>
      </c>
      <c r="V455" s="2" t="s">
        <v>39</v>
      </c>
      <c r="W455" s="2" t="s">
        <v>38</v>
      </c>
      <c r="X455" s="2" t="s">
        <v>38</v>
      </c>
      <c r="Y455" s="2" t="s">
        <v>38</v>
      </c>
      <c r="Z455" s="2" t="s">
        <v>39</v>
      </c>
      <c r="AA455" s="2" t="s">
        <v>38</v>
      </c>
      <c r="AB455" s="2" t="s">
        <v>39</v>
      </c>
      <c r="AC455" s="2" t="s">
        <v>38</v>
      </c>
      <c r="AD455" s="2" t="s">
        <v>38</v>
      </c>
      <c r="AE455" s="2" t="s">
        <v>38</v>
      </c>
    </row>
    <row r="456" spans="1:31" ht="409.5">
      <c r="A456" s="2">
        <v>2707702</v>
      </c>
      <c r="B456" s="2">
        <f>HYPERLINK("https://platform.v2.vetology.net/cases/2707702/screening-report/18?type=pdf&amp;v=v6&amp;scorecard=1&amp;secret_key=BX%25IJ%24%2F65ieZ%29f6", 2707702)</f>
        <v>2707702</v>
      </c>
      <c r="C456" s="2">
        <f>HYPERLINK("https://platform.v2.vetology.net/report/v/final/"&amp;2707702, 2707702)</f>
        <v>2707702</v>
      </c>
      <c r="D456" s="2" t="s">
        <v>229</v>
      </c>
      <c r="E456" s="2" t="s">
        <v>148</v>
      </c>
      <c r="F456" s="2" t="s">
        <v>149</v>
      </c>
      <c r="G456" s="2" t="s">
        <v>150</v>
      </c>
      <c r="H456" s="2" t="s">
        <v>78</v>
      </c>
      <c r="I456" s="2" t="s">
        <v>44</v>
      </c>
      <c r="J456" s="2"/>
      <c r="K456" s="2" t="s">
        <v>38</v>
      </c>
      <c r="L456" s="2" t="s">
        <v>38</v>
      </c>
      <c r="M456" s="2" t="s">
        <v>39</v>
      </c>
      <c r="N456" s="2" t="s">
        <v>38</v>
      </c>
      <c r="O456" s="2" t="s">
        <v>38</v>
      </c>
      <c r="P456" s="2" t="s">
        <v>38</v>
      </c>
      <c r="Q456" s="2" t="s">
        <v>38</v>
      </c>
      <c r="R456" s="2" t="s">
        <v>38</v>
      </c>
      <c r="S456" s="2" t="s">
        <v>38</v>
      </c>
      <c r="T456" s="2" t="s">
        <v>39</v>
      </c>
      <c r="U456" s="2" t="s">
        <v>38</v>
      </c>
      <c r="V456" s="2" t="s">
        <v>39</v>
      </c>
      <c r="W456" s="2" t="s">
        <v>38</v>
      </c>
      <c r="X456" s="2" t="s">
        <v>39</v>
      </c>
      <c r="Y456" s="2" t="s">
        <v>38</v>
      </c>
      <c r="Z456" s="2" t="s">
        <v>38</v>
      </c>
      <c r="AA456" s="2" t="s">
        <v>38</v>
      </c>
      <c r="AB456" s="2" t="s">
        <v>38</v>
      </c>
      <c r="AC456" s="2" t="s">
        <v>38</v>
      </c>
      <c r="AD456" s="2" t="s">
        <v>38</v>
      </c>
      <c r="AE456" s="2" t="s">
        <v>38</v>
      </c>
    </row>
    <row r="457" spans="1:31" ht="409.5">
      <c r="A457" s="2">
        <v>2707687</v>
      </c>
      <c r="B457" s="2">
        <f>HYPERLINK("https://platform.v2.vetology.net/cases/2707687/screening-report/18?type=pdf&amp;v=v6&amp;scorecard=1&amp;secret_key=BX%25IJ%24%2F65ieZ%29f6", 2707687)</f>
        <v>2707687</v>
      </c>
      <c r="C457" s="2">
        <f>HYPERLINK("https://platform.v2.vetology.net/report/v/final/"&amp;2707687, 2707687)</f>
        <v>2707687</v>
      </c>
      <c r="D457" s="2" t="s">
        <v>1540</v>
      </c>
      <c r="E457" s="2" t="s">
        <v>1541</v>
      </c>
      <c r="F457" s="2" t="s">
        <v>81</v>
      </c>
      <c r="G457" s="2" t="s">
        <v>82</v>
      </c>
      <c r="H457" s="2" t="s">
        <v>430</v>
      </c>
      <c r="I457" s="2" t="s">
        <v>89</v>
      </c>
      <c r="J457" s="2" t="s">
        <v>66</v>
      </c>
      <c r="K457" s="2" t="s">
        <v>38</v>
      </c>
      <c r="L457" s="2" t="s">
        <v>38</v>
      </c>
      <c r="M457" s="2" t="s">
        <v>38</v>
      </c>
      <c r="N457" s="2" t="s">
        <v>38</v>
      </c>
      <c r="O457" s="2" t="s">
        <v>38</v>
      </c>
      <c r="P457" s="2" t="s">
        <v>38</v>
      </c>
      <c r="Q457" s="2" t="s">
        <v>38</v>
      </c>
      <c r="R457" s="2" t="s">
        <v>38</v>
      </c>
      <c r="S457" s="2" t="s">
        <v>38</v>
      </c>
      <c r="T457" s="2" t="s">
        <v>39</v>
      </c>
      <c r="U457" s="2" t="s">
        <v>38</v>
      </c>
      <c r="V457" s="2" t="s">
        <v>39</v>
      </c>
      <c r="W457" s="2" t="s">
        <v>38</v>
      </c>
      <c r="X457" s="2" t="s">
        <v>39</v>
      </c>
      <c r="Y457" s="2" t="s">
        <v>38</v>
      </c>
      <c r="Z457" s="2" t="s">
        <v>38</v>
      </c>
      <c r="AA457" s="2" t="s">
        <v>38</v>
      </c>
      <c r="AB457" s="2" t="s">
        <v>38</v>
      </c>
      <c r="AC457" s="2" t="s">
        <v>38</v>
      </c>
      <c r="AD457" s="2" t="s">
        <v>38</v>
      </c>
      <c r="AE457" s="2" t="s">
        <v>38</v>
      </c>
    </row>
    <row r="458" spans="1:31" ht="409.5">
      <c r="A458" s="2">
        <v>2707292</v>
      </c>
      <c r="B458" s="2">
        <f>HYPERLINK("https://platform.v2.vetology.net/cases/2707292/screening-report/18?type=pdf&amp;v=v6&amp;scorecard=1&amp;secret_key=BX%25IJ%24%2F65ieZ%29f6", 2707292)</f>
        <v>2707292</v>
      </c>
      <c r="C458" s="2">
        <f>HYPERLINK("https://platform.v2.vetology.net/report/v/final/"&amp;2707292, 2707292)</f>
        <v>2707292</v>
      </c>
      <c r="D458" s="2" t="s">
        <v>1542</v>
      </c>
      <c r="E458" s="2" t="s">
        <v>1543</v>
      </c>
      <c r="F458" s="2" t="s">
        <v>1544</v>
      </c>
      <c r="G458" s="2" t="s">
        <v>34</v>
      </c>
      <c r="H458" s="2" t="s">
        <v>54</v>
      </c>
      <c r="I458" s="2" t="s">
        <v>44</v>
      </c>
      <c r="J458" s="2"/>
      <c r="K458" s="2" t="s">
        <v>38</v>
      </c>
      <c r="L458" s="2" t="s">
        <v>38</v>
      </c>
      <c r="M458" s="2" t="s">
        <v>38</v>
      </c>
      <c r="N458" s="2" t="s">
        <v>38</v>
      </c>
      <c r="O458" s="2" t="s">
        <v>38</v>
      </c>
      <c r="P458" s="2" t="s">
        <v>38</v>
      </c>
      <c r="Q458" s="2" t="s">
        <v>38</v>
      </c>
      <c r="R458" s="2" t="s">
        <v>38</v>
      </c>
      <c r="S458" s="2" t="s">
        <v>38</v>
      </c>
      <c r="T458" s="2" t="s">
        <v>39</v>
      </c>
      <c r="U458" s="2" t="s">
        <v>38</v>
      </c>
      <c r="V458" s="2" t="s">
        <v>39</v>
      </c>
      <c r="W458" s="2" t="s">
        <v>38</v>
      </c>
      <c r="X458" s="2" t="s">
        <v>39</v>
      </c>
      <c r="Y458" s="2" t="s">
        <v>38</v>
      </c>
      <c r="Z458" s="2" t="s">
        <v>38</v>
      </c>
      <c r="AA458" s="2" t="s">
        <v>38</v>
      </c>
      <c r="AB458" s="2" t="s">
        <v>38</v>
      </c>
      <c r="AC458" s="2" t="s">
        <v>38</v>
      </c>
      <c r="AD458" s="2" t="s">
        <v>38</v>
      </c>
      <c r="AE458" s="2" t="s">
        <v>38</v>
      </c>
    </row>
    <row r="459" spans="1:31" ht="409.5">
      <c r="A459" s="2">
        <v>2707258</v>
      </c>
      <c r="B459" s="2">
        <f>HYPERLINK("https://platform.v2.vetology.net/cases/2707258/screening-report/18?type=pdf&amp;v=v6&amp;scorecard=1&amp;secret_key=BX%25IJ%24%2F65ieZ%29f6", 2707258)</f>
        <v>2707258</v>
      </c>
      <c r="C459" s="2">
        <f>HYPERLINK("https://platform.v2.vetology.net/report/v/final/"&amp;2707258, 2707258)</f>
        <v>2707258</v>
      </c>
      <c r="D459" s="2" t="s">
        <v>1545</v>
      </c>
      <c r="E459" s="2" t="s">
        <v>1546</v>
      </c>
      <c r="F459" s="2" t="s">
        <v>1547</v>
      </c>
      <c r="G459" s="2" t="s">
        <v>34</v>
      </c>
      <c r="H459" s="2" t="s">
        <v>1548</v>
      </c>
      <c r="I459" s="2" t="s">
        <v>89</v>
      </c>
      <c r="J459" s="2" t="s">
        <v>66</v>
      </c>
      <c r="K459" s="2" t="s">
        <v>38</v>
      </c>
      <c r="L459" s="2" t="s">
        <v>38</v>
      </c>
      <c r="M459" s="2" t="s">
        <v>38</v>
      </c>
      <c r="N459" s="2" t="s">
        <v>38</v>
      </c>
      <c r="O459" s="2" t="s">
        <v>38</v>
      </c>
      <c r="P459" s="2" t="s">
        <v>38</v>
      </c>
      <c r="Q459" s="2" t="s">
        <v>38</v>
      </c>
      <c r="R459" s="2" t="s">
        <v>38</v>
      </c>
      <c r="S459" s="2" t="s">
        <v>38</v>
      </c>
      <c r="T459" s="2" t="s">
        <v>39</v>
      </c>
      <c r="U459" s="2" t="s">
        <v>38</v>
      </c>
      <c r="V459" s="2" t="s">
        <v>39</v>
      </c>
      <c r="W459" s="2" t="s">
        <v>38</v>
      </c>
      <c r="X459" s="2" t="s">
        <v>39</v>
      </c>
      <c r="Y459" s="2" t="s">
        <v>38</v>
      </c>
      <c r="Z459" s="2" t="s">
        <v>38</v>
      </c>
      <c r="AA459" s="2" t="s">
        <v>38</v>
      </c>
      <c r="AB459" s="2" t="s">
        <v>38</v>
      </c>
      <c r="AC459" s="2" t="s">
        <v>38</v>
      </c>
      <c r="AD459" s="2" t="s">
        <v>38</v>
      </c>
      <c r="AE459" s="2" t="s">
        <v>39</v>
      </c>
    </row>
    <row r="460" spans="1:31" ht="409.5">
      <c r="A460" s="2">
        <v>2707246</v>
      </c>
      <c r="B460" s="2">
        <f>HYPERLINK("https://platform.v2.vetology.net/cases/2707246/screening-report/18?type=pdf&amp;v=v6&amp;scorecard=1&amp;secret_key=BX%25IJ%24%2F65ieZ%29f6", 2707246)</f>
        <v>2707246</v>
      </c>
      <c r="C460" s="2">
        <f>HYPERLINK("https://platform.v2.vetology.net/report/v/final/"&amp;2707246, 2707246)</f>
        <v>2707246</v>
      </c>
      <c r="D460" s="2" t="s">
        <v>1549</v>
      </c>
      <c r="E460" s="2" t="s">
        <v>1550</v>
      </c>
      <c r="F460" s="2" t="s">
        <v>1551</v>
      </c>
      <c r="G460" s="2" t="s">
        <v>93</v>
      </c>
      <c r="H460" s="2" t="s">
        <v>1552</v>
      </c>
      <c r="I460" s="2" t="s">
        <v>264</v>
      </c>
      <c r="J460" s="2" t="s">
        <v>265</v>
      </c>
      <c r="K460" s="2" t="s">
        <v>38</v>
      </c>
      <c r="L460" s="2" t="s">
        <v>39</v>
      </c>
      <c r="M460" s="2" t="s">
        <v>38</v>
      </c>
      <c r="N460" s="2" t="s">
        <v>38</v>
      </c>
      <c r="O460" s="2" t="s">
        <v>38</v>
      </c>
      <c r="P460" s="2" t="s">
        <v>39</v>
      </c>
      <c r="Q460" s="2" t="s">
        <v>38</v>
      </c>
      <c r="R460" s="2" t="s">
        <v>38</v>
      </c>
      <c r="S460" s="2" t="s">
        <v>38</v>
      </c>
      <c r="T460" s="2" t="s">
        <v>39</v>
      </c>
      <c r="U460" s="2" t="s">
        <v>38</v>
      </c>
      <c r="V460" s="2" t="s">
        <v>39</v>
      </c>
      <c r="W460" s="2" t="s">
        <v>38</v>
      </c>
      <c r="X460" s="2" t="s">
        <v>39</v>
      </c>
      <c r="Y460" s="2" t="s">
        <v>38</v>
      </c>
      <c r="Z460" s="2" t="s">
        <v>38</v>
      </c>
      <c r="AA460" s="2" t="s">
        <v>38</v>
      </c>
      <c r="AB460" s="2" t="s">
        <v>39</v>
      </c>
      <c r="AC460" s="2" t="s">
        <v>38</v>
      </c>
      <c r="AD460" s="2" t="s">
        <v>38</v>
      </c>
      <c r="AE460" s="2" t="s">
        <v>38</v>
      </c>
    </row>
    <row r="461" spans="1:31" ht="409.5">
      <c r="A461" s="2">
        <v>2707182</v>
      </c>
      <c r="B461" s="2">
        <f>HYPERLINK("https://platform.v2.vetology.net/cases/2707182/screening-report/18?type=pdf&amp;v=v6&amp;scorecard=1&amp;secret_key=BX%25IJ%24%2F65ieZ%29f6", 2707182)</f>
        <v>2707182</v>
      </c>
      <c r="C461" s="2">
        <f>HYPERLINK("https://platform.v2.vetology.net/report/v/final/"&amp;2707182, 2707182)</f>
        <v>2707182</v>
      </c>
      <c r="D461" s="2" t="s">
        <v>1553</v>
      </c>
      <c r="E461" s="2" t="s">
        <v>1554</v>
      </c>
      <c r="F461" s="2" t="s">
        <v>1555</v>
      </c>
      <c r="G461" s="2" t="s">
        <v>58</v>
      </c>
      <c r="H461" s="2" t="s">
        <v>78</v>
      </c>
      <c r="I461" s="2" t="s">
        <v>44</v>
      </c>
      <c r="J461" s="2"/>
      <c r="K461" s="2" t="s">
        <v>38</v>
      </c>
      <c r="L461" s="2" t="s">
        <v>39</v>
      </c>
      <c r="M461" s="2" t="s">
        <v>39</v>
      </c>
      <c r="N461" s="2" t="s">
        <v>38</v>
      </c>
      <c r="O461" s="2" t="s">
        <v>38</v>
      </c>
      <c r="P461" s="2" t="s">
        <v>38</v>
      </c>
      <c r="Q461" s="2" t="s">
        <v>38</v>
      </c>
      <c r="R461" s="2" t="s">
        <v>38</v>
      </c>
      <c r="S461" s="2" t="s">
        <v>38</v>
      </c>
      <c r="T461" s="2" t="s">
        <v>38</v>
      </c>
      <c r="U461" s="2" t="s">
        <v>38</v>
      </c>
      <c r="V461" s="2" t="s">
        <v>38</v>
      </c>
      <c r="W461" s="2" t="s">
        <v>38</v>
      </c>
      <c r="X461" s="2" t="s">
        <v>38</v>
      </c>
      <c r="Y461" s="2" t="s">
        <v>38</v>
      </c>
      <c r="Z461" s="2" t="s">
        <v>38</v>
      </c>
      <c r="AA461" s="2" t="s">
        <v>38</v>
      </c>
      <c r="AB461" s="2" t="s">
        <v>38</v>
      </c>
      <c r="AC461" s="2" t="s">
        <v>38</v>
      </c>
      <c r="AD461" s="2" t="s">
        <v>38</v>
      </c>
      <c r="AE461" s="2" t="s">
        <v>38</v>
      </c>
    </row>
    <row r="462" spans="1:31" ht="409.5">
      <c r="A462" s="2">
        <v>2707000</v>
      </c>
      <c r="B462" s="2">
        <f>HYPERLINK("https://platform.v2.vetology.net/cases/2707000/screening-report/18?type=pdf&amp;v=v6&amp;scorecard=1&amp;secret_key=BX%25IJ%24%2F65ieZ%29f6", 2707000)</f>
        <v>2707000</v>
      </c>
      <c r="C462" s="2">
        <f>HYPERLINK("https://platform.v2.vetology.net/report/v/final/"&amp;2707000, 2707000)</f>
        <v>2707000</v>
      </c>
      <c r="D462" s="2" t="s">
        <v>1556</v>
      </c>
      <c r="E462" s="2" t="s">
        <v>1557</v>
      </c>
      <c r="F462" s="2" t="s">
        <v>81</v>
      </c>
      <c r="G462" s="2" t="s">
        <v>150</v>
      </c>
      <c r="H462" s="2" t="s">
        <v>54</v>
      </c>
      <c r="I462" s="2" t="s">
        <v>199</v>
      </c>
      <c r="J462" s="2"/>
      <c r="K462" s="2" t="s">
        <v>38</v>
      </c>
      <c r="L462" s="2" t="s">
        <v>38</v>
      </c>
      <c r="M462" s="2" t="s">
        <v>39</v>
      </c>
      <c r="N462" s="2" t="s">
        <v>38</v>
      </c>
      <c r="O462" s="2" t="s">
        <v>38</v>
      </c>
      <c r="P462" s="2" t="s">
        <v>38</v>
      </c>
      <c r="Q462" s="2" t="s">
        <v>38</v>
      </c>
      <c r="R462" s="2" t="s">
        <v>38</v>
      </c>
      <c r="S462" s="2" t="s">
        <v>38</v>
      </c>
      <c r="T462" s="2" t="s">
        <v>38</v>
      </c>
      <c r="U462" s="2" t="s">
        <v>38</v>
      </c>
      <c r="V462" s="2" t="s">
        <v>38</v>
      </c>
      <c r="W462" s="2" t="s">
        <v>38</v>
      </c>
      <c r="X462" s="2" t="s">
        <v>38</v>
      </c>
      <c r="Y462" s="2" t="s">
        <v>38</v>
      </c>
      <c r="Z462" s="2" t="s">
        <v>38</v>
      </c>
      <c r="AA462" s="2" t="s">
        <v>38</v>
      </c>
      <c r="AB462" s="2" t="s">
        <v>38</v>
      </c>
      <c r="AC462" s="2" t="s">
        <v>39</v>
      </c>
      <c r="AD462" s="2" t="s">
        <v>38</v>
      </c>
      <c r="AE462" s="2" t="s">
        <v>38</v>
      </c>
    </row>
    <row r="463" spans="1:31" ht="409.5">
      <c r="A463" s="2">
        <v>2706941</v>
      </c>
      <c r="B463" s="2">
        <f>HYPERLINK("https://platform.v2.vetology.net/cases/2706941/screening-report/18?type=pdf&amp;v=v6&amp;scorecard=1&amp;secret_key=BX%25IJ%24%2F65ieZ%29f6", 2706941)</f>
        <v>2706941</v>
      </c>
      <c r="C463" s="2">
        <f>HYPERLINK("https://platform.v2.vetology.net/report/v/final/"&amp;2706941, 2706941)</f>
        <v>2706941</v>
      </c>
      <c r="D463" s="2" t="s">
        <v>1558</v>
      </c>
      <c r="E463" s="2" t="s">
        <v>1559</v>
      </c>
      <c r="F463" s="2" t="s">
        <v>1560</v>
      </c>
      <c r="G463" s="2" t="s">
        <v>58</v>
      </c>
      <c r="H463" s="2" t="s">
        <v>54</v>
      </c>
      <c r="I463" s="2" t="s">
        <v>44</v>
      </c>
      <c r="J463" s="2"/>
      <c r="K463" s="2" t="s">
        <v>38</v>
      </c>
      <c r="L463" s="2" t="s">
        <v>38</v>
      </c>
      <c r="M463" s="2" t="s">
        <v>38</v>
      </c>
      <c r="N463" s="2" t="s">
        <v>38</v>
      </c>
      <c r="O463" s="2" t="s">
        <v>38</v>
      </c>
      <c r="P463" s="2" t="s">
        <v>38</v>
      </c>
      <c r="Q463" s="2" t="s">
        <v>38</v>
      </c>
      <c r="R463" s="2" t="s">
        <v>38</v>
      </c>
      <c r="S463" s="2" t="s">
        <v>38</v>
      </c>
      <c r="T463" s="2" t="s">
        <v>39</v>
      </c>
      <c r="U463" s="2" t="s">
        <v>38</v>
      </c>
      <c r="V463" s="2" t="s">
        <v>38</v>
      </c>
      <c r="W463" s="2" t="s">
        <v>38</v>
      </c>
      <c r="X463" s="2" t="s">
        <v>38</v>
      </c>
      <c r="Y463" s="2" t="s">
        <v>38</v>
      </c>
      <c r="Z463" s="2" t="s">
        <v>38</v>
      </c>
      <c r="AA463" s="2" t="s">
        <v>38</v>
      </c>
      <c r="AB463" s="2" t="s">
        <v>38</v>
      </c>
      <c r="AC463" s="2" t="s">
        <v>38</v>
      </c>
      <c r="AD463" s="2" t="s">
        <v>38</v>
      </c>
      <c r="AE463" s="2" t="s">
        <v>38</v>
      </c>
    </row>
    <row r="464" spans="1:31" ht="409.5">
      <c r="A464" s="2">
        <v>2706822</v>
      </c>
      <c r="B464" s="2">
        <f>HYPERLINK("https://platform.v2.vetology.net/cases/2706822/screening-report/18?type=pdf&amp;v=v6&amp;scorecard=1&amp;secret_key=BX%25IJ%24%2F65ieZ%29f6", 2706822)</f>
        <v>2706822</v>
      </c>
      <c r="C464" s="2">
        <f>HYPERLINK("https://platform.v2.vetology.net/report/v/final/"&amp;2706822, 2706822)</f>
        <v>2706822</v>
      </c>
      <c r="D464" s="2" t="s">
        <v>1561</v>
      </c>
      <c r="E464" s="2" t="s">
        <v>1562</v>
      </c>
      <c r="F464" s="2" t="s">
        <v>81</v>
      </c>
      <c r="G464" s="2" t="s">
        <v>150</v>
      </c>
      <c r="H464" s="2" t="s">
        <v>1563</v>
      </c>
      <c r="I464" s="2" t="s">
        <v>1085</v>
      </c>
      <c r="J464" s="2" t="s">
        <v>518</v>
      </c>
      <c r="K464" s="2" t="s">
        <v>39</v>
      </c>
      <c r="L464" s="2" t="s">
        <v>39</v>
      </c>
      <c r="M464" s="2" t="s">
        <v>39</v>
      </c>
      <c r="N464" s="2" t="s">
        <v>39</v>
      </c>
      <c r="O464" s="2" t="s">
        <v>39</v>
      </c>
      <c r="P464" s="2" t="s">
        <v>39</v>
      </c>
      <c r="Q464" s="2" t="s">
        <v>39</v>
      </c>
      <c r="R464" s="2" t="s">
        <v>39</v>
      </c>
      <c r="S464" s="2" t="s">
        <v>39</v>
      </c>
      <c r="T464" s="2" t="s">
        <v>39</v>
      </c>
      <c r="U464" s="2" t="s">
        <v>39</v>
      </c>
      <c r="V464" s="2" t="s">
        <v>39</v>
      </c>
      <c r="W464" s="2" t="s">
        <v>39</v>
      </c>
      <c r="X464" s="2" t="s">
        <v>39</v>
      </c>
      <c r="Y464" s="2" t="s">
        <v>39</v>
      </c>
      <c r="Z464" s="2" t="s">
        <v>39</v>
      </c>
      <c r="AA464" s="2" t="s">
        <v>38</v>
      </c>
      <c r="AB464" s="2" t="s">
        <v>39</v>
      </c>
      <c r="AC464" s="2" t="s">
        <v>39</v>
      </c>
      <c r="AD464" s="2" t="s">
        <v>38</v>
      </c>
      <c r="AE464" s="2" t="s">
        <v>38</v>
      </c>
    </row>
    <row r="465" spans="1:31" ht="409.5">
      <c r="A465" s="2">
        <v>2706797</v>
      </c>
      <c r="B465" s="2">
        <f>HYPERLINK("https://platform.v2.vetology.net/cases/2706797/screening-report/18?type=pdf&amp;v=v6&amp;scorecard=1&amp;secret_key=BX%25IJ%24%2F65ieZ%29f6", 2706797)</f>
        <v>2706797</v>
      </c>
      <c r="C465" s="2">
        <f>HYPERLINK("https://platform.v2.vetology.net/report/v/final/"&amp;2706797, 2706797)</f>
        <v>2706797</v>
      </c>
      <c r="D465" s="2" t="s">
        <v>1564</v>
      </c>
      <c r="E465" s="2" t="s">
        <v>1565</v>
      </c>
      <c r="F465" s="2" t="s">
        <v>81</v>
      </c>
      <c r="G465" s="2" t="s">
        <v>82</v>
      </c>
      <c r="H465" s="2" t="s">
        <v>822</v>
      </c>
      <c r="I465" s="2" t="s">
        <v>36</v>
      </c>
      <c r="J465" s="2" t="s">
        <v>37</v>
      </c>
      <c r="K465" s="2" t="s">
        <v>38</v>
      </c>
      <c r="L465" s="2" t="s">
        <v>38</v>
      </c>
      <c r="M465" s="2" t="s">
        <v>39</v>
      </c>
      <c r="N465" s="2" t="s">
        <v>38</v>
      </c>
      <c r="O465" s="2" t="s">
        <v>38</v>
      </c>
      <c r="P465" s="2" t="s">
        <v>38</v>
      </c>
      <c r="Q465" s="2" t="s">
        <v>38</v>
      </c>
      <c r="R465" s="2" t="s">
        <v>38</v>
      </c>
      <c r="S465" s="2" t="s">
        <v>38</v>
      </c>
      <c r="T465" s="2" t="s">
        <v>38</v>
      </c>
      <c r="U465" s="2" t="s">
        <v>38</v>
      </c>
      <c r="V465" s="2" t="s">
        <v>38</v>
      </c>
      <c r="W465" s="2" t="s">
        <v>38</v>
      </c>
      <c r="X465" s="2" t="s">
        <v>38</v>
      </c>
      <c r="Y465" s="2" t="s">
        <v>38</v>
      </c>
      <c r="Z465" s="2" t="s">
        <v>38</v>
      </c>
      <c r="AA465" s="2" t="s">
        <v>38</v>
      </c>
      <c r="AB465" s="2" t="s">
        <v>38</v>
      </c>
      <c r="AC465" s="2" t="s">
        <v>38</v>
      </c>
      <c r="AD465" s="2" t="s">
        <v>38</v>
      </c>
      <c r="AE465" s="2" t="s">
        <v>38</v>
      </c>
    </row>
    <row r="466" spans="1:31" ht="409.5">
      <c r="A466" s="2">
        <v>2706664</v>
      </c>
      <c r="B466" s="2">
        <f>HYPERLINK("https://platform.v2.vetology.net/cases/2706664/screening-report/18?type=pdf&amp;v=v6&amp;scorecard=1&amp;secret_key=BX%25IJ%24%2F65ieZ%29f6", 2706664)</f>
        <v>2706664</v>
      </c>
      <c r="C466" s="2">
        <f>HYPERLINK("https://platform.v2.vetology.net/report/v/final/"&amp;2706664, 2706664)</f>
        <v>2706664</v>
      </c>
      <c r="D466" s="2" t="s">
        <v>1566</v>
      </c>
      <c r="E466" s="2" t="s">
        <v>1567</v>
      </c>
      <c r="F466" s="2" t="s">
        <v>1568</v>
      </c>
      <c r="G466" s="2" t="s">
        <v>34</v>
      </c>
      <c r="H466" s="2" t="s">
        <v>607</v>
      </c>
      <c r="I466" s="2" t="s">
        <v>137</v>
      </c>
      <c r="J466" s="2" t="s">
        <v>66</v>
      </c>
      <c r="K466" s="2" t="s">
        <v>38</v>
      </c>
      <c r="L466" s="2" t="s">
        <v>39</v>
      </c>
      <c r="M466" s="2" t="s">
        <v>38</v>
      </c>
      <c r="N466" s="2" t="s">
        <v>38</v>
      </c>
      <c r="O466" s="2" t="s">
        <v>38</v>
      </c>
      <c r="P466" s="2" t="s">
        <v>39</v>
      </c>
      <c r="Q466" s="2" t="s">
        <v>39</v>
      </c>
      <c r="R466" s="2" t="s">
        <v>38</v>
      </c>
      <c r="S466" s="2" t="s">
        <v>38</v>
      </c>
      <c r="T466" s="2" t="s">
        <v>38</v>
      </c>
      <c r="U466" s="2" t="s">
        <v>38</v>
      </c>
      <c r="V466" s="2" t="s">
        <v>38</v>
      </c>
      <c r="W466" s="2" t="s">
        <v>38</v>
      </c>
      <c r="X466" s="2" t="s">
        <v>38</v>
      </c>
      <c r="Y466" s="2" t="s">
        <v>38</v>
      </c>
      <c r="Z466" s="2" t="s">
        <v>38</v>
      </c>
      <c r="AA466" s="2" t="s">
        <v>38</v>
      </c>
      <c r="AB466" s="2" t="s">
        <v>39</v>
      </c>
      <c r="AC466" s="2" t="s">
        <v>38</v>
      </c>
      <c r="AD466" s="2" t="s">
        <v>38</v>
      </c>
      <c r="AE466" s="2" t="s">
        <v>38</v>
      </c>
    </row>
    <row r="467" spans="1:31" ht="409.5">
      <c r="A467" s="2">
        <v>2706593</v>
      </c>
      <c r="B467" s="2">
        <f>HYPERLINK("https://platform.v2.vetology.net/cases/2706593/screening-report/18?type=pdf&amp;v=v6&amp;scorecard=1&amp;secret_key=BX%25IJ%24%2F65ieZ%29f6", 2706593)</f>
        <v>2706593</v>
      </c>
      <c r="C467" s="2">
        <f>HYPERLINK("https://platform.v2.vetology.net/report/v/final/"&amp;2706593, 2706593)</f>
        <v>2706593</v>
      </c>
      <c r="D467" s="2" t="s">
        <v>1569</v>
      </c>
      <c r="E467" s="2" t="s">
        <v>1570</v>
      </c>
      <c r="F467" s="2" t="s">
        <v>1571</v>
      </c>
      <c r="G467" s="2" t="s">
        <v>135</v>
      </c>
      <c r="H467" s="2" t="s">
        <v>1572</v>
      </c>
      <c r="I467" s="2" t="s">
        <v>988</v>
      </c>
      <c r="J467" s="2" t="s">
        <v>989</v>
      </c>
      <c r="K467" s="2" t="s">
        <v>39</v>
      </c>
      <c r="L467" s="2" t="s">
        <v>39</v>
      </c>
      <c r="M467" s="2" t="s">
        <v>39</v>
      </c>
      <c r="N467" s="2" t="s">
        <v>39</v>
      </c>
      <c r="O467" s="2" t="s">
        <v>39</v>
      </c>
      <c r="P467" s="2" t="s">
        <v>39</v>
      </c>
      <c r="Q467" s="2" t="s">
        <v>39</v>
      </c>
      <c r="R467" s="2" t="s">
        <v>39</v>
      </c>
      <c r="S467" s="2" t="s">
        <v>39</v>
      </c>
      <c r="T467" s="2" t="s">
        <v>39</v>
      </c>
      <c r="U467" s="2" t="s">
        <v>39</v>
      </c>
      <c r="V467" s="2" t="s">
        <v>38</v>
      </c>
      <c r="W467" s="2" t="s">
        <v>39</v>
      </c>
      <c r="X467" s="2" t="s">
        <v>39</v>
      </c>
      <c r="Y467" s="2" t="s">
        <v>39</v>
      </c>
      <c r="Z467" s="2" t="s">
        <v>39</v>
      </c>
      <c r="AA467" s="2" t="s">
        <v>39</v>
      </c>
      <c r="AB467" s="2" t="s">
        <v>39</v>
      </c>
      <c r="AC467" s="2" t="s">
        <v>39</v>
      </c>
      <c r="AD467" s="2" t="s">
        <v>38</v>
      </c>
      <c r="AE467" s="2" t="s">
        <v>39</v>
      </c>
    </row>
    <row r="468" spans="1:31" ht="409.5">
      <c r="A468" s="2">
        <v>2706569</v>
      </c>
      <c r="B468" s="2">
        <f>HYPERLINK("https://platform.v2.vetology.net/cases/2706569/screening-report/18?type=pdf&amp;v=v6&amp;scorecard=1&amp;secret_key=BX%25IJ%24%2F65ieZ%29f6", 2706569)</f>
        <v>2706569</v>
      </c>
      <c r="C468" s="2">
        <f>HYPERLINK("https://platform.v2.vetology.net/report/v/final/"&amp;2706569, 2706569)</f>
        <v>2706569</v>
      </c>
      <c r="D468" s="2" t="s">
        <v>1573</v>
      </c>
      <c r="E468" s="2" t="s">
        <v>1574</v>
      </c>
      <c r="F468" s="2" t="s">
        <v>1208</v>
      </c>
      <c r="G468" s="2" t="s">
        <v>58</v>
      </c>
      <c r="H468" s="2" t="s">
        <v>1575</v>
      </c>
      <c r="I468" s="2" t="s">
        <v>1468</v>
      </c>
      <c r="J468" s="2" t="s">
        <v>1469</v>
      </c>
      <c r="K468" s="2" t="s">
        <v>38</v>
      </c>
      <c r="L468" s="2" t="s">
        <v>39</v>
      </c>
      <c r="M468" s="2" t="s">
        <v>39</v>
      </c>
      <c r="N468" s="2" t="s">
        <v>38</v>
      </c>
      <c r="O468" s="2" t="s">
        <v>38</v>
      </c>
      <c r="P468" s="2" t="s">
        <v>38</v>
      </c>
      <c r="Q468" s="2" t="s">
        <v>39</v>
      </c>
      <c r="R468" s="2" t="s">
        <v>38</v>
      </c>
      <c r="S468" s="2" t="s">
        <v>38</v>
      </c>
      <c r="T468" s="2" t="s">
        <v>38</v>
      </c>
      <c r="U468" s="2" t="s">
        <v>39</v>
      </c>
      <c r="V468" s="2" t="s">
        <v>38</v>
      </c>
      <c r="W468" s="2" t="s">
        <v>38</v>
      </c>
      <c r="X468" s="2" t="s">
        <v>38</v>
      </c>
      <c r="Y468" s="2" t="s">
        <v>38</v>
      </c>
      <c r="Z468" s="2" t="s">
        <v>38</v>
      </c>
      <c r="AA468" s="2" t="s">
        <v>38</v>
      </c>
      <c r="AB468" s="2" t="s">
        <v>39</v>
      </c>
      <c r="AC468" s="2" t="s">
        <v>39</v>
      </c>
      <c r="AD468" s="2" t="s">
        <v>38</v>
      </c>
      <c r="AE468" s="2" t="s">
        <v>38</v>
      </c>
    </row>
    <row r="469" spans="1:31" ht="409.5">
      <c r="A469" s="2">
        <v>2706497</v>
      </c>
      <c r="B469" s="2">
        <f>HYPERLINK("https://platform.v2.vetology.net/cases/2706497/screening-report/18?type=pdf&amp;v=v6&amp;scorecard=1&amp;secret_key=BX%25IJ%24%2F65ieZ%29f6", 2706497)</f>
        <v>2706497</v>
      </c>
      <c r="C469" s="2">
        <f>HYPERLINK("https://platform.v2.vetology.net/report/v/final/"&amp;2706497, 2706497)</f>
        <v>2706497</v>
      </c>
      <c r="D469" s="2" t="s">
        <v>1576</v>
      </c>
      <c r="E469" s="2" t="s">
        <v>874</v>
      </c>
      <c r="F469" s="2" t="s">
        <v>81</v>
      </c>
      <c r="G469" s="2" t="s">
        <v>82</v>
      </c>
      <c r="H469" s="2" t="s">
        <v>1577</v>
      </c>
      <c r="I469" s="2" t="s">
        <v>89</v>
      </c>
      <c r="J469" s="2" t="s">
        <v>66</v>
      </c>
      <c r="K469" s="2" t="s">
        <v>38</v>
      </c>
      <c r="L469" s="2" t="s">
        <v>39</v>
      </c>
      <c r="M469" s="2" t="s">
        <v>38</v>
      </c>
      <c r="N469" s="2" t="s">
        <v>38</v>
      </c>
      <c r="O469" s="2" t="s">
        <v>38</v>
      </c>
      <c r="P469" s="2" t="s">
        <v>38</v>
      </c>
      <c r="Q469" s="2" t="s">
        <v>38</v>
      </c>
      <c r="R469" s="2" t="s">
        <v>38</v>
      </c>
      <c r="S469" s="2" t="s">
        <v>38</v>
      </c>
      <c r="T469" s="2" t="s">
        <v>38</v>
      </c>
      <c r="U469" s="2" t="s">
        <v>38</v>
      </c>
      <c r="V469" s="2" t="s">
        <v>38</v>
      </c>
      <c r="W469" s="2" t="s">
        <v>38</v>
      </c>
      <c r="X469" s="2" t="s">
        <v>38</v>
      </c>
      <c r="Y469" s="2" t="s">
        <v>38</v>
      </c>
      <c r="Z469" s="2" t="s">
        <v>38</v>
      </c>
      <c r="AA469" s="2" t="s">
        <v>38</v>
      </c>
      <c r="AB469" s="2" t="s">
        <v>39</v>
      </c>
      <c r="AC469" s="2" t="s">
        <v>39</v>
      </c>
      <c r="AD469" s="2" t="s">
        <v>38</v>
      </c>
      <c r="AE469" s="2" t="s">
        <v>39</v>
      </c>
    </row>
    <row r="470" spans="1:31" ht="409.5">
      <c r="A470" s="2">
        <v>2706394</v>
      </c>
      <c r="B470" s="2">
        <f>HYPERLINK("https://platform.v2.vetology.net/cases/2706394/screening-report/18?type=pdf&amp;v=v6&amp;scorecard=1&amp;secret_key=BX%25IJ%24%2F65ieZ%29f6", 2706394)</f>
        <v>2706394</v>
      </c>
      <c r="C470" s="2">
        <f>HYPERLINK("https://platform.v2.vetology.net/report/v/final/"&amp;2706394, 2706394)</f>
        <v>2706394</v>
      </c>
      <c r="D470" s="2" t="s">
        <v>1578</v>
      </c>
      <c r="E470" s="2" t="s">
        <v>1579</v>
      </c>
      <c r="F470" s="2" t="s">
        <v>1580</v>
      </c>
      <c r="G470" s="2" t="s">
        <v>575</v>
      </c>
      <c r="H470" s="2" t="s">
        <v>320</v>
      </c>
      <c r="I470" s="2" t="s">
        <v>321</v>
      </c>
      <c r="J470" s="2" t="s">
        <v>66</v>
      </c>
      <c r="K470" s="2" t="s">
        <v>38</v>
      </c>
      <c r="L470" s="2" t="s">
        <v>39</v>
      </c>
      <c r="M470" s="2" t="s">
        <v>38</v>
      </c>
      <c r="N470" s="2" t="s">
        <v>38</v>
      </c>
      <c r="O470" s="2" t="s">
        <v>39</v>
      </c>
      <c r="P470" s="2" t="s">
        <v>38</v>
      </c>
      <c r="Q470" s="2" t="s">
        <v>38</v>
      </c>
      <c r="R470" s="2" t="s">
        <v>38</v>
      </c>
      <c r="S470" s="2" t="s">
        <v>38</v>
      </c>
      <c r="T470" s="2" t="s">
        <v>38</v>
      </c>
      <c r="U470" s="2" t="s">
        <v>38</v>
      </c>
      <c r="V470" s="2" t="s">
        <v>38</v>
      </c>
      <c r="W470" s="2" t="s">
        <v>38</v>
      </c>
      <c r="X470" s="2" t="s">
        <v>38</v>
      </c>
      <c r="Y470" s="2" t="s">
        <v>38</v>
      </c>
      <c r="Z470" s="2" t="s">
        <v>38</v>
      </c>
      <c r="AA470" s="2" t="s">
        <v>38</v>
      </c>
      <c r="AB470" s="2" t="s">
        <v>38</v>
      </c>
      <c r="AC470" s="2" t="s">
        <v>38</v>
      </c>
      <c r="AD470" s="2" t="s">
        <v>38</v>
      </c>
      <c r="AE470" s="2" t="s">
        <v>39</v>
      </c>
    </row>
    <row r="471" spans="1:31" ht="409.5">
      <c r="A471" s="2">
        <v>2706182</v>
      </c>
      <c r="B471" s="2">
        <f>HYPERLINK("https://platform.v2.vetology.net/cases/2706182/screening-report/18?type=pdf&amp;v=v6&amp;scorecard=1&amp;secret_key=BX%25IJ%24%2F65ieZ%29f6", 2706182)</f>
        <v>2706182</v>
      </c>
      <c r="C471" s="2">
        <f>HYPERLINK("https://platform.v2.vetology.net/report/v/final/"&amp;2706182, 2706182)</f>
        <v>2706182</v>
      </c>
      <c r="D471" s="2" t="s">
        <v>1581</v>
      </c>
      <c r="E471" s="2" t="s">
        <v>1582</v>
      </c>
      <c r="F471" s="2" t="s">
        <v>81</v>
      </c>
      <c r="G471" s="2" t="s">
        <v>82</v>
      </c>
      <c r="H471" s="2" t="s">
        <v>105</v>
      </c>
      <c r="I471" s="2" t="s">
        <v>44</v>
      </c>
      <c r="J471" s="2" t="s">
        <v>106</v>
      </c>
      <c r="K471" s="2" t="s">
        <v>38</v>
      </c>
      <c r="L471" s="2" t="s">
        <v>38</v>
      </c>
      <c r="M471" s="2" t="s">
        <v>38</v>
      </c>
      <c r="N471" s="2" t="s">
        <v>38</v>
      </c>
      <c r="O471" s="2" t="s">
        <v>38</v>
      </c>
      <c r="P471" s="2" t="s">
        <v>38</v>
      </c>
      <c r="Q471" s="2" t="s">
        <v>38</v>
      </c>
      <c r="R471" s="2" t="s">
        <v>38</v>
      </c>
      <c r="S471" s="2" t="s">
        <v>38</v>
      </c>
      <c r="T471" s="2" t="s">
        <v>38</v>
      </c>
      <c r="U471" s="2" t="s">
        <v>38</v>
      </c>
      <c r="V471" s="2" t="s">
        <v>38</v>
      </c>
      <c r="W471" s="2" t="s">
        <v>38</v>
      </c>
      <c r="X471" s="2" t="s">
        <v>38</v>
      </c>
      <c r="Y471" s="2" t="s">
        <v>38</v>
      </c>
      <c r="Z471" s="2" t="s">
        <v>38</v>
      </c>
      <c r="AA471" s="2" t="s">
        <v>38</v>
      </c>
      <c r="AB471" s="2" t="s">
        <v>39</v>
      </c>
      <c r="AC471" s="2" t="s">
        <v>38</v>
      </c>
      <c r="AD471" s="2" t="s">
        <v>38</v>
      </c>
      <c r="AE471" s="2" t="s">
        <v>38</v>
      </c>
    </row>
    <row r="472" spans="1:31" ht="409.5">
      <c r="A472" s="2">
        <v>2706121</v>
      </c>
      <c r="B472" s="2">
        <f>HYPERLINK("https://platform.v2.vetology.net/cases/2706121/screening-report/18?type=pdf&amp;v=v6&amp;scorecard=1&amp;secret_key=BX%25IJ%24%2F65ieZ%29f6", 2706121)</f>
        <v>2706121</v>
      </c>
      <c r="C472" s="2">
        <f>HYPERLINK("https://platform.v2.vetology.net/report/v/final/"&amp;2706121, 2706121)</f>
        <v>2706121</v>
      </c>
      <c r="D472" s="2" t="s">
        <v>1583</v>
      </c>
      <c r="E472" s="2" t="s">
        <v>1584</v>
      </c>
      <c r="F472" s="2" t="s">
        <v>919</v>
      </c>
      <c r="G472" s="2" t="s">
        <v>58</v>
      </c>
      <c r="H472" s="2" t="s">
        <v>1585</v>
      </c>
      <c r="I472" s="2" t="s">
        <v>418</v>
      </c>
      <c r="J472" s="2" t="s">
        <v>419</v>
      </c>
      <c r="K472" s="2" t="s">
        <v>39</v>
      </c>
      <c r="L472" s="2" t="s">
        <v>38</v>
      </c>
      <c r="M472" s="2" t="s">
        <v>39</v>
      </c>
      <c r="N472" s="2" t="s">
        <v>38</v>
      </c>
      <c r="O472" s="2" t="s">
        <v>38</v>
      </c>
      <c r="P472" s="2" t="s">
        <v>38</v>
      </c>
      <c r="Q472" s="2" t="s">
        <v>38</v>
      </c>
      <c r="R472" s="2" t="s">
        <v>38</v>
      </c>
      <c r="S472" s="2" t="s">
        <v>39</v>
      </c>
      <c r="T472" s="2" t="s">
        <v>39</v>
      </c>
      <c r="U472" s="2" t="s">
        <v>39</v>
      </c>
      <c r="V472" s="2" t="s">
        <v>39</v>
      </c>
      <c r="W472" s="2" t="s">
        <v>38</v>
      </c>
      <c r="X472" s="2" t="s">
        <v>39</v>
      </c>
      <c r="Y472" s="2" t="s">
        <v>38</v>
      </c>
      <c r="Z472" s="2" t="s">
        <v>39</v>
      </c>
      <c r="AA472" s="2" t="s">
        <v>38</v>
      </c>
      <c r="AB472" s="2" t="s">
        <v>38</v>
      </c>
      <c r="AC472" s="2" t="s">
        <v>39</v>
      </c>
      <c r="AD472" s="2" t="s">
        <v>38</v>
      </c>
      <c r="AE472" s="2" t="s">
        <v>38</v>
      </c>
    </row>
    <row r="473" spans="1:31" ht="409.5">
      <c r="A473" s="2">
        <v>2706071</v>
      </c>
      <c r="B473" s="2">
        <f>HYPERLINK("https://platform.v2.vetology.net/cases/2706071/screening-report/18?type=pdf&amp;v=v6&amp;scorecard=1&amp;secret_key=BX%25IJ%24%2F65ieZ%29f6", 2706071)</f>
        <v>2706071</v>
      </c>
      <c r="C473" s="2">
        <f>HYPERLINK("https://platform.v2.vetology.net/report/v/final/"&amp;2706071, 2706071)</f>
        <v>2706071</v>
      </c>
      <c r="D473" s="2" t="s">
        <v>1586</v>
      </c>
      <c r="E473" s="2" t="s">
        <v>1587</v>
      </c>
      <c r="F473" s="2" t="s">
        <v>1588</v>
      </c>
      <c r="G473" s="2" t="s">
        <v>63</v>
      </c>
      <c r="H473" s="2" t="s">
        <v>78</v>
      </c>
      <c r="I473" s="2" t="s">
        <v>199</v>
      </c>
      <c r="J473" s="2"/>
      <c r="K473" s="2" t="s">
        <v>38</v>
      </c>
      <c r="L473" s="2" t="s">
        <v>39</v>
      </c>
      <c r="M473" s="2" t="s">
        <v>38</v>
      </c>
      <c r="N473" s="2" t="s">
        <v>38</v>
      </c>
      <c r="O473" s="2" t="s">
        <v>38</v>
      </c>
      <c r="P473" s="2" t="s">
        <v>38</v>
      </c>
      <c r="Q473" s="2" t="s">
        <v>38</v>
      </c>
      <c r="R473" s="2" t="s">
        <v>38</v>
      </c>
      <c r="S473" s="2" t="s">
        <v>38</v>
      </c>
      <c r="T473" s="2" t="s">
        <v>39</v>
      </c>
      <c r="U473" s="2" t="s">
        <v>38</v>
      </c>
      <c r="V473" s="2" t="s">
        <v>38</v>
      </c>
      <c r="W473" s="2" t="s">
        <v>38</v>
      </c>
      <c r="X473" s="2" t="s">
        <v>38</v>
      </c>
      <c r="Y473" s="2" t="s">
        <v>38</v>
      </c>
      <c r="Z473" s="2" t="s">
        <v>39</v>
      </c>
      <c r="AA473" s="2" t="s">
        <v>38</v>
      </c>
      <c r="AB473" s="2" t="s">
        <v>39</v>
      </c>
      <c r="AC473" s="2" t="s">
        <v>39</v>
      </c>
      <c r="AD473" s="2" t="s">
        <v>38</v>
      </c>
      <c r="AE473" s="2" t="s">
        <v>38</v>
      </c>
    </row>
    <row r="474" spans="1:31" ht="409.5">
      <c r="A474" s="2">
        <v>2706060</v>
      </c>
      <c r="B474" s="2">
        <f>HYPERLINK("https://platform.v2.vetology.net/cases/2706060/screening-report/18?type=pdf&amp;v=v6&amp;scorecard=1&amp;secret_key=BX%25IJ%24%2F65ieZ%29f6", 2706060)</f>
        <v>2706060</v>
      </c>
      <c r="C474" s="2">
        <f>HYPERLINK("https://platform.v2.vetology.net/report/v/final/"&amp;2706060, 2706060)</f>
        <v>2706060</v>
      </c>
      <c r="D474" s="2" t="s">
        <v>1589</v>
      </c>
      <c r="E474" s="2" t="s">
        <v>1590</v>
      </c>
      <c r="F474" s="2" t="s">
        <v>149</v>
      </c>
      <c r="G474" s="2" t="s">
        <v>150</v>
      </c>
      <c r="H474" s="2" t="s">
        <v>78</v>
      </c>
      <c r="I474" s="2" t="s">
        <v>44</v>
      </c>
      <c r="J474" s="2"/>
      <c r="K474" s="2" t="s">
        <v>38</v>
      </c>
      <c r="L474" s="2" t="s">
        <v>38</v>
      </c>
      <c r="M474" s="2" t="s">
        <v>39</v>
      </c>
      <c r="N474" s="2" t="s">
        <v>38</v>
      </c>
      <c r="O474" s="2" t="s">
        <v>38</v>
      </c>
      <c r="P474" s="2" t="s">
        <v>38</v>
      </c>
      <c r="Q474" s="2" t="s">
        <v>38</v>
      </c>
      <c r="R474" s="2" t="s">
        <v>38</v>
      </c>
      <c r="S474" s="2" t="s">
        <v>39</v>
      </c>
      <c r="T474" s="2" t="s">
        <v>39</v>
      </c>
      <c r="U474" s="2" t="s">
        <v>38</v>
      </c>
      <c r="V474" s="2" t="s">
        <v>39</v>
      </c>
      <c r="W474" s="2" t="s">
        <v>38</v>
      </c>
      <c r="X474" s="2" t="s">
        <v>39</v>
      </c>
      <c r="Y474" s="2" t="s">
        <v>38</v>
      </c>
      <c r="Z474" s="2" t="s">
        <v>39</v>
      </c>
      <c r="AA474" s="2" t="s">
        <v>38</v>
      </c>
      <c r="AB474" s="2" t="s">
        <v>39</v>
      </c>
      <c r="AC474" s="2" t="s">
        <v>38</v>
      </c>
      <c r="AD474" s="2" t="s">
        <v>38</v>
      </c>
      <c r="AE474" s="2" t="s">
        <v>38</v>
      </c>
    </row>
    <row r="475" spans="1:31" ht="409.5">
      <c r="A475" s="2">
        <v>2705988</v>
      </c>
      <c r="B475" s="2">
        <f>HYPERLINK("https://platform.v2.vetology.net/cases/2705988/screening-report/18?type=pdf&amp;v=v6&amp;scorecard=1&amp;secret_key=BX%25IJ%24%2F65ieZ%29f6", 2705988)</f>
        <v>2705988</v>
      </c>
      <c r="C475" s="2">
        <f>HYPERLINK("https://platform.v2.vetology.net/report/v/final/"&amp;2705988, 2705988)</f>
        <v>2705988</v>
      </c>
      <c r="D475" s="2" t="s">
        <v>1591</v>
      </c>
      <c r="E475" s="2" t="s">
        <v>1592</v>
      </c>
      <c r="F475" s="2" t="s">
        <v>1593</v>
      </c>
      <c r="G475" s="2" t="s">
        <v>63</v>
      </c>
      <c r="H475" s="2" t="s">
        <v>88</v>
      </c>
      <c r="I475" s="2" t="s">
        <v>89</v>
      </c>
      <c r="J475" s="2" t="s">
        <v>66</v>
      </c>
      <c r="K475" s="2" t="s">
        <v>38</v>
      </c>
      <c r="L475" s="2" t="s">
        <v>38</v>
      </c>
      <c r="M475" s="2" t="s">
        <v>38</v>
      </c>
      <c r="N475" s="2" t="s">
        <v>38</v>
      </c>
      <c r="O475" s="2" t="s">
        <v>38</v>
      </c>
      <c r="P475" s="2" t="s">
        <v>38</v>
      </c>
      <c r="Q475" s="2" t="s">
        <v>38</v>
      </c>
      <c r="R475" s="2" t="s">
        <v>38</v>
      </c>
      <c r="S475" s="2" t="s">
        <v>38</v>
      </c>
      <c r="T475" s="2" t="s">
        <v>39</v>
      </c>
      <c r="U475" s="2" t="s">
        <v>38</v>
      </c>
      <c r="V475" s="2" t="s">
        <v>38</v>
      </c>
      <c r="W475" s="2" t="s">
        <v>38</v>
      </c>
      <c r="X475" s="2" t="s">
        <v>38</v>
      </c>
      <c r="Y475" s="2" t="s">
        <v>38</v>
      </c>
      <c r="Z475" s="2" t="s">
        <v>38</v>
      </c>
      <c r="AA475" s="2" t="s">
        <v>38</v>
      </c>
      <c r="AB475" s="2" t="s">
        <v>38</v>
      </c>
      <c r="AC475" s="2" t="s">
        <v>38</v>
      </c>
      <c r="AD475" s="2" t="s">
        <v>38</v>
      </c>
      <c r="AE475" s="2" t="s">
        <v>39</v>
      </c>
    </row>
    <row r="476" spans="1:31" ht="409.5">
      <c r="A476" s="2">
        <v>2705958</v>
      </c>
      <c r="B476" s="2">
        <f>HYPERLINK("https://platform.v2.vetology.net/cases/2705958/screening-report/18?type=pdf&amp;v=v6&amp;scorecard=1&amp;secret_key=BX%25IJ%24%2F65ieZ%29f6", 2705958)</f>
        <v>2705958</v>
      </c>
      <c r="C476" s="2">
        <f>HYPERLINK("https://platform.v2.vetology.net/report/v/final/"&amp;2705958, 2705958)</f>
        <v>2705958</v>
      </c>
      <c r="D476" s="2" t="s">
        <v>1594</v>
      </c>
      <c r="E476" s="2" t="s">
        <v>1595</v>
      </c>
      <c r="F476" s="2" t="s">
        <v>1596</v>
      </c>
      <c r="G476" s="2" t="s">
        <v>93</v>
      </c>
      <c r="H476" s="2" t="s">
        <v>78</v>
      </c>
      <c r="I476" s="2" t="s">
        <v>44</v>
      </c>
      <c r="J476" s="2"/>
      <c r="K476" s="2" t="s">
        <v>38</v>
      </c>
      <c r="L476" s="2" t="s">
        <v>39</v>
      </c>
      <c r="M476" s="2" t="s">
        <v>39</v>
      </c>
      <c r="N476" s="2" t="s">
        <v>38</v>
      </c>
      <c r="O476" s="2" t="s">
        <v>38</v>
      </c>
      <c r="P476" s="2" t="s">
        <v>38</v>
      </c>
      <c r="Q476" s="2" t="s">
        <v>38</v>
      </c>
      <c r="R476" s="2" t="s">
        <v>38</v>
      </c>
      <c r="S476" s="2" t="s">
        <v>38</v>
      </c>
      <c r="T476" s="2" t="s">
        <v>39</v>
      </c>
      <c r="U476" s="2" t="s">
        <v>38</v>
      </c>
      <c r="V476" s="2" t="s">
        <v>39</v>
      </c>
      <c r="W476" s="2" t="s">
        <v>38</v>
      </c>
      <c r="X476" s="2" t="s">
        <v>39</v>
      </c>
      <c r="Y476" s="2" t="s">
        <v>38</v>
      </c>
      <c r="Z476" s="2" t="s">
        <v>38</v>
      </c>
      <c r="AA476" s="2" t="s">
        <v>38</v>
      </c>
      <c r="AB476" s="2" t="s">
        <v>38</v>
      </c>
      <c r="AC476" s="2" t="s">
        <v>38</v>
      </c>
      <c r="AD476" s="2" t="s">
        <v>38</v>
      </c>
      <c r="AE476" s="2" t="s">
        <v>38</v>
      </c>
    </row>
    <row r="477" spans="1:31" ht="409.5">
      <c r="A477" s="2">
        <v>2705895</v>
      </c>
      <c r="B477" s="2">
        <f>HYPERLINK("https://platform.v2.vetology.net/cases/2705895/screening-report/18?type=pdf&amp;v=v6&amp;scorecard=1&amp;secret_key=BX%25IJ%24%2F65ieZ%29f6", 2705895)</f>
        <v>2705895</v>
      </c>
      <c r="C477" s="2">
        <f>HYPERLINK("https://platform.v2.vetology.net/report/v/final/"&amp;2705895, 2705895)</f>
        <v>2705895</v>
      </c>
      <c r="D477" s="2" t="s">
        <v>1597</v>
      </c>
      <c r="E477" s="2" t="s">
        <v>1598</v>
      </c>
      <c r="F477" s="2" t="s">
        <v>919</v>
      </c>
      <c r="G477" s="2" t="s">
        <v>58</v>
      </c>
      <c r="H477" s="2" t="s">
        <v>733</v>
      </c>
      <c r="I477" s="2" t="s">
        <v>158</v>
      </c>
      <c r="J477" s="2" t="s">
        <v>50</v>
      </c>
      <c r="K477" s="2" t="s">
        <v>38</v>
      </c>
      <c r="L477" s="2" t="s">
        <v>39</v>
      </c>
      <c r="M477" s="2" t="s">
        <v>38</v>
      </c>
      <c r="N477" s="2" t="s">
        <v>39</v>
      </c>
      <c r="O477" s="2" t="s">
        <v>38</v>
      </c>
      <c r="P477" s="2" t="s">
        <v>39</v>
      </c>
      <c r="Q477" s="2" t="s">
        <v>38</v>
      </c>
      <c r="R477" s="2" t="s">
        <v>38</v>
      </c>
      <c r="S477" s="2" t="s">
        <v>38</v>
      </c>
      <c r="T477" s="2" t="s">
        <v>38</v>
      </c>
      <c r="U477" s="2" t="s">
        <v>39</v>
      </c>
      <c r="V477" s="2" t="s">
        <v>38</v>
      </c>
      <c r="W477" s="2" t="s">
        <v>38</v>
      </c>
      <c r="X477" s="2" t="s">
        <v>38</v>
      </c>
      <c r="Y477" s="2" t="s">
        <v>38</v>
      </c>
      <c r="Z477" s="2" t="s">
        <v>39</v>
      </c>
      <c r="AA477" s="2" t="s">
        <v>38</v>
      </c>
      <c r="AB477" s="2" t="s">
        <v>38</v>
      </c>
      <c r="AC477" s="2" t="s">
        <v>39</v>
      </c>
      <c r="AD477" s="2" t="s">
        <v>38</v>
      </c>
      <c r="AE477" s="2" t="s">
        <v>38</v>
      </c>
    </row>
    <row r="478" spans="1:31" ht="409.5">
      <c r="A478" s="2">
        <v>2705852</v>
      </c>
      <c r="B478" s="2">
        <f>HYPERLINK("https://platform.v2.vetology.net/cases/2705852/screening-report/18?type=pdf&amp;v=v6&amp;scorecard=1&amp;secret_key=BX%25IJ%24%2F65ieZ%29f6", 2705852)</f>
        <v>2705852</v>
      </c>
      <c r="C478" s="2">
        <f>HYPERLINK("https://platform.v2.vetology.net/report/v/final/"&amp;2705852, 2705852)</f>
        <v>2705852</v>
      </c>
      <c r="D478" s="2" t="s">
        <v>1599</v>
      </c>
      <c r="E478" s="2" t="s">
        <v>198</v>
      </c>
      <c r="F478" s="2" t="s">
        <v>81</v>
      </c>
      <c r="G478" s="2" t="s">
        <v>150</v>
      </c>
      <c r="H478" s="2" t="s">
        <v>1600</v>
      </c>
      <c r="I478" s="2" t="s">
        <v>173</v>
      </c>
      <c r="J478" s="2" t="s">
        <v>174</v>
      </c>
      <c r="K478" s="2" t="s">
        <v>38</v>
      </c>
      <c r="L478" s="2" t="s">
        <v>39</v>
      </c>
      <c r="M478" s="2" t="s">
        <v>39</v>
      </c>
      <c r="N478" s="2" t="s">
        <v>38</v>
      </c>
      <c r="O478" s="2" t="s">
        <v>38</v>
      </c>
      <c r="P478" s="2" t="s">
        <v>38</v>
      </c>
      <c r="Q478" s="2" t="s">
        <v>38</v>
      </c>
      <c r="R478" s="2" t="s">
        <v>38</v>
      </c>
      <c r="S478" s="2" t="s">
        <v>38</v>
      </c>
      <c r="T478" s="2" t="s">
        <v>38</v>
      </c>
      <c r="U478" s="2" t="s">
        <v>38</v>
      </c>
      <c r="V478" s="2" t="s">
        <v>38</v>
      </c>
      <c r="W478" s="2" t="s">
        <v>38</v>
      </c>
      <c r="X478" s="2" t="s">
        <v>38</v>
      </c>
      <c r="Y478" s="2" t="s">
        <v>38</v>
      </c>
      <c r="Z478" s="2" t="s">
        <v>38</v>
      </c>
      <c r="AA478" s="2" t="s">
        <v>38</v>
      </c>
      <c r="AB478" s="2" t="s">
        <v>39</v>
      </c>
      <c r="AC478" s="2" t="s">
        <v>39</v>
      </c>
      <c r="AD478" s="2" t="s">
        <v>38</v>
      </c>
      <c r="AE478" s="2" t="s">
        <v>38</v>
      </c>
    </row>
    <row r="479" spans="1:31" ht="409.5">
      <c r="A479" s="2">
        <v>2705716</v>
      </c>
      <c r="B479" s="2">
        <f>HYPERLINK("https://platform.v2.vetology.net/cases/2705716/screening-report/18?type=pdf&amp;v=v6&amp;scorecard=1&amp;secret_key=BX%25IJ%24%2F65ieZ%29f6", 2705716)</f>
        <v>2705716</v>
      </c>
      <c r="C479" s="2">
        <f>HYPERLINK("https://platform.v2.vetology.net/report/v/final/"&amp;2705716, 2705716)</f>
        <v>2705716</v>
      </c>
      <c r="D479" s="2" t="s">
        <v>1601</v>
      </c>
      <c r="E479" s="2" t="s">
        <v>1602</v>
      </c>
      <c r="F479" s="2" t="s">
        <v>81</v>
      </c>
      <c r="G479" s="2" t="s">
        <v>82</v>
      </c>
      <c r="H479" s="2" t="s">
        <v>88</v>
      </c>
      <c r="I479" s="2" t="s">
        <v>89</v>
      </c>
      <c r="J479" s="2" t="s">
        <v>66</v>
      </c>
      <c r="K479" s="2" t="s">
        <v>38</v>
      </c>
      <c r="L479" s="2" t="s">
        <v>39</v>
      </c>
      <c r="M479" s="2" t="s">
        <v>38</v>
      </c>
      <c r="N479" s="2" t="s">
        <v>38</v>
      </c>
      <c r="O479" s="2" t="s">
        <v>38</v>
      </c>
      <c r="P479" s="2" t="s">
        <v>38</v>
      </c>
      <c r="Q479" s="2" t="s">
        <v>38</v>
      </c>
      <c r="R479" s="2" t="s">
        <v>38</v>
      </c>
      <c r="S479" s="2" t="s">
        <v>38</v>
      </c>
      <c r="T479" s="2" t="s">
        <v>38</v>
      </c>
      <c r="U479" s="2" t="s">
        <v>38</v>
      </c>
      <c r="V479" s="2" t="s">
        <v>38</v>
      </c>
      <c r="W479" s="2" t="s">
        <v>38</v>
      </c>
      <c r="X479" s="2" t="s">
        <v>38</v>
      </c>
      <c r="Y479" s="2" t="s">
        <v>38</v>
      </c>
      <c r="Z479" s="2" t="s">
        <v>38</v>
      </c>
      <c r="AA479" s="2" t="s">
        <v>38</v>
      </c>
      <c r="AB479" s="2" t="s">
        <v>39</v>
      </c>
      <c r="AC479" s="2" t="s">
        <v>39</v>
      </c>
      <c r="AD479" s="2" t="s">
        <v>38</v>
      </c>
      <c r="AE479" s="2" t="s">
        <v>39</v>
      </c>
    </row>
    <row r="480" spans="1:31" ht="409.5">
      <c r="A480" s="2">
        <v>2705675</v>
      </c>
      <c r="B480" s="2">
        <f>HYPERLINK("https://platform.v2.vetology.net/cases/2705675/screening-report/18?type=pdf&amp;v=v6&amp;scorecard=1&amp;secret_key=BX%25IJ%24%2F65ieZ%29f6", 2705675)</f>
        <v>2705675</v>
      </c>
      <c r="C480" s="2">
        <f>HYPERLINK("https://platform.v2.vetology.net/report/v/final/"&amp;2705675, 2705675)</f>
        <v>2705675</v>
      </c>
      <c r="D480" s="2" t="s">
        <v>1603</v>
      </c>
      <c r="E480" s="2" t="s">
        <v>1604</v>
      </c>
      <c r="F480" s="2" t="s">
        <v>81</v>
      </c>
      <c r="G480" s="2" t="s">
        <v>268</v>
      </c>
      <c r="H480" s="2" t="s">
        <v>78</v>
      </c>
      <c r="I480" s="2" t="s">
        <v>44</v>
      </c>
      <c r="J480" s="2"/>
      <c r="K480" s="2" t="s">
        <v>38</v>
      </c>
      <c r="L480" s="2" t="s">
        <v>38</v>
      </c>
      <c r="M480" s="2" t="s">
        <v>38</v>
      </c>
      <c r="N480" s="2" t="s">
        <v>38</v>
      </c>
      <c r="O480" s="2" t="s">
        <v>38</v>
      </c>
      <c r="P480" s="2" t="s">
        <v>38</v>
      </c>
      <c r="Q480" s="2" t="s">
        <v>39</v>
      </c>
      <c r="R480" s="2" t="s">
        <v>38</v>
      </c>
      <c r="S480" s="2" t="s">
        <v>38</v>
      </c>
      <c r="T480" s="2" t="s">
        <v>39</v>
      </c>
      <c r="U480" s="2" t="s">
        <v>38</v>
      </c>
      <c r="V480" s="2" t="s">
        <v>39</v>
      </c>
      <c r="W480" s="2" t="s">
        <v>38</v>
      </c>
      <c r="X480" s="2" t="s">
        <v>39</v>
      </c>
      <c r="Y480" s="2" t="s">
        <v>38</v>
      </c>
      <c r="Z480" s="2" t="s">
        <v>38</v>
      </c>
      <c r="AA480" s="2" t="s">
        <v>38</v>
      </c>
      <c r="AB480" s="2" t="s">
        <v>38</v>
      </c>
      <c r="AC480" s="2" t="s">
        <v>38</v>
      </c>
      <c r="AD480" s="2" t="s">
        <v>38</v>
      </c>
      <c r="AE480" s="2" t="s">
        <v>38</v>
      </c>
    </row>
    <row r="481" spans="1:31" ht="409.5">
      <c r="A481" s="2">
        <v>2705630</v>
      </c>
      <c r="B481" s="2">
        <f>HYPERLINK("https://platform.v2.vetology.net/cases/2705630/screening-report/18?type=pdf&amp;v=v6&amp;scorecard=1&amp;secret_key=BX%25IJ%24%2F65ieZ%29f6", 2705630)</f>
        <v>2705630</v>
      </c>
      <c r="C481" s="2">
        <f>HYPERLINK("https://platform.v2.vetology.net/report/v/final/"&amp;2705630, 2705630)</f>
        <v>2705630</v>
      </c>
      <c r="D481" s="2" t="s">
        <v>1605</v>
      </c>
      <c r="E481" s="2" t="s">
        <v>1606</v>
      </c>
      <c r="F481" s="2" t="s">
        <v>1607</v>
      </c>
      <c r="G481" s="2" t="s">
        <v>135</v>
      </c>
      <c r="H481" s="2" t="s">
        <v>1608</v>
      </c>
      <c r="I481" s="2" t="s">
        <v>84</v>
      </c>
      <c r="J481" s="2" t="s">
        <v>85</v>
      </c>
      <c r="K481" s="2" t="s">
        <v>38</v>
      </c>
      <c r="L481" s="2" t="s">
        <v>39</v>
      </c>
      <c r="M481" s="2" t="s">
        <v>38</v>
      </c>
      <c r="N481" s="2" t="s">
        <v>38</v>
      </c>
      <c r="O481" s="2" t="s">
        <v>38</v>
      </c>
      <c r="P481" s="2" t="s">
        <v>38</v>
      </c>
      <c r="Q481" s="2" t="s">
        <v>38</v>
      </c>
      <c r="R481" s="2" t="s">
        <v>38</v>
      </c>
      <c r="S481" s="2" t="s">
        <v>38</v>
      </c>
      <c r="T481" s="2" t="s">
        <v>38</v>
      </c>
      <c r="U481" s="2" t="s">
        <v>38</v>
      </c>
      <c r="V481" s="2" t="s">
        <v>38</v>
      </c>
      <c r="W481" s="2" t="s">
        <v>38</v>
      </c>
      <c r="X481" s="2" t="s">
        <v>38</v>
      </c>
      <c r="Y481" s="2" t="s">
        <v>38</v>
      </c>
      <c r="Z481" s="2" t="s">
        <v>38</v>
      </c>
      <c r="AA481" s="2" t="s">
        <v>38</v>
      </c>
      <c r="AB481" s="2" t="s">
        <v>39</v>
      </c>
      <c r="AC481" s="2" t="s">
        <v>39</v>
      </c>
      <c r="AD481" s="2" t="s">
        <v>38</v>
      </c>
      <c r="AE481" s="2" t="s">
        <v>38</v>
      </c>
    </row>
    <row r="482" spans="1:31" ht="409.5">
      <c r="A482" s="2">
        <v>2705572</v>
      </c>
      <c r="B482" s="2">
        <f>HYPERLINK("https://platform.v2.vetology.net/cases/2705572/screening-report/18?type=pdf&amp;v=v6&amp;scorecard=1&amp;secret_key=BX%25IJ%24%2F65ieZ%29f6", 2705572)</f>
        <v>2705572</v>
      </c>
      <c r="C482" s="2">
        <f>HYPERLINK("https://platform.v2.vetology.net/report/v/final/"&amp;2705572, 2705572)</f>
        <v>2705572</v>
      </c>
      <c r="D482" s="2" t="s">
        <v>1609</v>
      </c>
      <c r="E482" s="2" t="s">
        <v>1610</v>
      </c>
      <c r="F482" s="2" t="s">
        <v>1611</v>
      </c>
      <c r="G482" s="2" t="s">
        <v>63</v>
      </c>
      <c r="H482" s="2" t="s">
        <v>1612</v>
      </c>
      <c r="I482" s="2" t="s">
        <v>1091</v>
      </c>
      <c r="J482" s="2" t="s">
        <v>50</v>
      </c>
      <c r="K482" s="2" t="s">
        <v>39</v>
      </c>
      <c r="L482" s="2" t="s">
        <v>39</v>
      </c>
      <c r="M482" s="2" t="s">
        <v>39</v>
      </c>
      <c r="N482" s="2" t="s">
        <v>39</v>
      </c>
      <c r="O482" s="2" t="s">
        <v>39</v>
      </c>
      <c r="P482" s="2" t="s">
        <v>39</v>
      </c>
      <c r="Q482" s="2" t="s">
        <v>38</v>
      </c>
      <c r="R482" s="2" t="s">
        <v>38</v>
      </c>
      <c r="S482" s="2" t="s">
        <v>39</v>
      </c>
      <c r="T482" s="2" t="s">
        <v>39</v>
      </c>
      <c r="U482" s="2" t="s">
        <v>39</v>
      </c>
      <c r="V482" s="2" t="s">
        <v>39</v>
      </c>
      <c r="W482" s="2" t="s">
        <v>38</v>
      </c>
      <c r="X482" s="2" t="s">
        <v>39</v>
      </c>
      <c r="Y482" s="2" t="s">
        <v>38</v>
      </c>
      <c r="Z482" s="2" t="s">
        <v>39</v>
      </c>
      <c r="AA482" s="2" t="s">
        <v>39</v>
      </c>
      <c r="AB482" s="2" t="s">
        <v>39</v>
      </c>
      <c r="AC482" s="2" t="s">
        <v>39</v>
      </c>
      <c r="AD482" s="2" t="s">
        <v>38</v>
      </c>
      <c r="AE482" s="2" t="s">
        <v>39</v>
      </c>
    </row>
    <row r="483" spans="1:31" ht="409.5">
      <c r="A483" s="2">
        <v>2705330</v>
      </c>
      <c r="B483" s="2">
        <f>HYPERLINK("https://platform.v2.vetology.net/cases/2705330/screening-report/18?type=pdf&amp;v=v6&amp;scorecard=1&amp;secret_key=BX%25IJ%24%2F65ieZ%29f6", 2705330)</f>
        <v>2705330</v>
      </c>
      <c r="C483" s="2">
        <f>HYPERLINK("https://platform.v2.vetology.net/report/v/final/"&amp;2705330, 2705330)</f>
        <v>2705330</v>
      </c>
      <c r="D483" s="2" t="s">
        <v>1613</v>
      </c>
      <c r="E483" s="2" t="s">
        <v>1614</v>
      </c>
      <c r="F483" s="2" t="s">
        <v>687</v>
      </c>
      <c r="G483" s="2" t="s">
        <v>150</v>
      </c>
      <c r="H483" s="2" t="s">
        <v>1042</v>
      </c>
      <c r="I483" s="2" t="s">
        <v>214</v>
      </c>
      <c r="J483" s="2" t="s">
        <v>50</v>
      </c>
      <c r="K483" s="2" t="s">
        <v>38</v>
      </c>
      <c r="L483" s="2" t="s">
        <v>38</v>
      </c>
      <c r="M483" s="2" t="s">
        <v>38</v>
      </c>
      <c r="N483" s="2" t="s">
        <v>38</v>
      </c>
      <c r="O483" s="2" t="s">
        <v>38</v>
      </c>
      <c r="P483" s="2" t="s">
        <v>39</v>
      </c>
      <c r="Q483" s="2" t="s">
        <v>38</v>
      </c>
      <c r="R483" s="2" t="s">
        <v>38</v>
      </c>
      <c r="S483" s="2" t="s">
        <v>39</v>
      </c>
      <c r="T483" s="2" t="s">
        <v>38</v>
      </c>
      <c r="U483" s="2" t="s">
        <v>38</v>
      </c>
      <c r="V483" s="2" t="s">
        <v>38</v>
      </c>
      <c r="W483" s="2" t="s">
        <v>38</v>
      </c>
      <c r="X483" s="2" t="s">
        <v>38</v>
      </c>
      <c r="Y483" s="2" t="s">
        <v>38</v>
      </c>
      <c r="Z483" s="2" t="s">
        <v>38</v>
      </c>
      <c r="AA483" s="2" t="s">
        <v>39</v>
      </c>
      <c r="AB483" s="2" t="s">
        <v>39</v>
      </c>
      <c r="AC483" s="2" t="s">
        <v>39</v>
      </c>
      <c r="AD483" s="2" t="s">
        <v>38</v>
      </c>
      <c r="AE483" s="2" t="s">
        <v>38</v>
      </c>
    </row>
    <row r="484" spans="1:31" ht="409.5">
      <c r="A484" s="2">
        <v>2705226</v>
      </c>
      <c r="B484" s="2">
        <f>HYPERLINK("https://platform.v2.vetology.net/cases/2705226/screening-report/18?type=pdf&amp;v=v6&amp;scorecard=1&amp;secret_key=BX%25IJ%24%2F65ieZ%29f6", 2705226)</f>
        <v>2705226</v>
      </c>
      <c r="C484" s="2">
        <f>HYPERLINK("https://platform.v2.vetology.net/report/v/final/"&amp;2705226, 2705226)</f>
        <v>2705226</v>
      </c>
      <c r="D484" s="2" t="s">
        <v>1615</v>
      </c>
      <c r="E484" s="2" t="s">
        <v>1616</v>
      </c>
      <c r="F484" s="2" t="s">
        <v>1617</v>
      </c>
      <c r="G484" s="2" t="s">
        <v>63</v>
      </c>
      <c r="H484" s="2" t="s">
        <v>101</v>
      </c>
      <c r="I484" s="2" t="s">
        <v>44</v>
      </c>
      <c r="J484" s="2"/>
      <c r="K484" s="2" t="s">
        <v>38</v>
      </c>
      <c r="L484" s="2" t="s">
        <v>39</v>
      </c>
      <c r="M484" s="2" t="s">
        <v>38</v>
      </c>
      <c r="N484" s="2" t="s">
        <v>38</v>
      </c>
      <c r="O484" s="2" t="s">
        <v>38</v>
      </c>
      <c r="P484" s="2" t="s">
        <v>38</v>
      </c>
      <c r="Q484" s="2" t="s">
        <v>38</v>
      </c>
      <c r="R484" s="2" t="s">
        <v>38</v>
      </c>
      <c r="S484" s="2" t="s">
        <v>38</v>
      </c>
      <c r="T484" s="2" t="s">
        <v>38</v>
      </c>
      <c r="U484" s="2" t="s">
        <v>38</v>
      </c>
      <c r="V484" s="2" t="s">
        <v>38</v>
      </c>
      <c r="W484" s="2" t="s">
        <v>38</v>
      </c>
      <c r="X484" s="2" t="s">
        <v>38</v>
      </c>
      <c r="Y484" s="2" t="s">
        <v>38</v>
      </c>
      <c r="Z484" s="2" t="s">
        <v>38</v>
      </c>
      <c r="AA484" s="2" t="s">
        <v>38</v>
      </c>
      <c r="AB484" s="2" t="s">
        <v>38</v>
      </c>
      <c r="AC484" s="2" t="s">
        <v>38</v>
      </c>
      <c r="AD484" s="2" t="s">
        <v>38</v>
      </c>
      <c r="AE484" s="2" t="s">
        <v>38</v>
      </c>
    </row>
    <row r="485" spans="1:31" ht="409.5">
      <c r="A485" s="2">
        <v>2705169</v>
      </c>
      <c r="B485" s="2">
        <f>HYPERLINK("https://platform.v2.vetology.net/cases/2705169/screening-report/18?type=pdf&amp;v=v6&amp;scorecard=1&amp;secret_key=BX%25IJ%24%2F65ieZ%29f6", 2705169)</f>
        <v>2705169</v>
      </c>
      <c r="C485" s="2">
        <f>HYPERLINK("https://platform.v2.vetology.net/report/v/final/"&amp;2705169, 2705169)</f>
        <v>2705169</v>
      </c>
      <c r="D485" s="2" t="s">
        <v>1618</v>
      </c>
      <c r="E485" s="2" t="s">
        <v>1619</v>
      </c>
      <c r="F485" s="2" t="s">
        <v>81</v>
      </c>
      <c r="G485" s="2" t="s">
        <v>82</v>
      </c>
      <c r="H485" s="2" t="s">
        <v>360</v>
      </c>
      <c r="I485" s="2" t="s">
        <v>284</v>
      </c>
      <c r="J485" s="2" t="s">
        <v>285</v>
      </c>
      <c r="K485" s="2" t="s">
        <v>38</v>
      </c>
      <c r="L485" s="2" t="s">
        <v>39</v>
      </c>
      <c r="M485" s="2" t="s">
        <v>38</v>
      </c>
      <c r="N485" s="2" t="s">
        <v>38</v>
      </c>
      <c r="O485" s="2" t="s">
        <v>38</v>
      </c>
      <c r="P485" s="2" t="s">
        <v>38</v>
      </c>
      <c r="Q485" s="2" t="s">
        <v>38</v>
      </c>
      <c r="R485" s="2" t="s">
        <v>38</v>
      </c>
      <c r="S485" s="2" t="s">
        <v>38</v>
      </c>
      <c r="T485" s="2" t="s">
        <v>38</v>
      </c>
      <c r="U485" s="2" t="s">
        <v>38</v>
      </c>
      <c r="V485" s="2" t="s">
        <v>38</v>
      </c>
      <c r="W485" s="2" t="s">
        <v>38</v>
      </c>
      <c r="X485" s="2" t="s">
        <v>38</v>
      </c>
      <c r="Y485" s="2" t="s">
        <v>38</v>
      </c>
      <c r="Z485" s="2" t="s">
        <v>38</v>
      </c>
      <c r="AA485" s="2" t="s">
        <v>38</v>
      </c>
      <c r="AB485" s="2" t="s">
        <v>38</v>
      </c>
      <c r="AC485" s="2" t="s">
        <v>38</v>
      </c>
      <c r="AD485" s="2" t="s">
        <v>38</v>
      </c>
      <c r="AE485" s="2" t="s">
        <v>38</v>
      </c>
    </row>
    <row r="486" spans="1:31" ht="409.5">
      <c r="A486" s="2">
        <v>2704705</v>
      </c>
      <c r="B486" s="2">
        <f>HYPERLINK("https://platform.v2.vetology.net/cases/2704705/screening-report/18?type=pdf&amp;v=v6&amp;scorecard=1&amp;secret_key=BX%25IJ%24%2F65ieZ%29f6", 2704705)</f>
        <v>2704705</v>
      </c>
      <c r="C486" s="2">
        <f>HYPERLINK("https://platform.v2.vetology.net/report/v/final/"&amp;2704705, 2704705)</f>
        <v>2704705</v>
      </c>
      <c r="D486" s="2" t="s">
        <v>1620</v>
      </c>
      <c r="E486" s="2" t="s">
        <v>1621</v>
      </c>
      <c r="F486" s="2" t="s">
        <v>81</v>
      </c>
      <c r="G486" s="2" t="s">
        <v>82</v>
      </c>
      <c r="H486" s="2" t="s">
        <v>1622</v>
      </c>
      <c r="I486" s="2" t="s">
        <v>158</v>
      </c>
      <c r="J486" s="2" t="s">
        <v>50</v>
      </c>
      <c r="K486" s="2" t="s">
        <v>38</v>
      </c>
      <c r="L486" s="2" t="s">
        <v>39</v>
      </c>
      <c r="M486" s="2" t="s">
        <v>38</v>
      </c>
      <c r="N486" s="2" t="s">
        <v>38</v>
      </c>
      <c r="O486" s="2" t="s">
        <v>38</v>
      </c>
      <c r="P486" s="2" t="s">
        <v>38</v>
      </c>
      <c r="Q486" s="2" t="s">
        <v>38</v>
      </c>
      <c r="R486" s="2" t="s">
        <v>38</v>
      </c>
      <c r="S486" s="2" t="s">
        <v>38</v>
      </c>
      <c r="T486" s="2" t="s">
        <v>39</v>
      </c>
      <c r="U486" s="2" t="s">
        <v>38</v>
      </c>
      <c r="V486" s="2" t="s">
        <v>38</v>
      </c>
      <c r="W486" s="2" t="s">
        <v>38</v>
      </c>
      <c r="X486" s="2" t="s">
        <v>39</v>
      </c>
      <c r="Y486" s="2" t="s">
        <v>38</v>
      </c>
      <c r="Z486" s="2" t="s">
        <v>38</v>
      </c>
      <c r="AA486" s="2" t="s">
        <v>38</v>
      </c>
      <c r="AB486" s="2" t="s">
        <v>38</v>
      </c>
      <c r="AC486" s="2" t="s">
        <v>38</v>
      </c>
      <c r="AD486" s="2" t="s">
        <v>38</v>
      </c>
      <c r="AE486" s="2" t="s">
        <v>38</v>
      </c>
    </row>
    <row r="487" spans="1:31" ht="409.5">
      <c r="A487" s="2">
        <v>2704686</v>
      </c>
      <c r="B487" s="2">
        <f>HYPERLINK("https://platform.v2.vetology.net/cases/2704686/screening-report/18?type=pdf&amp;v=v6&amp;scorecard=1&amp;secret_key=BX%25IJ%24%2F65ieZ%29f6", 2704686)</f>
        <v>2704686</v>
      </c>
      <c r="C487" s="2">
        <f>HYPERLINK("https://platform.v2.vetology.net/report/v/final/"&amp;2704686, 2704686)</f>
        <v>2704686</v>
      </c>
      <c r="D487" s="2" t="s">
        <v>1623</v>
      </c>
      <c r="E487" s="2" t="s">
        <v>874</v>
      </c>
      <c r="F487" s="2" t="s">
        <v>81</v>
      </c>
      <c r="G487" s="2" t="s">
        <v>82</v>
      </c>
      <c r="H487" s="2" t="s">
        <v>78</v>
      </c>
      <c r="I487" s="2" t="s">
        <v>44</v>
      </c>
      <c r="J487" s="2"/>
      <c r="K487" s="2" t="s">
        <v>38</v>
      </c>
      <c r="L487" s="2" t="s">
        <v>39</v>
      </c>
      <c r="M487" s="2" t="s">
        <v>38</v>
      </c>
      <c r="N487" s="2" t="s">
        <v>38</v>
      </c>
      <c r="O487" s="2" t="s">
        <v>38</v>
      </c>
      <c r="P487" s="2" t="s">
        <v>38</v>
      </c>
      <c r="Q487" s="2" t="s">
        <v>38</v>
      </c>
      <c r="R487" s="2" t="s">
        <v>38</v>
      </c>
      <c r="S487" s="2" t="s">
        <v>38</v>
      </c>
      <c r="T487" s="2" t="s">
        <v>39</v>
      </c>
      <c r="U487" s="2" t="s">
        <v>38</v>
      </c>
      <c r="V487" s="2" t="s">
        <v>39</v>
      </c>
      <c r="W487" s="2" t="s">
        <v>38</v>
      </c>
      <c r="X487" s="2" t="s">
        <v>39</v>
      </c>
      <c r="Y487" s="2" t="s">
        <v>38</v>
      </c>
      <c r="Z487" s="2" t="s">
        <v>38</v>
      </c>
      <c r="AA487" s="2" t="s">
        <v>38</v>
      </c>
      <c r="AB487" s="2" t="s">
        <v>39</v>
      </c>
      <c r="AC487" s="2" t="s">
        <v>38</v>
      </c>
      <c r="AD487" s="2" t="s">
        <v>38</v>
      </c>
      <c r="AE487" s="2" t="s">
        <v>39</v>
      </c>
    </row>
    <row r="488" spans="1:31" ht="409.5">
      <c r="A488" s="2">
        <v>2704636</v>
      </c>
      <c r="B488" s="2">
        <f>HYPERLINK("https://platform.v2.vetology.net/cases/2704636/screening-report/18?type=pdf&amp;v=v6&amp;scorecard=1&amp;secret_key=BX%25IJ%24%2F65ieZ%29f6", 2704636)</f>
        <v>2704636</v>
      </c>
      <c r="C488" s="2">
        <f>HYPERLINK("https://platform.v2.vetology.net/report/v/final/"&amp;2704636, 2704636)</f>
        <v>2704636</v>
      </c>
      <c r="D488" s="2" t="s">
        <v>1624</v>
      </c>
      <c r="E488" s="2" t="s">
        <v>1625</v>
      </c>
      <c r="F488" s="2" t="s">
        <v>1626</v>
      </c>
      <c r="G488" s="2" t="s">
        <v>58</v>
      </c>
      <c r="H488" s="2" t="s">
        <v>78</v>
      </c>
      <c r="I488" s="2" t="s">
        <v>44</v>
      </c>
      <c r="J488" s="2"/>
      <c r="K488" s="2" t="s">
        <v>38</v>
      </c>
      <c r="L488" s="2" t="s">
        <v>39</v>
      </c>
      <c r="M488" s="2" t="s">
        <v>39</v>
      </c>
      <c r="N488" s="2" t="s">
        <v>38</v>
      </c>
      <c r="O488" s="2" t="s">
        <v>38</v>
      </c>
      <c r="P488" s="2" t="s">
        <v>38</v>
      </c>
      <c r="Q488" s="2" t="s">
        <v>38</v>
      </c>
      <c r="R488" s="2" t="s">
        <v>38</v>
      </c>
      <c r="S488" s="2" t="s">
        <v>39</v>
      </c>
      <c r="T488" s="2" t="s">
        <v>38</v>
      </c>
      <c r="U488" s="2" t="s">
        <v>38</v>
      </c>
      <c r="V488" s="2" t="s">
        <v>38</v>
      </c>
      <c r="W488" s="2" t="s">
        <v>38</v>
      </c>
      <c r="X488" s="2" t="s">
        <v>38</v>
      </c>
      <c r="Y488" s="2" t="s">
        <v>38</v>
      </c>
      <c r="Z488" s="2" t="s">
        <v>38</v>
      </c>
      <c r="AA488" s="2" t="s">
        <v>38</v>
      </c>
      <c r="AB488" s="2" t="s">
        <v>38</v>
      </c>
      <c r="AC488" s="2" t="s">
        <v>38</v>
      </c>
      <c r="AD488" s="2" t="s">
        <v>38</v>
      </c>
      <c r="AE488" s="2" t="s">
        <v>38</v>
      </c>
    </row>
    <row r="489" spans="1:31" ht="409.5">
      <c r="A489" s="2">
        <v>2704578</v>
      </c>
      <c r="B489" s="2">
        <f>HYPERLINK("https://platform.v2.vetology.net/cases/2704578/screening-report/18?type=pdf&amp;v=v6&amp;scorecard=1&amp;secret_key=BX%25IJ%24%2F65ieZ%29f6", 2704578)</f>
        <v>2704578</v>
      </c>
      <c r="C489" s="2">
        <f>HYPERLINK("https://platform.v2.vetology.net/report/v/final/"&amp;2704578, 2704578)</f>
        <v>2704578</v>
      </c>
      <c r="D489" s="2" t="s">
        <v>1627</v>
      </c>
      <c r="E489" s="2" t="s">
        <v>1628</v>
      </c>
      <c r="F489" s="2" t="s">
        <v>1629</v>
      </c>
      <c r="G489" s="2" t="s">
        <v>63</v>
      </c>
      <c r="H489" s="2" t="s">
        <v>1630</v>
      </c>
      <c r="I489" s="2" t="s">
        <v>681</v>
      </c>
      <c r="J489" s="2" t="s">
        <v>50</v>
      </c>
      <c r="K489" s="2" t="s">
        <v>38</v>
      </c>
      <c r="L489" s="2" t="s">
        <v>39</v>
      </c>
      <c r="M489" s="2" t="s">
        <v>39</v>
      </c>
      <c r="N489" s="2" t="s">
        <v>38</v>
      </c>
      <c r="O489" s="2" t="s">
        <v>38</v>
      </c>
      <c r="P489" s="2" t="s">
        <v>38</v>
      </c>
      <c r="Q489" s="2" t="s">
        <v>38</v>
      </c>
      <c r="R489" s="2" t="s">
        <v>38</v>
      </c>
      <c r="S489" s="2" t="s">
        <v>39</v>
      </c>
      <c r="T489" s="2" t="s">
        <v>38</v>
      </c>
      <c r="U489" s="2" t="s">
        <v>39</v>
      </c>
      <c r="V489" s="2" t="s">
        <v>38</v>
      </c>
      <c r="W489" s="2" t="s">
        <v>38</v>
      </c>
      <c r="X489" s="2" t="s">
        <v>38</v>
      </c>
      <c r="Y489" s="2" t="s">
        <v>38</v>
      </c>
      <c r="Z489" s="2" t="s">
        <v>39</v>
      </c>
      <c r="AA489" s="2" t="s">
        <v>38</v>
      </c>
      <c r="AB489" s="2" t="s">
        <v>39</v>
      </c>
      <c r="AC489" s="2" t="s">
        <v>39</v>
      </c>
      <c r="AD489" s="2" t="s">
        <v>38</v>
      </c>
      <c r="AE489" s="2" t="s">
        <v>39</v>
      </c>
    </row>
    <row r="490" spans="1:31" ht="409.5">
      <c r="A490" s="2">
        <v>2704512</v>
      </c>
      <c r="B490" s="2">
        <f>HYPERLINK("https://platform.v2.vetology.net/cases/2704512/screening-report/18?type=pdf&amp;v=v6&amp;scorecard=1&amp;secret_key=BX%25IJ%24%2F65ieZ%29f6", 2704512)</f>
        <v>2704512</v>
      </c>
      <c r="C490" s="2">
        <f>HYPERLINK("https://platform.v2.vetology.net/report/v/final/"&amp;2704512, 2704512)</f>
        <v>2704512</v>
      </c>
      <c r="D490" s="2" t="s">
        <v>1631</v>
      </c>
      <c r="E490" s="2" t="s">
        <v>1632</v>
      </c>
      <c r="F490" s="2" t="s">
        <v>1633</v>
      </c>
      <c r="G490" s="2" t="s">
        <v>82</v>
      </c>
      <c r="H490" s="2" t="s">
        <v>1634</v>
      </c>
      <c r="I490" s="2" t="s">
        <v>435</v>
      </c>
      <c r="J490" s="2" t="s">
        <v>436</v>
      </c>
      <c r="K490" s="2" t="s">
        <v>38</v>
      </c>
      <c r="L490" s="2" t="s">
        <v>39</v>
      </c>
      <c r="M490" s="2" t="s">
        <v>39</v>
      </c>
      <c r="N490" s="2" t="s">
        <v>38</v>
      </c>
      <c r="O490" s="2" t="s">
        <v>38</v>
      </c>
      <c r="P490" s="2" t="s">
        <v>38</v>
      </c>
      <c r="Q490" s="2" t="s">
        <v>38</v>
      </c>
      <c r="R490" s="2" t="s">
        <v>38</v>
      </c>
      <c r="S490" s="2" t="s">
        <v>38</v>
      </c>
      <c r="T490" s="2" t="s">
        <v>38</v>
      </c>
      <c r="U490" s="2" t="s">
        <v>38</v>
      </c>
      <c r="V490" s="2" t="s">
        <v>38</v>
      </c>
      <c r="W490" s="2" t="s">
        <v>38</v>
      </c>
      <c r="X490" s="2" t="s">
        <v>38</v>
      </c>
      <c r="Y490" s="2" t="s">
        <v>38</v>
      </c>
      <c r="Z490" s="2" t="s">
        <v>39</v>
      </c>
      <c r="AA490" s="2" t="s">
        <v>38</v>
      </c>
      <c r="AB490" s="2" t="s">
        <v>38</v>
      </c>
      <c r="AC490" s="2" t="s">
        <v>39</v>
      </c>
      <c r="AD490" s="2" t="s">
        <v>38</v>
      </c>
      <c r="AE490" s="2" t="s">
        <v>39</v>
      </c>
    </row>
    <row r="491" spans="1:31" ht="409.5">
      <c r="A491" s="2">
        <v>2704319</v>
      </c>
      <c r="B491" s="2">
        <f>HYPERLINK("https://platform.v2.vetology.net/cases/2704319/screening-report/18?type=pdf&amp;v=v6&amp;scorecard=1&amp;secret_key=BX%25IJ%24%2F65ieZ%29f6", 2704319)</f>
        <v>2704319</v>
      </c>
      <c r="C491" s="2">
        <f>HYPERLINK("https://platform.v2.vetology.net/report/v/final/"&amp;2704319, 2704319)</f>
        <v>2704319</v>
      </c>
      <c r="D491" s="2" t="s">
        <v>1635</v>
      </c>
      <c r="E491" s="2" t="s">
        <v>1636</v>
      </c>
      <c r="F491" s="2" t="s">
        <v>81</v>
      </c>
      <c r="G491" s="2" t="s">
        <v>82</v>
      </c>
      <c r="H491" s="2" t="s">
        <v>43</v>
      </c>
      <c r="I491" s="2" t="s">
        <v>44</v>
      </c>
      <c r="J491" s="2"/>
      <c r="K491" s="2" t="s">
        <v>38</v>
      </c>
      <c r="L491" s="2" t="s">
        <v>38</v>
      </c>
      <c r="M491" s="2" t="s">
        <v>39</v>
      </c>
      <c r="N491" s="2" t="s">
        <v>38</v>
      </c>
      <c r="O491" s="2" t="s">
        <v>38</v>
      </c>
      <c r="P491" s="2" t="s">
        <v>38</v>
      </c>
      <c r="Q491" s="2" t="s">
        <v>38</v>
      </c>
      <c r="R491" s="2" t="s">
        <v>38</v>
      </c>
      <c r="S491" s="2" t="s">
        <v>38</v>
      </c>
      <c r="T491" s="2" t="s">
        <v>39</v>
      </c>
      <c r="U491" s="2" t="s">
        <v>38</v>
      </c>
      <c r="V491" s="2" t="s">
        <v>38</v>
      </c>
      <c r="W491" s="2" t="s">
        <v>38</v>
      </c>
      <c r="X491" s="2" t="s">
        <v>39</v>
      </c>
      <c r="Y491" s="2" t="s">
        <v>38</v>
      </c>
      <c r="Z491" s="2" t="s">
        <v>38</v>
      </c>
      <c r="AA491" s="2" t="s">
        <v>38</v>
      </c>
      <c r="AB491" s="2" t="s">
        <v>38</v>
      </c>
      <c r="AC491" s="2" t="s">
        <v>38</v>
      </c>
      <c r="AD491" s="2" t="s">
        <v>38</v>
      </c>
      <c r="AE491" s="2" t="s">
        <v>38</v>
      </c>
    </row>
    <row r="492" spans="1:31" ht="409.5">
      <c r="A492" s="2">
        <v>2704223</v>
      </c>
      <c r="B492" s="2">
        <f>HYPERLINK("https://platform.v2.vetology.net/cases/2704223/screening-report/18?type=pdf&amp;v=v6&amp;scorecard=1&amp;secret_key=BX%25IJ%24%2F65ieZ%29f6", 2704223)</f>
        <v>2704223</v>
      </c>
      <c r="C492" s="2">
        <f>HYPERLINK("https://platform.v2.vetology.net/report/v/final/"&amp;2704223, 2704223)</f>
        <v>2704223</v>
      </c>
      <c r="D492" s="2" t="s">
        <v>1637</v>
      </c>
      <c r="E492" s="2" t="s">
        <v>230</v>
      </c>
      <c r="F492" s="2" t="s">
        <v>149</v>
      </c>
      <c r="G492" s="2" t="s">
        <v>150</v>
      </c>
      <c r="H492" s="2" t="s">
        <v>1638</v>
      </c>
      <c r="I492" s="2" t="s">
        <v>36</v>
      </c>
      <c r="J492" s="2" t="s">
        <v>37</v>
      </c>
      <c r="K492" s="2" t="s">
        <v>38</v>
      </c>
      <c r="L492" s="2" t="s">
        <v>38</v>
      </c>
      <c r="M492" s="2" t="s">
        <v>38</v>
      </c>
      <c r="N492" s="2" t="s">
        <v>38</v>
      </c>
      <c r="O492" s="2" t="s">
        <v>38</v>
      </c>
      <c r="P492" s="2" t="s">
        <v>38</v>
      </c>
      <c r="Q492" s="2" t="s">
        <v>38</v>
      </c>
      <c r="R492" s="2" t="s">
        <v>38</v>
      </c>
      <c r="S492" s="2" t="s">
        <v>38</v>
      </c>
      <c r="T492" s="2" t="s">
        <v>38</v>
      </c>
      <c r="U492" s="2" t="s">
        <v>38</v>
      </c>
      <c r="V492" s="2" t="s">
        <v>38</v>
      </c>
      <c r="W492" s="2" t="s">
        <v>38</v>
      </c>
      <c r="X492" s="2" t="s">
        <v>38</v>
      </c>
      <c r="Y492" s="2" t="s">
        <v>38</v>
      </c>
      <c r="Z492" s="2" t="s">
        <v>38</v>
      </c>
      <c r="AA492" s="2" t="s">
        <v>38</v>
      </c>
      <c r="AB492" s="2" t="s">
        <v>38</v>
      </c>
      <c r="AC492" s="2" t="s">
        <v>38</v>
      </c>
      <c r="AD492" s="2" t="s">
        <v>38</v>
      </c>
      <c r="AE492" s="2" t="s">
        <v>38</v>
      </c>
    </row>
    <row r="493" spans="1:31" ht="409.5">
      <c r="A493" s="2">
        <v>2704159</v>
      </c>
      <c r="B493" s="2">
        <f>HYPERLINK("https://platform.v2.vetology.net/cases/2704159/screening-report/18?type=pdf&amp;v=v6&amp;scorecard=1&amp;secret_key=BX%25IJ%24%2F65ieZ%29f6", 2704159)</f>
        <v>2704159</v>
      </c>
      <c r="C493" s="2">
        <f>HYPERLINK("https://platform.v2.vetology.net/report/v/final/"&amp;2704159, 2704159)</f>
        <v>2704159</v>
      </c>
      <c r="D493" s="2" t="s">
        <v>1639</v>
      </c>
      <c r="E493" s="2" t="s">
        <v>1640</v>
      </c>
      <c r="F493" s="2" t="s">
        <v>81</v>
      </c>
      <c r="G493" s="2" t="s">
        <v>82</v>
      </c>
      <c r="H493" s="2" t="s">
        <v>54</v>
      </c>
      <c r="I493" s="2" t="s">
        <v>44</v>
      </c>
      <c r="J493" s="2"/>
      <c r="K493" s="2" t="s">
        <v>38</v>
      </c>
      <c r="L493" s="2" t="s">
        <v>39</v>
      </c>
      <c r="M493" s="2" t="s">
        <v>38</v>
      </c>
      <c r="N493" s="2" t="s">
        <v>38</v>
      </c>
      <c r="O493" s="2" t="s">
        <v>38</v>
      </c>
      <c r="P493" s="2" t="s">
        <v>39</v>
      </c>
      <c r="Q493" s="2" t="s">
        <v>38</v>
      </c>
      <c r="R493" s="2" t="s">
        <v>38</v>
      </c>
      <c r="S493" s="2" t="s">
        <v>38</v>
      </c>
      <c r="T493" s="2" t="s">
        <v>39</v>
      </c>
      <c r="U493" s="2" t="s">
        <v>38</v>
      </c>
      <c r="V493" s="2" t="s">
        <v>39</v>
      </c>
      <c r="W493" s="2" t="s">
        <v>38</v>
      </c>
      <c r="X493" s="2" t="s">
        <v>39</v>
      </c>
      <c r="Y493" s="2" t="s">
        <v>38</v>
      </c>
      <c r="Z493" s="2" t="s">
        <v>38</v>
      </c>
      <c r="AA493" s="2" t="s">
        <v>38</v>
      </c>
      <c r="AB493" s="2" t="s">
        <v>39</v>
      </c>
      <c r="AC493" s="2" t="s">
        <v>38</v>
      </c>
      <c r="AD493" s="2" t="s">
        <v>38</v>
      </c>
      <c r="AE493" s="2" t="s">
        <v>38</v>
      </c>
    </row>
    <row r="494" spans="1:31" ht="409.5">
      <c r="A494" s="2">
        <v>2704147</v>
      </c>
      <c r="B494" s="2">
        <f>HYPERLINK("https://platform.v2.vetology.net/cases/2704147/screening-report/18?type=pdf&amp;v=v6&amp;scorecard=1&amp;secret_key=BX%25IJ%24%2F65ieZ%29f6", 2704147)</f>
        <v>2704147</v>
      </c>
      <c r="C494" s="2">
        <f>HYPERLINK("https://platform.v2.vetology.net/report/v/final/"&amp;2704147, 2704147)</f>
        <v>2704147</v>
      </c>
      <c r="D494" s="2" t="s">
        <v>1641</v>
      </c>
      <c r="E494" s="2" t="s">
        <v>1642</v>
      </c>
      <c r="F494" s="2" t="s">
        <v>1643</v>
      </c>
      <c r="G494" s="2" t="s">
        <v>34</v>
      </c>
      <c r="H494" s="2" t="s">
        <v>1644</v>
      </c>
      <c r="I494" s="2" t="s">
        <v>634</v>
      </c>
      <c r="J494" s="2" t="s">
        <v>635</v>
      </c>
      <c r="K494" s="2" t="s">
        <v>39</v>
      </c>
      <c r="L494" s="2" t="s">
        <v>39</v>
      </c>
      <c r="M494" s="2" t="s">
        <v>39</v>
      </c>
      <c r="N494" s="2" t="s">
        <v>39</v>
      </c>
      <c r="O494" s="2" t="s">
        <v>39</v>
      </c>
      <c r="P494" s="2" t="s">
        <v>39</v>
      </c>
      <c r="Q494" s="2" t="s">
        <v>39</v>
      </c>
      <c r="R494" s="2" t="s">
        <v>39</v>
      </c>
      <c r="S494" s="2" t="s">
        <v>39</v>
      </c>
      <c r="T494" s="2" t="s">
        <v>39</v>
      </c>
      <c r="U494" s="2" t="s">
        <v>39</v>
      </c>
      <c r="V494" s="2" t="s">
        <v>39</v>
      </c>
      <c r="W494" s="2" t="s">
        <v>39</v>
      </c>
      <c r="X494" s="2" t="s">
        <v>39</v>
      </c>
      <c r="Y494" s="2" t="s">
        <v>39</v>
      </c>
      <c r="Z494" s="2" t="s">
        <v>39</v>
      </c>
      <c r="AA494" s="2" t="s">
        <v>39</v>
      </c>
      <c r="AB494" s="2" t="s">
        <v>39</v>
      </c>
      <c r="AC494" s="2" t="s">
        <v>39</v>
      </c>
      <c r="AD494" s="2" t="s">
        <v>39</v>
      </c>
      <c r="AE494" s="2" t="s">
        <v>39</v>
      </c>
    </row>
    <row r="495" spans="1:31" ht="409.5">
      <c r="A495" s="2">
        <v>2703819</v>
      </c>
      <c r="B495" s="2">
        <f>HYPERLINK("https://platform.v2.vetology.net/cases/2703819/screening-report/18?type=pdf&amp;v=v6&amp;scorecard=1&amp;secret_key=BX%25IJ%24%2F65ieZ%29f6", 2703819)</f>
        <v>2703819</v>
      </c>
      <c r="C495" s="2">
        <f>HYPERLINK("https://platform.v2.vetology.net/report/v/final/"&amp;2703819, 2703819)</f>
        <v>2703819</v>
      </c>
      <c r="D495" s="2" t="s">
        <v>1645</v>
      </c>
      <c r="E495" s="2" t="s">
        <v>1646</v>
      </c>
      <c r="F495" s="2" t="s">
        <v>81</v>
      </c>
      <c r="G495" s="2" t="s">
        <v>82</v>
      </c>
      <c r="H495" s="2" t="s">
        <v>1647</v>
      </c>
      <c r="I495" s="2" t="s">
        <v>503</v>
      </c>
      <c r="J495" s="2" t="s">
        <v>66</v>
      </c>
      <c r="K495" s="2" t="s">
        <v>38</v>
      </c>
      <c r="L495" s="2" t="s">
        <v>39</v>
      </c>
      <c r="M495" s="2" t="s">
        <v>38</v>
      </c>
      <c r="N495" s="2" t="s">
        <v>39</v>
      </c>
      <c r="O495" s="2" t="s">
        <v>38</v>
      </c>
      <c r="P495" s="2" t="s">
        <v>39</v>
      </c>
      <c r="Q495" s="2" t="s">
        <v>39</v>
      </c>
      <c r="R495" s="2" t="s">
        <v>38</v>
      </c>
      <c r="S495" s="2" t="s">
        <v>38</v>
      </c>
      <c r="T495" s="2" t="s">
        <v>38</v>
      </c>
      <c r="U495" s="2" t="s">
        <v>39</v>
      </c>
      <c r="V495" s="2" t="s">
        <v>38</v>
      </c>
      <c r="W495" s="2" t="s">
        <v>38</v>
      </c>
      <c r="X495" s="2" t="s">
        <v>38</v>
      </c>
      <c r="Y495" s="2" t="s">
        <v>38</v>
      </c>
      <c r="Z495" s="2" t="s">
        <v>39</v>
      </c>
      <c r="AA495" s="2" t="s">
        <v>38</v>
      </c>
      <c r="AB495" s="2" t="s">
        <v>39</v>
      </c>
      <c r="AC495" s="2" t="s">
        <v>39</v>
      </c>
      <c r="AD495" s="2" t="s">
        <v>38</v>
      </c>
      <c r="AE495" s="2" t="s">
        <v>39</v>
      </c>
    </row>
    <row r="496" spans="1:31" ht="409.5">
      <c r="A496" s="2">
        <v>2703709</v>
      </c>
      <c r="B496" s="2">
        <f>HYPERLINK("https://platform.v2.vetology.net/cases/2703709/screening-report/18?type=pdf&amp;v=v6&amp;scorecard=1&amp;secret_key=BX%25IJ%24%2F65ieZ%29f6", 2703709)</f>
        <v>2703709</v>
      </c>
      <c r="C496" s="2">
        <f>HYPERLINK("https://platform.v2.vetology.net/report/v/final/"&amp;2703709, 2703709)</f>
        <v>2703709</v>
      </c>
      <c r="D496" s="2" t="s">
        <v>1648</v>
      </c>
      <c r="E496" s="2" t="s">
        <v>1649</v>
      </c>
      <c r="F496" s="2" t="s">
        <v>1650</v>
      </c>
      <c r="G496" s="2" t="s">
        <v>58</v>
      </c>
      <c r="H496" s="2" t="s">
        <v>54</v>
      </c>
      <c r="I496" s="2" t="s">
        <v>44</v>
      </c>
      <c r="J496" s="2" t="s">
        <v>106</v>
      </c>
      <c r="K496" s="2" t="s">
        <v>38</v>
      </c>
      <c r="L496" s="2" t="s">
        <v>39</v>
      </c>
      <c r="M496" s="2" t="s">
        <v>38</v>
      </c>
      <c r="N496" s="2" t="s">
        <v>38</v>
      </c>
      <c r="O496" s="2" t="s">
        <v>38</v>
      </c>
      <c r="P496" s="2" t="s">
        <v>38</v>
      </c>
      <c r="Q496" s="2" t="s">
        <v>38</v>
      </c>
      <c r="R496" s="2" t="s">
        <v>38</v>
      </c>
      <c r="S496" s="2" t="s">
        <v>38</v>
      </c>
      <c r="T496" s="2" t="s">
        <v>38</v>
      </c>
      <c r="U496" s="2" t="s">
        <v>38</v>
      </c>
      <c r="V496" s="2" t="s">
        <v>38</v>
      </c>
      <c r="W496" s="2" t="s">
        <v>38</v>
      </c>
      <c r="X496" s="2" t="s">
        <v>39</v>
      </c>
      <c r="Y496" s="2" t="s">
        <v>38</v>
      </c>
      <c r="Z496" s="2" t="s">
        <v>38</v>
      </c>
      <c r="AA496" s="2" t="s">
        <v>38</v>
      </c>
      <c r="AB496" s="2" t="s">
        <v>38</v>
      </c>
      <c r="AC496" s="2" t="s">
        <v>38</v>
      </c>
      <c r="AD496" s="2" t="s">
        <v>38</v>
      </c>
      <c r="AE496" s="2" t="s">
        <v>38</v>
      </c>
    </row>
    <row r="497" spans="1:31" ht="409.5">
      <c r="A497" s="2">
        <v>2703650</v>
      </c>
      <c r="B497" s="2">
        <f>HYPERLINK("https://platform.v2.vetology.net/cases/2703650/screening-report/18?type=pdf&amp;v=v6&amp;scorecard=1&amp;secret_key=BX%25IJ%24%2F65ieZ%29f6", 2703650)</f>
        <v>2703650</v>
      </c>
      <c r="C497" s="2">
        <f>HYPERLINK("https://platform.v2.vetology.net/report/v/final/"&amp;2703650, 2703650)</f>
        <v>2703650</v>
      </c>
      <c r="D497" s="2" t="s">
        <v>1651</v>
      </c>
      <c r="E497" s="2" t="s">
        <v>1652</v>
      </c>
      <c r="F497" s="2" t="s">
        <v>1653</v>
      </c>
      <c r="G497" s="2" t="s">
        <v>135</v>
      </c>
      <c r="H497" s="2" t="s">
        <v>1180</v>
      </c>
      <c r="I497" s="2" t="s">
        <v>158</v>
      </c>
      <c r="J497" s="2" t="s">
        <v>50</v>
      </c>
      <c r="K497" s="2" t="s">
        <v>38</v>
      </c>
      <c r="L497" s="2" t="s">
        <v>39</v>
      </c>
      <c r="M497" s="2" t="s">
        <v>38</v>
      </c>
      <c r="N497" s="2" t="s">
        <v>38</v>
      </c>
      <c r="O497" s="2" t="s">
        <v>39</v>
      </c>
      <c r="P497" s="2" t="s">
        <v>39</v>
      </c>
      <c r="Q497" s="2" t="s">
        <v>38</v>
      </c>
      <c r="R497" s="2" t="s">
        <v>38</v>
      </c>
      <c r="S497" s="2" t="s">
        <v>39</v>
      </c>
      <c r="T497" s="2" t="s">
        <v>39</v>
      </c>
      <c r="U497" s="2" t="s">
        <v>38</v>
      </c>
      <c r="V497" s="2" t="s">
        <v>39</v>
      </c>
      <c r="W497" s="2" t="s">
        <v>38</v>
      </c>
      <c r="X497" s="2" t="s">
        <v>39</v>
      </c>
      <c r="Y497" s="2" t="s">
        <v>38</v>
      </c>
      <c r="Z497" s="2" t="s">
        <v>38</v>
      </c>
      <c r="AA497" s="2" t="s">
        <v>38</v>
      </c>
      <c r="AB497" s="2" t="s">
        <v>39</v>
      </c>
      <c r="AC497" s="2" t="s">
        <v>38</v>
      </c>
      <c r="AD497" s="2" t="s">
        <v>38</v>
      </c>
      <c r="AE497" s="2" t="s">
        <v>38</v>
      </c>
    </row>
    <row r="498" spans="1:31" ht="409.5">
      <c r="A498" s="2">
        <v>2703629</v>
      </c>
      <c r="B498" s="2">
        <f>HYPERLINK("https://platform.v2.vetology.net/cases/2703629/screening-report/18?type=pdf&amp;v=v6&amp;scorecard=1&amp;secret_key=BX%25IJ%24%2F65ieZ%29f6", 2703629)</f>
        <v>2703629</v>
      </c>
      <c r="C498" s="2">
        <f>HYPERLINK("https://platform.v2.vetology.net/report/v/final/"&amp;2703629, 2703629)</f>
        <v>2703629</v>
      </c>
      <c r="D498" s="2" t="s">
        <v>1654</v>
      </c>
      <c r="E498" s="2" t="s">
        <v>1655</v>
      </c>
      <c r="F498" s="2" t="s">
        <v>81</v>
      </c>
      <c r="G498" s="2" t="s">
        <v>150</v>
      </c>
      <c r="H498" s="2" t="s">
        <v>88</v>
      </c>
      <c r="I498" s="2" t="s">
        <v>89</v>
      </c>
      <c r="J498" s="2" t="s">
        <v>66</v>
      </c>
      <c r="K498" s="2" t="s">
        <v>38</v>
      </c>
      <c r="L498" s="2" t="s">
        <v>38</v>
      </c>
      <c r="M498" s="2" t="s">
        <v>38</v>
      </c>
      <c r="N498" s="2" t="s">
        <v>38</v>
      </c>
      <c r="O498" s="2" t="s">
        <v>38</v>
      </c>
      <c r="P498" s="2" t="s">
        <v>38</v>
      </c>
      <c r="Q498" s="2" t="s">
        <v>38</v>
      </c>
      <c r="R498" s="2" t="s">
        <v>38</v>
      </c>
      <c r="S498" s="2" t="s">
        <v>38</v>
      </c>
      <c r="T498" s="2" t="s">
        <v>38</v>
      </c>
      <c r="U498" s="2" t="s">
        <v>38</v>
      </c>
      <c r="V498" s="2" t="s">
        <v>38</v>
      </c>
      <c r="W498" s="2" t="s">
        <v>38</v>
      </c>
      <c r="X498" s="2" t="s">
        <v>38</v>
      </c>
      <c r="Y498" s="2" t="s">
        <v>38</v>
      </c>
      <c r="Z498" s="2" t="s">
        <v>38</v>
      </c>
      <c r="AA498" s="2" t="s">
        <v>38</v>
      </c>
      <c r="AB498" s="2" t="s">
        <v>39</v>
      </c>
      <c r="AC498" s="2" t="s">
        <v>39</v>
      </c>
      <c r="AD498" s="2" t="s">
        <v>38</v>
      </c>
      <c r="AE498" s="2" t="s">
        <v>39</v>
      </c>
    </row>
    <row r="499" spans="1:31" ht="409.5">
      <c r="A499" s="2">
        <v>2703512</v>
      </c>
      <c r="B499" s="2">
        <f>HYPERLINK("https://platform.v2.vetology.net/cases/2703512/screening-report/18?type=pdf&amp;v=v6&amp;scorecard=1&amp;secret_key=BX%25IJ%24%2F65ieZ%29f6", 2703512)</f>
        <v>2703512</v>
      </c>
      <c r="C499" s="2">
        <f>HYPERLINK("https://platform.v2.vetology.net/report/v/final/"&amp;2703512, 2703512)</f>
        <v>2703512</v>
      </c>
      <c r="D499" s="2" t="s">
        <v>1656</v>
      </c>
      <c r="E499" s="2" t="s">
        <v>1657</v>
      </c>
      <c r="F499" s="2" t="s">
        <v>1658</v>
      </c>
      <c r="G499" s="2" t="s">
        <v>575</v>
      </c>
      <c r="H499" s="2" t="s">
        <v>43</v>
      </c>
      <c r="I499" s="2" t="s">
        <v>44</v>
      </c>
      <c r="J499" s="2" t="s">
        <v>106</v>
      </c>
      <c r="K499" s="2" t="s">
        <v>38</v>
      </c>
      <c r="L499" s="2" t="s">
        <v>39</v>
      </c>
      <c r="M499" s="2" t="s">
        <v>39</v>
      </c>
      <c r="N499" s="2" t="s">
        <v>38</v>
      </c>
      <c r="O499" s="2" t="s">
        <v>38</v>
      </c>
      <c r="P499" s="2" t="s">
        <v>38</v>
      </c>
      <c r="Q499" s="2" t="s">
        <v>38</v>
      </c>
      <c r="R499" s="2" t="s">
        <v>38</v>
      </c>
      <c r="S499" s="2" t="s">
        <v>38</v>
      </c>
      <c r="T499" s="2" t="s">
        <v>39</v>
      </c>
      <c r="U499" s="2" t="s">
        <v>38</v>
      </c>
      <c r="V499" s="2" t="s">
        <v>38</v>
      </c>
      <c r="W499" s="2" t="s">
        <v>38</v>
      </c>
      <c r="X499" s="2" t="s">
        <v>38</v>
      </c>
      <c r="Y499" s="2" t="s">
        <v>38</v>
      </c>
      <c r="Z499" s="2" t="s">
        <v>39</v>
      </c>
      <c r="AA499" s="2" t="s">
        <v>38</v>
      </c>
      <c r="AB499" s="2" t="s">
        <v>39</v>
      </c>
      <c r="AC499" s="2" t="s">
        <v>38</v>
      </c>
      <c r="AD499" s="2" t="s">
        <v>38</v>
      </c>
      <c r="AE499" s="2" t="s">
        <v>38</v>
      </c>
    </row>
    <row r="500" spans="1:31" ht="409.5">
      <c r="A500" s="2">
        <v>2703468</v>
      </c>
      <c r="B500" s="2">
        <f>HYPERLINK("https://platform.v2.vetology.net/cases/2703468/screening-report/18?type=pdf&amp;v=v6&amp;scorecard=1&amp;secret_key=BX%25IJ%24%2F65ieZ%29f6", 2703468)</f>
        <v>2703468</v>
      </c>
      <c r="C500" s="2">
        <f>HYPERLINK("https://platform.v2.vetology.net/report/v/final/"&amp;2703468, 2703468)</f>
        <v>2703468</v>
      </c>
      <c r="D500" s="2" t="s">
        <v>1659</v>
      </c>
      <c r="E500" s="2" t="s">
        <v>1660</v>
      </c>
      <c r="F500" s="2" t="s">
        <v>1661</v>
      </c>
      <c r="G500" s="2" t="s">
        <v>93</v>
      </c>
      <c r="H500" s="2" t="s">
        <v>129</v>
      </c>
      <c r="I500" s="2" t="s">
        <v>44</v>
      </c>
      <c r="J500" s="2"/>
      <c r="K500" s="2" t="s">
        <v>38</v>
      </c>
      <c r="L500" s="2" t="s">
        <v>38</v>
      </c>
      <c r="M500" s="2" t="s">
        <v>38</v>
      </c>
      <c r="N500" s="2" t="s">
        <v>38</v>
      </c>
      <c r="O500" s="2" t="s">
        <v>38</v>
      </c>
      <c r="P500" s="2" t="s">
        <v>38</v>
      </c>
      <c r="Q500" s="2" t="s">
        <v>38</v>
      </c>
      <c r="R500" s="2" t="s">
        <v>38</v>
      </c>
      <c r="S500" s="2" t="s">
        <v>38</v>
      </c>
      <c r="T500" s="2" t="s">
        <v>38</v>
      </c>
      <c r="U500" s="2" t="s">
        <v>38</v>
      </c>
      <c r="V500" s="2" t="s">
        <v>38</v>
      </c>
      <c r="W500" s="2" t="s">
        <v>38</v>
      </c>
      <c r="X500" s="2" t="s">
        <v>38</v>
      </c>
      <c r="Y500" s="2" t="s">
        <v>38</v>
      </c>
      <c r="Z500" s="2" t="s">
        <v>38</v>
      </c>
      <c r="AA500" s="2" t="s">
        <v>38</v>
      </c>
      <c r="AB500" s="2" t="s">
        <v>38</v>
      </c>
      <c r="AC500" s="2" t="s">
        <v>39</v>
      </c>
      <c r="AD500" s="2" t="s">
        <v>38</v>
      </c>
      <c r="AE500" s="2" t="s">
        <v>38</v>
      </c>
    </row>
    <row r="501" spans="1:31" ht="409.5">
      <c r="A501" s="2">
        <v>2703441</v>
      </c>
      <c r="B501" s="2">
        <f>HYPERLINK("https://platform.v2.vetology.net/cases/2703441/screening-report/18?type=pdf&amp;v=v6&amp;scorecard=1&amp;secret_key=BX%25IJ%24%2F65ieZ%29f6", 2703441)</f>
        <v>2703441</v>
      </c>
      <c r="C501" s="2">
        <f>HYPERLINK("https://platform.v2.vetology.net/report/v/final/"&amp;2703441, 2703441)</f>
        <v>2703441</v>
      </c>
      <c r="D501" s="2" t="s">
        <v>1662</v>
      </c>
      <c r="E501" s="2" t="s">
        <v>1663</v>
      </c>
      <c r="F501" s="2" t="s">
        <v>1664</v>
      </c>
      <c r="G501" s="2" t="s">
        <v>575</v>
      </c>
      <c r="H501" s="2" t="s">
        <v>1665</v>
      </c>
      <c r="I501" s="2" t="s">
        <v>689</v>
      </c>
      <c r="J501" s="2" t="s">
        <v>690</v>
      </c>
      <c r="K501" s="2" t="s">
        <v>38</v>
      </c>
      <c r="L501" s="2" t="s">
        <v>39</v>
      </c>
      <c r="M501" s="2" t="s">
        <v>38</v>
      </c>
      <c r="N501" s="2" t="s">
        <v>38</v>
      </c>
      <c r="O501" s="2" t="s">
        <v>38</v>
      </c>
      <c r="P501" s="2" t="s">
        <v>38</v>
      </c>
      <c r="Q501" s="2" t="s">
        <v>38</v>
      </c>
      <c r="R501" s="2" t="s">
        <v>38</v>
      </c>
      <c r="S501" s="2" t="s">
        <v>39</v>
      </c>
      <c r="T501" s="2" t="s">
        <v>38</v>
      </c>
      <c r="U501" s="2" t="s">
        <v>38</v>
      </c>
      <c r="V501" s="2" t="s">
        <v>38</v>
      </c>
      <c r="W501" s="2" t="s">
        <v>38</v>
      </c>
      <c r="X501" s="2" t="s">
        <v>38</v>
      </c>
      <c r="Y501" s="2" t="s">
        <v>38</v>
      </c>
      <c r="Z501" s="2" t="s">
        <v>38</v>
      </c>
      <c r="AA501" s="2" t="s">
        <v>38</v>
      </c>
      <c r="AB501" s="2" t="s">
        <v>38</v>
      </c>
      <c r="AC501" s="2" t="s">
        <v>39</v>
      </c>
      <c r="AD501" s="2" t="s">
        <v>38</v>
      </c>
      <c r="AE501" s="2" t="s">
        <v>38</v>
      </c>
    </row>
    <row r="502" spans="1:31" ht="409.5">
      <c r="A502" s="2">
        <v>2703397</v>
      </c>
      <c r="B502" s="2">
        <f>HYPERLINK("https://platform.v2.vetology.net/cases/2703397/screening-report/18?type=pdf&amp;v=v6&amp;scorecard=1&amp;secret_key=BX%25IJ%24%2F65ieZ%29f6", 2703397)</f>
        <v>2703397</v>
      </c>
      <c r="C502" s="2">
        <f>HYPERLINK("https://platform.v2.vetology.net/report/v/final/"&amp;2703397, 2703397)</f>
        <v>2703397</v>
      </c>
      <c r="D502" s="2" t="s">
        <v>1666</v>
      </c>
      <c r="E502" s="2" t="s">
        <v>1667</v>
      </c>
      <c r="F502" s="2" t="s">
        <v>81</v>
      </c>
      <c r="G502" s="2" t="s">
        <v>150</v>
      </c>
      <c r="H502" s="2" t="s">
        <v>129</v>
      </c>
      <c r="I502" s="2" t="s">
        <v>44</v>
      </c>
      <c r="J502" s="2"/>
      <c r="K502" s="2" t="s">
        <v>38</v>
      </c>
      <c r="L502" s="2" t="s">
        <v>39</v>
      </c>
      <c r="M502" s="2" t="s">
        <v>38</v>
      </c>
      <c r="N502" s="2" t="s">
        <v>38</v>
      </c>
      <c r="O502" s="2" t="s">
        <v>38</v>
      </c>
      <c r="P502" s="2" t="s">
        <v>38</v>
      </c>
      <c r="Q502" s="2" t="s">
        <v>38</v>
      </c>
      <c r="R502" s="2" t="s">
        <v>38</v>
      </c>
      <c r="S502" s="2" t="s">
        <v>38</v>
      </c>
      <c r="T502" s="2" t="s">
        <v>38</v>
      </c>
      <c r="U502" s="2" t="s">
        <v>38</v>
      </c>
      <c r="V502" s="2" t="s">
        <v>38</v>
      </c>
      <c r="W502" s="2" t="s">
        <v>38</v>
      </c>
      <c r="X502" s="2" t="s">
        <v>38</v>
      </c>
      <c r="Y502" s="2" t="s">
        <v>38</v>
      </c>
      <c r="Z502" s="2" t="s">
        <v>38</v>
      </c>
      <c r="AA502" s="2" t="s">
        <v>38</v>
      </c>
      <c r="AB502" s="2" t="s">
        <v>38</v>
      </c>
      <c r="AC502" s="2" t="s">
        <v>38</v>
      </c>
      <c r="AD502" s="2" t="s">
        <v>38</v>
      </c>
      <c r="AE502" s="2" t="s">
        <v>38</v>
      </c>
    </row>
    <row r="503" spans="1:31" ht="409.5">
      <c r="A503" s="2">
        <v>2703292</v>
      </c>
      <c r="B503" s="2">
        <f>HYPERLINK("https://platform.v2.vetology.net/cases/2703292/screening-report/18?type=pdf&amp;v=v6&amp;scorecard=1&amp;secret_key=BX%25IJ%24%2F65ieZ%29f6", 2703292)</f>
        <v>2703292</v>
      </c>
      <c r="C503" s="2">
        <f>HYPERLINK("https://platform.v2.vetology.net/report/v/final/"&amp;2703292, 2703292)</f>
        <v>2703292</v>
      </c>
      <c r="D503" s="2" t="s">
        <v>1668</v>
      </c>
      <c r="E503" s="2" t="s">
        <v>1669</v>
      </c>
      <c r="F503" s="2" t="s">
        <v>1670</v>
      </c>
      <c r="G503" s="2" t="s">
        <v>58</v>
      </c>
      <c r="H503" s="2" t="s">
        <v>1552</v>
      </c>
      <c r="I503" s="2" t="s">
        <v>264</v>
      </c>
      <c r="J503" s="2" t="s">
        <v>265</v>
      </c>
      <c r="K503" s="2" t="s">
        <v>38</v>
      </c>
      <c r="L503" s="2" t="s">
        <v>39</v>
      </c>
      <c r="M503" s="2" t="s">
        <v>38</v>
      </c>
      <c r="N503" s="2" t="s">
        <v>38</v>
      </c>
      <c r="O503" s="2" t="s">
        <v>39</v>
      </c>
      <c r="P503" s="2" t="s">
        <v>39</v>
      </c>
      <c r="Q503" s="2" t="s">
        <v>38</v>
      </c>
      <c r="R503" s="2" t="s">
        <v>38</v>
      </c>
      <c r="S503" s="2" t="s">
        <v>39</v>
      </c>
      <c r="T503" s="2" t="s">
        <v>39</v>
      </c>
      <c r="U503" s="2" t="s">
        <v>38</v>
      </c>
      <c r="V503" s="2" t="s">
        <v>39</v>
      </c>
      <c r="W503" s="2" t="s">
        <v>38</v>
      </c>
      <c r="X503" s="2" t="s">
        <v>39</v>
      </c>
      <c r="Y503" s="2" t="s">
        <v>38</v>
      </c>
      <c r="Z503" s="2" t="s">
        <v>39</v>
      </c>
      <c r="AA503" s="2" t="s">
        <v>38</v>
      </c>
      <c r="AB503" s="2" t="s">
        <v>39</v>
      </c>
      <c r="AC503" s="2" t="s">
        <v>38</v>
      </c>
      <c r="AD503" s="2" t="s">
        <v>38</v>
      </c>
      <c r="AE503" s="2" t="s">
        <v>38</v>
      </c>
    </row>
    <row r="504" spans="1:31" ht="409.5">
      <c r="A504" s="2">
        <v>2703179</v>
      </c>
      <c r="B504" s="2">
        <f>HYPERLINK("https://platform.v2.vetology.net/cases/2703179/screening-report/18?type=pdf&amp;v=v6&amp;scorecard=1&amp;secret_key=BX%25IJ%24%2F65ieZ%29f6", 2703179)</f>
        <v>2703179</v>
      </c>
      <c r="C504" s="2">
        <f>HYPERLINK("https://platform.v2.vetology.net/report/v/final/"&amp;2703179, 2703179)</f>
        <v>2703179</v>
      </c>
      <c r="D504" s="2" t="s">
        <v>1671</v>
      </c>
      <c r="E504" s="2" t="s">
        <v>1672</v>
      </c>
      <c r="F504" s="2" t="s">
        <v>81</v>
      </c>
      <c r="G504" s="2" t="s">
        <v>150</v>
      </c>
      <c r="H504" s="2" t="s">
        <v>723</v>
      </c>
      <c r="I504" s="2" t="s">
        <v>44</v>
      </c>
      <c r="J504" s="2"/>
      <c r="K504" s="2" t="s">
        <v>38</v>
      </c>
      <c r="L504" s="2" t="s">
        <v>38</v>
      </c>
      <c r="M504" s="2" t="s">
        <v>39</v>
      </c>
      <c r="N504" s="2" t="s">
        <v>38</v>
      </c>
      <c r="O504" s="2" t="s">
        <v>38</v>
      </c>
      <c r="P504" s="2" t="s">
        <v>38</v>
      </c>
      <c r="Q504" s="2" t="s">
        <v>38</v>
      </c>
      <c r="R504" s="2" t="s">
        <v>38</v>
      </c>
      <c r="S504" s="2" t="s">
        <v>38</v>
      </c>
      <c r="T504" s="2" t="s">
        <v>38</v>
      </c>
      <c r="U504" s="2" t="s">
        <v>38</v>
      </c>
      <c r="V504" s="2" t="s">
        <v>38</v>
      </c>
      <c r="W504" s="2" t="s">
        <v>38</v>
      </c>
      <c r="X504" s="2" t="s">
        <v>38</v>
      </c>
      <c r="Y504" s="2" t="s">
        <v>38</v>
      </c>
      <c r="Z504" s="2" t="s">
        <v>38</v>
      </c>
      <c r="AA504" s="2" t="s">
        <v>38</v>
      </c>
      <c r="AB504" s="2" t="s">
        <v>38</v>
      </c>
      <c r="AC504" s="2" t="s">
        <v>38</v>
      </c>
      <c r="AD504" s="2" t="s">
        <v>38</v>
      </c>
      <c r="AE504" s="2" t="s">
        <v>38</v>
      </c>
    </row>
    <row r="505" spans="1:31" ht="409.5">
      <c r="A505" s="2">
        <v>2703169</v>
      </c>
      <c r="B505" s="2">
        <f>HYPERLINK("https://platform.v2.vetology.net/cases/2703169/screening-report/18?type=pdf&amp;v=v6&amp;scorecard=1&amp;secret_key=BX%25IJ%24%2F65ieZ%29f6", 2703169)</f>
        <v>2703169</v>
      </c>
      <c r="C505" s="2">
        <f>HYPERLINK("https://platform.v2.vetology.net/report/v/final/"&amp;2703169, 2703169)</f>
        <v>2703169</v>
      </c>
      <c r="D505" s="2" t="s">
        <v>1673</v>
      </c>
      <c r="E505" s="2" t="s">
        <v>1674</v>
      </c>
      <c r="F505" s="2" t="s">
        <v>1675</v>
      </c>
      <c r="G505" s="2" t="s">
        <v>58</v>
      </c>
      <c r="H505" s="2" t="s">
        <v>733</v>
      </c>
      <c r="I505" s="2" t="s">
        <v>158</v>
      </c>
      <c r="J505" s="2" t="s">
        <v>50</v>
      </c>
      <c r="K505" s="2" t="s">
        <v>38</v>
      </c>
      <c r="L505" s="2" t="s">
        <v>38</v>
      </c>
      <c r="M505" s="2" t="s">
        <v>38</v>
      </c>
      <c r="N505" s="2" t="s">
        <v>38</v>
      </c>
      <c r="O505" s="2" t="s">
        <v>38</v>
      </c>
      <c r="P505" s="2" t="s">
        <v>39</v>
      </c>
      <c r="Q505" s="2" t="s">
        <v>38</v>
      </c>
      <c r="R505" s="2" t="s">
        <v>38</v>
      </c>
      <c r="S505" s="2" t="s">
        <v>38</v>
      </c>
      <c r="T505" s="2" t="s">
        <v>38</v>
      </c>
      <c r="U505" s="2" t="s">
        <v>38</v>
      </c>
      <c r="V505" s="2" t="s">
        <v>38</v>
      </c>
      <c r="W505" s="2" t="s">
        <v>38</v>
      </c>
      <c r="X505" s="2" t="s">
        <v>38</v>
      </c>
      <c r="Y505" s="2" t="s">
        <v>38</v>
      </c>
      <c r="Z505" s="2" t="s">
        <v>38</v>
      </c>
      <c r="AA505" s="2" t="s">
        <v>38</v>
      </c>
      <c r="AB505" s="2" t="s">
        <v>38</v>
      </c>
      <c r="AC505" s="2" t="s">
        <v>38</v>
      </c>
      <c r="AD505" s="2" t="s">
        <v>38</v>
      </c>
      <c r="AE505" s="2" t="s">
        <v>38</v>
      </c>
    </row>
    <row r="506" spans="1:31" ht="409.5">
      <c r="A506" s="2">
        <v>2702988</v>
      </c>
      <c r="B506" s="2">
        <f>HYPERLINK("https://platform.v2.vetology.net/cases/2702988/screening-report/18?type=pdf&amp;v=v6&amp;scorecard=1&amp;secret_key=BX%25IJ%24%2F65ieZ%29f6", 2702988)</f>
        <v>2702988</v>
      </c>
      <c r="C506" s="2">
        <f>HYPERLINK("https://platform.v2.vetology.net/report/v/final/"&amp;2702988, 2702988)</f>
        <v>2702988</v>
      </c>
      <c r="D506" s="2" t="s">
        <v>1676</v>
      </c>
      <c r="E506" s="2" t="s">
        <v>1677</v>
      </c>
      <c r="F506" s="2"/>
      <c r="G506" s="2" t="s">
        <v>150</v>
      </c>
      <c r="H506" s="2" t="s">
        <v>71</v>
      </c>
      <c r="I506" s="2" t="s">
        <v>44</v>
      </c>
      <c r="J506" s="2" t="s">
        <v>106</v>
      </c>
      <c r="K506" s="2" t="s">
        <v>38</v>
      </c>
      <c r="L506" s="2" t="s">
        <v>39</v>
      </c>
      <c r="M506" s="2" t="s">
        <v>38</v>
      </c>
      <c r="N506" s="2" t="s">
        <v>38</v>
      </c>
      <c r="O506" s="2" t="s">
        <v>38</v>
      </c>
      <c r="P506" s="2" t="s">
        <v>38</v>
      </c>
      <c r="Q506" s="2" t="s">
        <v>38</v>
      </c>
      <c r="R506" s="2" t="s">
        <v>38</v>
      </c>
      <c r="S506" s="2" t="s">
        <v>38</v>
      </c>
      <c r="T506" s="2" t="s">
        <v>39</v>
      </c>
      <c r="U506" s="2" t="s">
        <v>38</v>
      </c>
      <c r="V506" s="2" t="s">
        <v>39</v>
      </c>
      <c r="W506" s="2" t="s">
        <v>38</v>
      </c>
      <c r="X506" s="2" t="s">
        <v>38</v>
      </c>
      <c r="Y506" s="2" t="s">
        <v>38</v>
      </c>
      <c r="Z506" s="2" t="s">
        <v>38</v>
      </c>
      <c r="AA506" s="2" t="s">
        <v>38</v>
      </c>
      <c r="AB506" s="2" t="s">
        <v>38</v>
      </c>
      <c r="AC506" s="2" t="s">
        <v>38</v>
      </c>
      <c r="AD506" s="2" t="s">
        <v>38</v>
      </c>
      <c r="AE506" s="2" t="s">
        <v>38</v>
      </c>
    </row>
    <row r="507" spans="1:31" ht="409.5">
      <c r="A507" s="2">
        <v>2702925</v>
      </c>
      <c r="B507" s="2">
        <f>HYPERLINK("https://platform.v2.vetology.net/cases/2702925/screening-report/18?type=pdf&amp;v=v6&amp;scorecard=1&amp;secret_key=BX%25IJ%24%2F65ieZ%29f6", 2702925)</f>
        <v>2702925</v>
      </c>
      <c r="C507" s="2">
        <f>HYPERLINK("https://platform.v2.vetology.net/report/v/final/"&amp;2702925, 2702925)</f>
        <v>2702925</v>
      </c>
      <c r="D507" s="2" t="s">
        <v>1678</v>
      </c>
      <c r="E507" s="2" t="s">
        <v>1679</v>
      </c>
      <c r="F507" s="2" t="s">
        <v>81</v>
      </c>
      <c r="G507" s="2" t="s">
        <v>82</v>
      </c>
      <c r="H507" s="2" t="s">
        <v>1680</v>
      </c>
      <c r="I507" s="2" t="s">
        <v>689</v>
      </c>
      <c r="J507" s="2" t="s">
        <v>690</v>
      </c>
      <c r="K507" s="2" t="s">
        <v>38</v>
      </c>
      <c r="L507" s="2" t="s">
        <v>39</v>
      </c>
      <c r="M507" s="2" t="s">
        <v>39</v>
      </c>
      <c r="N507" s="2" t="s">
        <v>39</v>
      </c>
      <c r="O507" s="2" t="s">
        <v>38</v>
      </c>
      <c r="P507" s="2" t="s">
        <v>39</v>
      </c>
      <c r="Q507" s="2" t="s">
        <v>39</v>
      </c>
      <c r="R507" s="2" t="s">
        <v>38</v>
      </c>
      <c r="S507" s="2" t="s">
        <v>39</v>
      </c>
      <c r="T507" s="2" t="s">
        <v>38</v>
      </c>
      <c r="U507" s="2" t="s">
        <v>39</v>
      </c>
      <c r="V507" s="2" t="s">
        <v>38</v>
      </c>
      <c r="W507" s="2" t="s">
        <v>38</v>
      </c>
      <c r="X507" s="2" t="s">
        <v>38</v>
      </c>
      <c r="Y507" s="2" t="s">
        <v>38</v>
      </c>
      <c r="Z507" s="2" t="s">
        <v>39</v>
      </c>
      <c r="AA507" s="2" t="s">
        <v>39</v>
      </c>
      <c r="AB507" s="2" t="s">
        <v>39</v>
      </c>
      <c r="AC507" s="2" t="s">
        <v>39</v>
      </c>
      <c r="AD507" s="2" t="s">
        <v>38</v>
      </c>
      <c r="AE507" s="2" t="s">
        <v>39</v>
      </c>
    </row>
    <row r="508" spans="1:31" ht="409.5">
      <c r="A508" s="2">
        <v>2702895</v>
      </c>
      <c r="B508" s="2">
        <f>HYPERLINK("https://platform.v2.vetology.net/cases/2702895/screening-report/18?type=pdf&amp;v=v6&amp;scorecard=1&amp;secret_key=BX%25IJ%24%2F65ieZ%29f6", 2702895)</f>
        <v>2702895</v>
      </c>
      <c r="C508" s="2">
        <f>HYPERLINK("https://platform.v2.vetology.net/report/v/final/"&amp;2702895, 2702895)</f>
        <v>2702895</v>
      </c>
      <c r="D508" s="2" t="s">
        <v>1681</v>
      </c>
      <c r="E508" s="2" t="s">
        <v>1682</v>
      </c>
      <c r="F508" s="2" t="s">
        <v>1683</v>
      </c>
      <c r="G508" s="2" t="s">
        <v>63</v>
      </c>
      <c r="H508" s="2" t="s">
        <v>1684</v>
      </c>
      <c r="I508" s="2" t="s">
        <v>214</v>
      </c>
      <c r="J508" s="2" t="s">
        <v>50</v>
      </c>
      <c r="K508" s="2" t="s">
        <v>38</v>
      </c>
      <c r="L508" s="2" t="s">
        <v>39</v>
      </c>
      <c r="M508" s="2" t="s">
        <v>38</v>
      </c>
      <c r="N508" s="2" t="s">
        <v>38</v>
      </c>
      <c r="O508" s="2" t="s">
        <v>38</v>
      </c>
      <c r="P508" s="2" t="s">
        <v>38</v>
      </c>
      <c r="Q508" s="2" t="s">
        <v>38</v>
      </c>
      <c r="R508" s="2" t="s">
        <v>38</v>
      </c>
      <c r="S508" s="2" t="s">
        <v>38</v>
      </c>
      <c r="T508" s="2" t="s">
        <v>38</v>
      </c>
      <c r="U508" s="2" t="s">
        <v>38</v>
      </c>
      <c r="V508" s="2" t="s">
        <v>38</v>
      </c>
      <c r="W508" s="2" t="s">
        <v>38</v>
      </c>
      <c r="X508" s="2" t="s">
        <v>38</v>
      </c>
      <c r="Y508" s="2" t="s">
        <v>38</v>
      </c>
      <c r="Z508" s="2" t="s">
        <v>38</v>
      </c>
      <c r="AA508" s="2" t="s">
        <v>38</v>
      </c>
      <c r="AB508" s="2" t="s">
        <v>39</v>
      </c>
      <c r="AC508" s="2" t="s">
        <v>38</v>
      </c>
      <c r="AD508" s="2" t="s">
        <v>38</v>
      </c>
      <c r="AE508" s="2" t="s">
        <v>38</v>
      </c>
    </row>
    <row r="509" spans="1:31" ht="409.5">
      <c r="A509" s="2">
        <v>2702675</v>
      </c>
      <c r="B509" s="2">
        <f>HYPERLINK("https://platform.v2.vetology.net/cases/2702675/screening-report/18?type=pdf&amp;v=v6&amp;scorecard=1&amp;secret_key=BX%25IJ%24%2F65ieZ%29f6", 2702675)</f>
        <v>2702675</v>
      </c>
      <c r="C509" s="2">
        <f>HYPERLINK("https://platform.v2.vetology.net/report/v/final/"&amp;2702675, 2702675)</f>
        <v>2702675</v>
      </c>
      <c r="D509" s="2" t="s">
        <v>1685</v>
      </c>
      <c r="E509" s="2" t="s">
        <v>1686</v>
      </c>
      <c r="F509" s="2" t="s">
        <v>1687</v>
      </c>
      <c r="G509" s="2" t="s">
        <v>34</v>
      </c>
      <c r="H509" s="2" t="s">
        <v>1577</v>
      </c>
      <c r="I509" s="2" t="s">
        <v>89</v>
      </c>
      <c r="J509" s="2" t="s">
        <v>66</v>
      </c>
      <c r="K509" s="2" t="s">
        <v>38</v>
      </c>
      <c r="L509" s="2" t="s">
        <v>38</v>
      </c>
      <c r="M509" s="2" t="s">
        <v>39</v>
      </c>
      <c r="N509" s="2" t="s">
        <v>38</v>
      </c>
      <c r="O509" s="2" t="s">
        <v>39</v>
      </c>
      <c r="P509" s="2" t="s">
        <v>38</v>
      </c>
      <c r="Q509" s="2" t="s">
        <v>38</v>
      </c>
      <c r="R509" s="2" t="s">
        <v>38</v>
      </c>
      <c r="S509" s="2" t="s">
        <v>38</v>
      </c>
      <c r="T509" s="2" t="s">
        <v>39</v>
      </c>
      <c r="U509" s="2" t="s">
        <v>38</v>
      </c>
      <c r="V509" s="2" t="s">
        <v>39</v>
      </c>
      <c r="W509" s="2" t="s">
        <v>38</v>
      </c>
      <c r="X509" s="2" t="s">
        <v>39</v>
      </c>
      <c r="Y509" s="2" t="s">
        <v>38</v>
      </c>
      <c r="Z509" s="2" t="s">
        <v>39</v>
      </c>
      <c r="AA509" s="2" t="s">
        <v>38</v>
      </c>
      <c r="AB509" s="2" t="s">
        <v>39</v>
      </c>
      <c r="AC509" s="2" t="s">
        <v>38</v>
      </c>
      <c r="AD509" s="2" t="s">
        <v>38</v>
      </c>
      <c r="AE509" s="2" t="s">
        <v>38</v>
      </c>
    </row>
    <row r="510" spans="1:31" ht="409.5">
      <c r="A510" s="2">
        <v>2702545</v>
      </c>
      <c r="B510" s="2">
        <f>HYPERLINK("https://platform.v2.vetology.net/cases/2702545/screening-report/18?type=pdf&amp;v=v6&amp;scorecard=1&amp;secret_key=BX%25IJ%24%2F65ieZ%29f6", 2702545)</f>
        <v>2702545</v>
      </c>
      <c r="C510" s="2">
        <f>HYPERLINK("https://platform.v2.vetology.net/report/v/final/"&amp;2702545, 2702545)</f>
        <v>2702545</v>
      </c>
      <c r="D510" s="2" t="s">
        <v>1688</v>
      </c>
      <c r="E510" s="2" t="s">
        <v>1689</v>
      </c>
      <c r="F510" s="2" t="s">
        <v>1690</v>
      </c>
      <c r="G510" s="2" t="s">
        <v>34</v>
      </c>
      <c r="H510" s="2" t="s">
        <v>1162</v>
      </c>
      <c r="I510" s="2" t="s">
        <v>190</v>
      </c>
      <c r="J510" s="2" t="s">
        <v>112</v>
      </c>
      <c r="K510" s="2" t="s">
        <v>39</v>
      </c>
      <c r="L510" s="2" t="s">
        <v>39</v>
      </c>
      <c r="M510" s="2" t="s">
        <v>39</v>
      </c>
      <c r="N510" s="2" t="s">
        <v>39</v>
      </c>
      <c r="O510" s="2" t="s">
        <v>39</v>
      </c>
      <c r="P510" s="2" t="s">
        <v>39</v>
      </c>
      <c r="Q510" s="2" t="s">
        <v>39</v>
      </c>
      <c r="R510" s="2" t="s">
        <v>39</v>
      </c>
      <c r="S510" s="2" t="s">
        <v>39</v>
      </c>
      <c r="T510" s="2" t="s">
        <v>39</v>
      </c>
      <c r="U510" s="2" t="s">
        <v>39</v>
      </c>
      <c r="V510" s="2" t="s">
        <v>39</v>
      </c>
      <c r="W510" s="2" t="s">
        <v>39</v>
      </c>
      <c r="X510" s="2" t="s">
        <v>39</v>
      </c>
      <c r="Y510" s="2" t="s">
        <v>39</v>
      </c>
      <c r="Z510" s="2" t="s">
        <v>39</v>
      </c>
      <c r="AA510" s="2" t="s">
        <v>39</v>
      </c>
      <c r="AB510" s="2" t="s">
        <v>39</v>
      </c>
      <c r="AC510" s="2" t="s">
        <v>39</v>
      </c>
      <c r="AD510" s="2" t="s">
        <v>39</v>
      </c>
      <c r="AE510" s="2" t="s">
        <v>39</v>
      </c>
    </row>
    <row r="511" spans="1:31" ht="409.5">
      <c r="A511" s="2">
        <v>2702491</v>
      </c>
      <c r="B511" s="2">
        <f>HYPERLINK("https://platform.v2.vetology.net/cases/2702491/screening-report/18?type=pdf&amp;v=v6&amp;scorecard=1&amp;secret_key=BX%25IJ%24%2F65ieZ%29f6", 2702491)</f>
        <v>2702491</v>
      </c>
      <c r="C511" s="2">
        <f>HYPERLINK("https://platform.v2.vetology.net/report/v/final/"&amp;2702491, 2702491)</f>
        <v>2702491</v>
      </c>
      <c r="D511" s="2" t="s">
        <v>1691</v>
      </c>
      <c r="E511" s="2" t="s">
        <v>1692</v>
      </c>
      <c r="F511" s="2" t="s">
        <v>1693</v>
      </c>
      <c r="G511" s="2" t="s">
        <v>58</v>
      </c>
      <c r="H511" s="2" t="s">
        <v>1694</v>
      </c>
      <c r="I511" s="2" t="s">
        <v>190</v>
      </c>
      <c r="J511" s="2" t="s">
        <v>112</v>
      </c>
      <c r="K511" s="2" t="s">
        <v>39</v>
      </c>
      <c r="L511" s="2" t="s">
        <v>39</v>
      </c>
      <c r="M511" s="2" t="s">
        <v>39</v>
      </c>
      <c r="N511" s="2" t="s">
        <v>39</v>
      </c>
      <c r="O511" s="2" t="s">
        <v>39</v>
      </c>
      <c r="P511" s="2" t="s">
        <v>39</v>
      </c>
      <c r="Q511" s="2" t="s">
        <v>39</v>
      </c>
      <c r="R511" s="2" t="s">
        <v>39</v>
      </c>
      <c r="S511" s="2" t="s">
        <v>39</v>
      </c>
      <c r="T511" s="2" t="s">
        <v>39</v>
      </c>
      <c r="U511" s="2" t="s">
        <v>39</v>
      </c>
      <c r="V511" s="2" t="s">
        <v>39</v>
      </c>
      <c r="W511" s="2" t="s">
        <v>39</v>
      </c>
      <c r="X511" s="2" t="s">
        <v>39</v>
      </c>
      <c r="Y511" s="2" t="s">
        <v>39</v>
      </c>
      <c r="Z511" s="2" t="s">
        <v>39</v>
      </c>
      <c r="AA511" s="2" t="s">
        <v>39</v>
      </c>
      <c r="AB511" s="2" t="s">
        <v>39</v>
      </c>
      <c r="AC511" s="2" t="s">
        <v>39</v>
      </c>
      <c r="AD511" s="2" t="s">
        <v>38</v>
      </c>
      <c r="AE511" s="2" t="s">
        <v>39</v>
      </c>
    </row>
    <row r="512" spans="1:31" ht="409.5">
      <c r="A512" s="2">
        <v>2702488</v>
      </c>
      <c r="B512" s="2">
        <f>HYPERLINK("https://platform.v2.vetology.net/cases/2702488/screening-report/18?type=pdf&amp;v=v6&amp;scorecard=1&amp;secret_key=BX%25IJ%24%2F65ieZ%29f6", 2702488)</f>
        <v>2702488</v>
      </c>
      <c r="C512" s="2">
        <f>HYPERLINK("https://platform.v2.vetology.net/report/v/final/"&amp;2702488, 2702488)</f>
        <v>2702488</v>
      </c>
      <c r="D512" s="2" t="s">
        <v>1695</v>
      </c>
      <c r="E512" s="2" t="s">
        <v>1696</v>
      </c>
      <c r="F512" s="2" t="s">
        <v>81</v>
      </c>
      <c r="G512" s="2" t="s">
        <v>268</v>
      </c>
      <c r="H512" s="2" t="s">
        <v>78</v>
      </c>
      <c r="I512" s="2" t="s">
        <v>199</v>
      </c>
      <c r="J512" s="2"/>
      <c r="K512" s="2" t="s">
        <v>38</v>
      </c>
      <c r="L512" s="2" t="s">
        <v>39</v>
      </c>
      <c r="M512" s="2" t="s">
        <v>38</v>
      </c>
      <c r="N512" s="2" t="s">
        <v>38</v>
      </c>
      <c r="O512" s="2" t="s">
        <v>38</v>
      </c>
      <c r="P512" s="2" t="s">
        <v>38</v>
      </c>
      <c r="Q512" s="2" t="s">
        <v>39</v>
      </c>
      <c r="R512" s="2" t="s">
        <v>38</v>
      </c>
      <c r="S512" s="2" t="s">
        <v>38</v>
      </c>
      <c r="T512" s="2" t="s">
        <v>38</v>
      </c>
      <c r="U512" s="2" t="s">
        <v>38</v>
      </c>
      <c r="V512" s="2" t="s">
        <v>38</v>
      </c>
      <c r="W512" s="2" t="s">
        <v>38</v>
      </c>
      <c r="X512" s="2" t="s">
        <v>38</v>
      </c>
      <c r="Y512" s="2" t="s">
        <v>38</v>
      </c>
      <c r="Z512" s="2" t="s">
        <v>38</v>
      </c>
      <c r="AA512" s="2" t="s">
        <v>38</v>
      </c>
      <c r="AB512" s="2" t="s">
        <v>39</v>
      </c>
      <c r="AC512" s="2" t="s">
        <v>38</v>
      </c>
      <c r="AD512" s="2" t="s">
        <v>38</v>
      </c>
      <c r="AE512" s="2" t="s">
        <v>38</v>
      </c>
    </row>
    <row r="513" spans="1:31" ht="409.5">
      <c r="A513" s="2">
        <v>2702310</v>
      </c>
      <c r="B513" s="2">
        <f>HYPERLINK("https://platform.v2.vetology.net/cases/2702310/screening-report/18?type=pdf&amp;v=v6&amp;scorecard=1&amp;secret_key=BX%25IJ%24%2F65ieZ%29f6", 2702310)</f>
        <v>2702310</v>
      </c>
      <c r="C513" s="2">
        <f>HYPERLINK("https://platform.v2.vetology.net/report/v/final/"&amp;2702310, 2702310)</f>
        <v>2702310</v>
      </c>
      <c r="D513" s="2" t="s">
        <v>1697</v>
      </c>
      <c r="E513" s="2" t="s">
        <v>1698</v>
      </c>
      <c r="F513" s="2" t="s">
        <v>81</v>
      </c>
      <c r="G513" s="2" t="s">
        <v>268</v>
      </c>
      <c r="H513" s="2" t="s">
        <v>1699</v>
      </c>
      <c r="I513" s="2" t="s">
        <v>681</v>
      </c>
      <c r="J513" s="2" t="s">
        <v>50</v>
      </c>
      <c r="K513" s="2" t="s">
        <v>38</v>
      </c>
      <c r="L513" s="2" t="s">
        <v>39</v>
      </c>
      <c r="M513" s="2" t="s">
        <v>39</v>
      </c>
      <c r="N513" s="2" t="s">
        <v>38</v>
      </c>
      <c r="O513" s="2" t="s">
        <v>38</v>
      </c>
      <c r="P513" s="2" t="s">
        <v>39</v>
      </c>
      <c r="Q513" s="2" t="s">
        <v>38</v>
      </c>
      <c r="R513" s="2" t="s">
        <v>38</v>
      </c>
      <c r="S513" s="2" t="s">
        <v>38</v>
      </c>
      <c r="T513" s="2" t="s">
        <v>39</v>
      </c>
      <c r="U513" s="2" t="s">
        <v>38</v>
      </c>
      <c r="V513" s="2" t="s">
        <v>39</v>
      </c>
      <c r="W513" s="2" t="s">
        <v>38</v>
      </c>
      <c r="X513" s="2" t="s">
        <v>39</v>
      </c>
      <c r="Y513" s="2" t="s">
        <v>38</v>
      </c>
      <c r="Z513" s="2" t="s">
        <v>38</v>
      </c>
      <c r="AA513" s="2" t="s">
        <v>38</v>
      </c>
      <c r="AB513" s="2" t="s">
        <v>39</v>
      </c>
      <c r="AC513" s="2" t="s">
        <v>39</v>
      </c>
      <c r="AD513" s="2" t="s">
        <v>38</v>
      </c>
      <c r="AE513" s="2" t="s">
        <v>39</v>
      </c>
    </row>
    <row r="514" spans="1:31" ht="409.5">
      <c r="A514" s="2">
        <v>2702026</v>
      </c>
      <c r="B514" s="2">
        <f>HYPERLINK("https://platform.v2.vetology.net/cases/2702026/screening-report/18?type=pdf&amp;v=v6&amp;scorecard=1&amp;secret_key=BX%25IJ%24%2F65ieZ%29f6", 2702026)</f>
        <v>2702026</v>
      </c>
      <c r="C514" s="2">
        <f>HYPERLINK("https://platform.v2.vetology.net/report/v/final/"&amp;2702026, 2702026)</f>
        <v>2702026</v>
      </c>
      <c r="D514" s="2" t="s">
        <v>608</v>
      </c>
      <c r="E514" s="2" t="s">
        <v>133</v>
      </c>
      <c r="F514" s="2" t="s">
        <v>134</v>
      </c>
      <c r="G514" s="2" t="s">
        <v>135</v>
      </c>
      <c r="H514" s="2" t="s">
        <v>54</v>
      </c>
      <c r="I514" s="2" t="s">
        <v>44</v>
      </c>
      <c r="J514" s="2"/>
      <c r="K514" s="2" t="s">
        <v>38</v>
      </c>
      <c r="L514" s="2" t="s">
        <v>38</v>
      </c>
      <c r="M514" s="2" t="s">
        <v>38</v>
      </c>
      <c r="N514" s="2" t="s">
        <v>38</v>
      </c>
      <c r="O514" s="2" t="s">
        <v>38</v>
      </c>
      <c r="P514" s="2" t="s">
        <v>38</v>
      </c>
      <c r="Q514" s="2" t="s">
        <v>38</v>
      </c>
      <c r="R514" s="2" t="s">
        <v>38</v>
      </c>
      <c r="S514" s="2" t="s">
        <v>38</v>
      </c>
      <c r="T514" s="2" t="s">
        <v>38</v>
      </c>
      <c r="U514" s="2" t="s">
        <v>38</v>
      </c>
      <c r="V514" s="2" t="s">
        <v>38</v>
      </c>
      <c r="W514" s="2" t="s">
        <v>38</v>
      </c>
      <c r="X514" s="2" t="s">
        <v>38</v>
      </c>
      <c r="Y514" s="2" t="s">
        <v>38</v>
      </c>
      <c r="Z514" s="2" t="s">
        <v>38</v>
      </c>
      <c r="AA514" s="2" t="s">
        <v>38</v>
      </c>
      <c r="AB514" s="2" t="s">
        <v>38</v>
      </c>
      <c r="AC514" s="2" t="s">
        <v>38</v>
      </c>
      <c r="AD514" s="2" t="s">
        <v>38</v>
      </c>
      <c r="AE514" s="2" t="s">
        <v>38</v>
      </c>
    </row>
    <row r="515" spans="1:31" ht="409.5">
      <c r="A515" s="2">
        <v>2701652</v>
      </c>
      <c r="B515" s="2">
        <f>HYPERLINK("https://platform.v2.vetology.net/cases/2701652/screening-report/18?type=pdf&amp;v=v6&amp;scorecard=1&amp;secret_key=BX%25IJ%24%2F65ieZ%29f6", 2701652)</f>
        <v>2701652</v>
      </c>
      <c r="C515" s="2">
        <f>HYPERLINK("https://platform.v2.vetology.net/report/v/final/"&amp;2701652, 2701652)</f>
        <v>2701652</v>
      </c>
      <c r="D515" s="2" t="s">
        <v>1700</v>
      </c>
      <c r="E515" s="2" t="s">
        <v>1701</v>
      </c>
      <c r="F515" s="2" t="s">
        <v>81</v>
      </c>
      <c r="G515" s="2" t="s">
        <v>82</v>
      </c>
      <c r="H515" s="2" t="s">
        <v>1702</v>
      </c>
      <c r="I515" s="2" t="s">
        <v>478</v>
      </c>
      <c r="J515" s="2" t="s">
        <v>479</v>
      </c>
      <c r="K515" s="2" t="s">
        <v>39</v>
      </c>
      <c r="L515" s="2" t="s">
        <v>39</v>
      </c>
      <c r="M515" s="2" t="s">
        <v>39</v>
      </c>
      <c r="N515" s="2" t="s">
        <v>39</v>
      </c>
      <c r="O515" s="2" t="s">
        <v>39</v>
      </c>
      <c r="P515" s="2" t="s">
        <v>39</v>
      </c>
      <c r="Q515" s="2" t="s">
        <v>38</v>
      </c>
      <c r="R515" s="2" t="s">
        <v>38</v>
      </c>
      <c r="S515" s="2" t="s">
        <v>39</v>
      </c>
      <c r="T515" s="2" t="s">
        <v>39</v>
      </c>
      <c r="U515" s="2" t="s">
        <v>38</v>
      </c>
      <c r="V515" s="2" t="s">
        <v>38</v>
      </c>
      <c r="W515" s="2" t="s">
        <v>38</v>
      </c>
      <c r="X515" s="2" t="s">
        <v>39</v>
      </c>
      <c r="Y515" s="2" t="s">
        <v>38</v>
      </c>
      <c r="Z515" s="2" t="s">
        <v>39</v>
      </c>
      <c r="AA515" s="2" t="s">
        <v>39</v>
      </c>
      <c r="AB515" s="2" t="s">
        <v>39</v>
      </c>
      <c r="AC515" s="2" t="s">
        <v>39</v>
      </c>
      <c r="AD515" s="2" t="s">
        <v>38</v>
      </c>
      <c r="AE515" s="2" t="s">
        <v>38</v>
      </c>
    </row>
    <row r="516" spans="1:31" ht="409.5">
      <c r="A516" s="2">
        <v>2701636</v>
      </c>
      <c r="B516" s="2">
        <f>HYPERLINK("https://platform.v2.vetology.net/cases/2701636/screening-report/18?type=pdf&amp;v=v6&amp;scorecard=1&amp;secret_key=BX%25IJ%24%2F65ieZ%29f6", 2701636)</f>
        <v>2701636</v>
      </c>
      <c r="C516" s="2">
        <f>HYPERLINK("https://platform.v2.vetology.net/report/v/final/"&amp;2701636, 2701636)</f>
        <v>2701636</v>
      </c>
      <c r="D516" s="2" t="s">
        <v>1703</v>
      </c>
      <c r="E516" s="2" t="s">
        <v>1704</v>
      </c>
      <c r="F516" s="2" t="s">
        <v>1705</v>
      </c>
      <c r="G516" s="2" t="s">
        <v>58</v>
      </c>
      <c r="H516" s="2" t="s">
        <v>1706</v>
      </c>
      <c r="I516" s="2" t="s">
        <v>435</v>
      </c>
      <c r="J516" s="2" t="s">
        <v>436</v>
      </c>
      <c r="K516" s="2" t="s">
        <v>38</v>
      </c>
      <c r="L516" s="2" t="s">
        <v>39</v>
      </c>
      <c r="M516" s="2" t="s">
        <v>39</v>
      </c>
      <c r="N516" s="2" t="s">
        <v>38</v>
      </c>
      <c r="O516" s="2" t="s">
        <v>39</v>
      </c>
      <c r="P516" s="2" t="s">
        <v>39</v>
      </c>
      <c r="Q516" s="2" t="s">
        <v>38</v>
      </c>
      <c r="R516" s="2" t="s">
        <v>38</v>
      </c>
      <c r="S516" s="2" t="s">
        <v>39</v>
      </c>
      <c r="T516" s="2" t="s">
        <v>39</v>
      </c>
      <c r="U516" s="2" t="s">
        <v>39</v>
      </c>
      <c r="V516" s="2" t="s">
        <v>39</v>
      </c>
      <c r="W516" s="2" t="s">
        <v>38</v>
      </c>
      <c r="X516" s="2" t="s">
        <v>39</v>
      </c>
      <c r="Y516" s="2" t="s">
        <v>38</v>
      </c>
      <c r="Z516" s="2" t="s">
        <v>39</v>
      </c>
      <c r="AA516" s="2" t="s">
        <v>38</v>
      </c>
      <c r="AB516" s="2" t="s">
        <v>39</v>
      </c>
      <c r="AC516" s="2" t="s">
        <v>38</v>
      </c>
      <c r="AD516" s="2" t="s">
        <v>38</v>
      </c>
      <c r="AE516" s="2" t="s">
        <v>39</v>
      </c>
    </row>
    <row r="517" spans="1:31" ht="409.5">
      <c r="A517" s="2">
        <v>2701565</v>
      </c>
      <c r="B517" s="2">
        <f>HYPERLINK("https://platform.v2.vetology.net/cases/2701565/screening-report/18?type=pdf&amp;v=v6&amp;scorecard=1&amp;secret_key=BX%25IJ%24%2F65ieZ%29f6", 2701565)</f>
        <v>2701565</v>
      </c>
      <c r="C517" s="2">
        <f>HYPERLINK("https://platform.v2.vetology.net/report/v/final/"&amp;2701565, 2701565)</f>
        <v>2701565</v>
      </c>
      <c r="D517" s="2" t="s">
        <v>1707</v>
      </c>
      <c r="E517" s="2" t="s">
        <v>1708</v>
      </c>
      <c r="F517" s="2" t="s">
        <v>523</v>
      </c>
      <c r="G517" s="2" t="s">
        <v>141</v>
      </c>
      <c r="H517" s="2" t="s">
        <v>1223</v>
      </c>
      <c r="I517" s="2" t="s">
        <v>207</v>
      </c>
      <c r="J517" s="2" t="s">
        <v>208</v>
      </c>
      <c r="K517" s="2" t="s">
        <v>39</v>
      </c>
      <c r="L517" s="2" t="s">
        <v>39</v>
      </c>
      <c r="M517" s="2" t="s">
        <v>39</v>
      </c>
      <c r="N517" s="2" t="s">
        <v>38</v>
      </c>
      <c r="O517" s="2" t="s">
        <v>38</v>
      </c>
      <c r="P517" s="2" t="s">
        <v>38</v>
      </c>
      <c r="Q517" s="2" t="s">
        <v>38</v>
      </c>
      <c r="R517" s="2" t="s">
        <v>38</v>
      </c>
      <c r="S517" s="2" t="s">
        <v>38</v>
      </c>
      <c r="T517" s="2" t="s">
        <v>39</v>
      </c>
      <c r="U517" s="2" t="s">
        <v>38</v>
      </c>
      <c r="V517" s="2" t="s">
        <v>39</v>
      </c>
      <c r="W517" s="2" t="s">
        <v>38</v>
      </c>
      <c r="X517" s="2" t="s">
        <v>39</v>
      </c>
      <c r="Y517" s="2" t="s">
        <v>38</v>
      </c>
      <c r="Z517" s="2" t="s">
        <v>39</v>
      </c>
      <c r="AA517" s="2" t="s">
        <v>38</v>
      </c>
      <c r="AB517" s="2" t="s">
        <v>38</v>
      </c>
      <c r="AC517" s="2" t="s">
        <v>39</v>
      </c>
      <c r="AD517" s="2" t="s">
        <v>38</v>
      </c>
      <c r="AE517" s="2" t="s">
        <v>38</v>
      </c>
    </row>
    <row r="518" spans="1:31" ht="409.5">
      <c r="A518" s="2">
        <v>2701517</v>
      </c>
      <c r="B518" s="2">
        <f>HYPERLINK("https://platform.v2.vetology.net/cases/2701517/screening-report/18?type=pdf&amp;v=v6&amp;scorecard=1&amp;secret_key=BX%25IJ%24%2F65ieZ%29f6", 2701517)</f>
        <v>2701517</v>
      </c>
      <c r="C518" s="2">
        <f>HYPERLINK("https://platform.v2.vetology.net/report/v/final/"&amp;2701517, 2701517)</f>
        <v>2701517</v>
      </c>
      <c r="D518" s="2" t="s">
        <v>1709</v>
      </c>
      <c r="E518" s="2" t="s">
        <v>1710</v>
      </c>
      <c r="F518" s="2" t="s">
        <v>455</v>
      </c>
      <c r="G518" s="2" t="s">
        <v>58</v>
      </c>
      <c r="H518" s="2" t="s">
        <v>901</v>
      </c>
      <c r="I518" s="2" t="s">
        <v>689</v>
      </c>
      <c r="J518" s="2" t="s">
        <v>690</v>
      </c>
      <c r="K518" s="2" t="s">
        <v>38</v>
      </c>
      <c r="L518" s="2" t="s">
        <v>38</v>
      </c>
      <c r="M518" s="2" t="s">
        <v>38</v>
      </c>
      <c r="N518" s="2" t="s">
        <v>38</v>
      </c>
      <c r="O518" s="2" t="s">
        <v>38</v>
      </c>
      <c r="P518" s="2" t="s">
        <v>38</v>
      </c>
      <c r="Q518" s="2" t="s">
        <v>38</v>
      </c>
      <c r="R518" s="2" t="s">
        <v>38</v>
      </c>
      <c r="S518" s="2" t="s">
        <v>39</v>
      </c>
      <c r="T518" s="2" t="s">
        <v>39</v>
      </c>
      <c r="U518" s="2" t="s">
        <v>38</v>
      </c>
      <c r="V518" s="2" t="s">
        <v>39</v>
      </c>
      <c r="W518" s="2" t="s">
        <v>38</v>
      </c>
      <c r="X518" s="2" t="s">
        <v>39</v>
      </c>
      <c r="Y518" s="2" t="s">
        <v>38</v>
      </c>
      <c r="Z518" s="2" t="s">
        <v>38</v>
      </c>
      <c r="AA518" s="2" t="s">
        <v>38</v>
      </c>
      <c r="AB518" s="2" t="s">
        <v>38</v>
      </c>
      <c r="AC518" s="2" t="s">
        <v>38</v>
      </c>
      <c r="AD518" s="2" t="s">
        <v>38</v>
      </c>
      <c r="AE518" s="2" t="s">
        <v>38</v>
      </c>
    </row>
    <row r="519" spans="1:31" ht="409.5">
      <c r="A519" s="2">
        <v>2701477</v>
      </c>
      <c r="B519" s="2">
        <f>HYPERLINK("https://platform.v2.vetology.net/cases/2701477/screening-report/18?type=pdf&amp;v=v6&amp;scorecard=1&amp;secret_key=BX%25IJ%24%2F65ieZ%29f6", 2701477)</f>
        <v>2701477</v>
      </c>
      <c r="C519" s="2">
        <f>HYPERLINK("https://platform.v2.vetology.net/report/v/final/"&amp;2701477, 2701477)</f>
        <v>2701477</v>
      </c>
      <c r="D519" s="2" t="s">
        <v>1711</v>
      </c>
      <c r="E519" s="2" t="s">
        <v>1712</v>
      </c>
      <c r="F519" s="2"/>
      <c r="G519" s="2" t="s">
        <v>150</v>
      </c>
      <c r="H519" s="2" t="s">
        <v>129</v>
      </c>
      <c r="I519" s="2" t="s">
        <v>44</v>
      </c>
      <c r="J519" s="2"/>
      <c r="K519" s="2" t="s">
        <v>38</v>
      </c>
      <c r="L519" s="2" t="s">
        <v>39</v>
      </c>
      <c r="M519" s="2" t="s">
        <v>39</v>
      </c>
      <c r="N519" s="2" t="s">
        <v>38</v>
      </c>
      <c r="O519" s="2" t="s">
        <v>38</v>
      </c>
      <c r="P519" s="2" t="s">
        <v>38</v>
      </c>
      <c r="Q519" s="2" t="s">
        <v>38</v>
      </c>
      <c r="R519" s="2" t="s">
        <v>38</v>
      </c>
      <c r="S519" s="2" t="s">
        <v>38</v>
      </c>
      <c r="T519" s="2" t="s">
        <v>39</v>
      </c>
      <c r="U519" s="2" t="s">
        <v>38</v>
      </c>
      <c r="V519" s="2" t="s">
        <v>38</v>
      </c>
      <c r="W519" s="2" t="s">
        <v>38</v>
      </c>
      <c r="X519" s="2" t="s">
        <v>38</v>
      </c>
      <c r="Y519" s="2" t="s">
        <v>38</v>
      </c>
      <c r="Z519" s="2" t="s">
        <v>38</v>
      </c>
      <c r="AA519" s="2" t="s">
        <v>38</v>
      </c>
      <c r="AB519" s="2" t="s">
        <v>39</v>
      </c>
      <c r="AC519" s="2" t="s">
        <v>38</v>
      </c>
      <c r="AD519" s="2" t="s">
        <v>38</v>
      </c>
      <c r="AE519" s="2" t="s">
        <v>38</v>
      </c>
    </row>
    <row r="520" spans="1:31" ht="409.5">
      <c r="A520" s="2">
        <v>2701146</v>
      </c>
      <c r="B520" s="2">
        <f>HYPERLINK("https://platform.v2.vetology.net/cases/2701146/screening-report/18?type=pdf&amp;v=v6&amp;scorecard=1&amp;secret_key=BX%25IJ%24%2F65ieZ%29f6", 2701146)</f>
        <v>2701146</v>
      </c>
      <c r="C520" s="2">
        <f>HYPERLINK("https://platform.v2.vetology.net/report/v/final/"&amp;2701146, 2701146)</f>
        <v>2701146</v>
      </c>
      <c r="D520" s="2" t="s">
        <v>1713</v>
      </c>
      <c r="E520" s="2" t="s">
        <v>1714</v>
      </c>
      <c r="F520" s="2" t="s">
        <v>1715</v>
      </c>
      <c r="G520" s="2" t="s">
        <v>58</v>
      </c>
      <c r="H520" s="2" t="s">
        <v>78</v>
      </c>
      <c r="I520" s="2" t="s">
        <v>44</v>
      </c>
      <c r="J520" s="2" t="s">
        <v>106</v>
      </c>
      <c r="K520" s="2" t="s">
        <v>38</v>
      </c>
      <c r="L520" s="2" t="s">
        <v>39</v>
      </c>
      <c r="M520" s="2" t="s">
        <v>38</v>
      </c>
      <c r="N520" s="2" t="s">
        <v>38</v>
      </c>
      <c r="O520" s="2" t="s">
        <v>38</v>
      </c>
      <c r="P520" s="2" t="s">
        <v>38</v>
      </c>
      <c r="Q520" s="2" t="s">
        <v>38</v>
      </c>
      <c r="R520" s="2" t="s">
        <v>38</v>
      </c>
      <c r="S520" s="2" t="s">
        <v>38</v>
      </c>
      <c r="T520" s="2" t="s">
        <v>38</v>
      </c>
      <c r="U520" s="2" t="s">
        <v>39</v>
      </c>
      <c r="V520" s="2" t="s">
        <v>38</v>
      </c>
      <c r="W520" s="2" t="s">
        <v>38</v>
      </c>
      <c r="X520" s="2" t="s">
        <v>38</v>
      </c>
      <c r="Y520" s="2" t="s">
        <v>38</v>
      </c>
      <c r="Z520" s="2" t="s">
        <v>38</v>
      </c>
      <c r="AA520" s="2" t="s">
        <v>38</v>
      </c>
      <c r="AB520" s="2" t="s">
        <v>38</v>
      </c>
      <c r="AC520" s="2" t="s">
        <v>38</v>
      </c>
      <c r="AD520" s="2" t="s">
        <v>38</v>
      </c>
      <c r="AE520" s="2" t="s">
        <v>38</v>
      </c>
    </row>
    <row r="521" spans="1:31" ht="409.5">
      <c r="A521" s="2">
        <v>2701136</v>
      </c>
      <c r="B521" s="2">
        <f>HYPERLINK("https://platform.v2.vetology.net/cases/2701136/screening-report/18?type=pdf&amp;v=v6&amp;scorecard=1&amp;secret_key=BX%25IJ%24%2F65ieZ%29f6", 2701136)</f>
        <v>2701136</v>
      </c>
      <c r="C521" s="2">
        <f>HYPERLINK("https://platform.v2.vetology.net/report/v/final/"&amp;2701136, 2701136)</f>
        <v>2701136</v>
      </c>
      <c r="D521" s="2" t="s">
        <v>1716</v>
      </c>
      <c r="E521" s="2" t="s">
        <v>911</v>
      </c>
      <c r="F521" s="2"/>
      <c r="G521" s="2" t="s">
        <v>150</v>
      </c>
      <c r="H521" s="2" t="s">
        <v>54</v>
      </c>
      <c r="I521" s="2" t="s">
        <v>199</v>
      </c>
      <c r="J521" s="2"/>
      <c r="K521" s="2" t="s">
        <v>38</v>
      </c>
      <c r="L521" s="2" t="s">
        <v>39</v>
      </c>
      <c r="M521" s="2" t="s">
        <v>38</v>
      </c>
      <c r="N521" s="2" t="s">
        <v>38</v>
      </c>
      <c r="O521" s="2" t="s">
        <v>38</v>
      </c>
      <c r="P521" s="2" t="s">
        <v>38</v>
      </c>
      <c r="Q521" s="2" t="s">
        <v>38</v>
      </c>
      <c r="R521" s="2" t="s">
        <v>38</v>
      </c>
      <c r="S521" s="2" t="s">
        <v>38</v>
      </c>
      <c r="T521" s="2" t="s">
        <v>39</v>
      </c>
      <c r="U521" s="2" t="s">
        <v>39</v>
      </c>
      <c r="V521" s="2" t="s">
        <v>38</v>
      </c>
      <c r="W521" s="2" t="s">
        <v>38</v>
      </c>
      <c r="X521" s="2" t="s">
        <v>39</v>
      </c>
      <c r="Y521" s="2" t="s">
        <v>38</v>
      </c>
      <c r="Z521" s="2" t="s">
        <v>38</v>
      </c>
      <c r="AA521" s="2" t="s">
        <v>38</v>
      </c>
      <c r="AB521" s="2" t="s">
        <v>39</v>
      </c>
      <c r="AC521" s="2" t="s">
        <v>38</v>
      </c>
      <c r="AD521" s="2" t="s">
        <v>38</v>
      </c>
      <c r="AE521" s="2" t="s">
        <v>38</v>
      </c>
    </row>
    <row r="522" spans="1:31" ht="409.5">
      <c r="A522" s="2">
        <v>2701073</v>
      </c>
      <c r="B522" s="2">
        <f>HYPERLINK("https://platform.v2.vetology.net/cases/2701073/screening-report/18?type=pdf&amp;v=v6&amp;scorecard=1&amp;secret_key=BX%25IJ%24%2F65ieZ%29f6", 2701073)</f>
        <v>2701073</v>
      </c>
      <c r="C522" s="2">
        <f>HYPERLINK("https://platform.v2.vetology.net/report/v/final/"&amp;2701073, 2701073)</f>
        <v>2701073</v>
      </c>
      <c r="D522" s="2" t="s">
        <v>1717</v>
      </c>
      <c r="E522" s="2" t="s">
        <v>1718</v>
      </c>
      <c r="F522" s="2" t="s">
        <v>1719</v>
      </c>
      <c r="G522" s="2" t="s">
        <v>58</v>
      </c>
      <c r="H522" s="2" t="s">
        <v>129</v>
      </c>
      <c r="I522" s="2" t="s">
        <v>44</v>
      </c>
      <c r="J522" s="2"/>
      <c r="K522" s="2" t="s">
        <v>38</v>
      </c>
      <c r="L522" s="2" t="s">
        <v>39</v>
      </c>
      <c r="M522" s="2" t="s">
        <v>38</v>
      </c>
      <c r="N522" s="2" t="s">
        <v>38</v>
      </c>
      <c r="O522" s="2" t="s">
        <v>38</v>
      </c>
      <c r="P522" s="2" t="s">
        <v>38</v>
      </c>
      <c r="Q522" s="2" t="s">
        <v>38</v>
      </c>
      <c r="R522" s="2" t="s">
        <v>38</v>
      </c>
      <c r="S522" s="2" t="s">
        <v>38</v>
      </c>
      <c r="T522" s="2" t="s">
        <v>38</v>
      </c>
      <c r="U522" s="2" t="s">
        <v>38</v>
      </c>
      <c r="V522" s="2" t="s">
        <v>38</v>
      </c>
      <c r="W522" s="2" t="s">
        <v>38</v>
      </c>
      <c r="X522" s="2" t="s">
        <v>38</v>
      </c>
      <c r="Y522" s="2" t="s">
        <v>38</v>
      </c>
      <c r="Z522" s="2" t="s">
        <v>38</v>
      </c>
      <c r="AA522" s="2" t="s">
        <v>38</v>
      </c>
      <c r="AB522" s="2" t="s">
        <v>38</v>
      </c>
      <c r="AC522" s="2" t="s">
        <v>38</v>
      </c>
      <c r="AD522" s="2" t="s">
        <v>38</v>
      </c>
      <c r="AE522" s="2" t="s">
        <v>38</v>
      </c>
    </row>
    <row r="523" spans="1:31" ht="409.5">
      <c r="A523" s="2">
        <v>2700997</v>
      </c>
      <c r="B523" s="2">
        <f>HYPERLINK("https://platform.v2.vetology.net/cases/2700997/screening-report/18?type=pdf&amp;v=v6&amp;scorecard=1&amp;secret_key=BX%25IJ%24%2F65ieZ%29f6", 2700997)</f>
        <v>2700997</v>
      </c>
      <c r="C523" s="2">
        <f>HYPERLINK("https://platform.v2.vetology.net/report/v/final/"&amp;2700997, 2700997)</f>
        <v>2700997</v>
      </c>
      <c r="D523" s="2" t="s">
        <v>1720</v>
      </c>
      <c r="E523" s="2" t="s">
        <v>1721</v>
      </c>
      <c r="F523" s="2" t="s">
        <v>1722</v>
      </c>
      <c r="G523" s="2" t="s">
        <v>58</v>
      </c>
      <c r="H523" s="2" t="s">
        <v>1723</v>
      </c>
      <c r="I523" s="2" t="s">
        <v>65</v>
      </c>
      <c r="J523" s="2" t="s">
        <v>66</v>
      </c>
      <c r="K523" s="2" t="s">
        <v>38</v>
      </c>
      <c r="L523" s="2" t="s">
        <v>38</v>
      </c>
      <c r="M523" s="2" t="s">
        <v>38</v>
      </c>
      <c r="N523" s="2" t="s">
        <v>38</v>
      </c>
      <c r="O523" s="2" t="s">
        <v>38</v>
      </c>
      <c r="P523" s="2" t="s">
        <v>38</v>
      </c>
      <c r="Q523" s="2" t="s">
        <v>38</v>
      </c>
      <c r="R523" s="2" t="s">
        <v>38</v>
      </c>
      <c r="S523" s="2" t="s">
        <v>38</v>
      </c>
      <c r="T523" s="2" t="s">
        <v>38</v>
      </c>
      <c r="U523" s="2" t="s">
        <v>38</v>
      </c>
      <c r="V523" s="2" t="s">
        <v>38</v>
      </c>
      <c r="W523" s="2" t="s">
        <v>38</v>
      </c>
      <c r="X523" s="2" t="s">
        <v>38</v>
      </c>
      <c r="Y523" s="2" t="s">
        <v>38</v>
      </c>
      <c r="Z523" s="2" t="s">
        <v>38</v>
      </c>
      <c r="AA523" s="2" t="s">
        <v>38</v>
      </c>
      <c r="AB523" s="2" t="s">
        <v>39</v>
      </c>
      <c r="AC523" s="2" t="s">
        <v>38</v>
      </c>
      <c r="AD523" s="2" t="s">
        <v>38</v>
      </c>
      <c r="AE523" s="2" t="s">
        <v>38</v>
      </c>
    </row>
    <row r="524" spans="1:31" ht="409.5">
      <c r="A524" s="2">
        <v>2700837</v>
      </c>
      <c r="B524" s="2">
        <f>HYPERLINK("https://platform.v2.vetology.net/cases/2700837/screening-report/18?type=pdf&amp;v=v6&amp;scorecard=1&amp;secret_key=BX%25IJ%24%2F65ieZ%29f6", 2700837)</f>
        <v>2700837</v>
      </c>
      <c r="C524" s="2">
        <f>HYPERLINK("https://platform.v2.vetology.net/report/v/final/"&amp;2700837, 2700837)</f>
        <v>2700837</v>
      </c>
      <c r="D524" s="2" t="s">
        <v>1724</v>
      </c>
      <c r="E524" s="2" t="s">
        <v>1725</v>
      </c>
      <c r="F524" s="2" t="s">
        <v>1726</v>
      </c>
      <c r="G524" s="2" t="s">
        <v>82</v>
      </c>
      <c r="H524" s="2" t="s">
        <v>1727</v>
      </c>
      <c r="I524" s="2" t="s">
        <v>1728</v>
      </c>
      <c r="J524" s="2" t="s">
        <v>208</v>
      </c>
      <c r="K524" s="2" t="s">
        <v>38</v>
      </c>
      <c r="L524" s="2" t="s">
        <v>39</v>
      </c>
      <c r="M524" s="2" t="s">
        <v>39</v>
      </c>
      <c r="N524" s="2" t="s">
        <v>38</v>
      </c>
      <c r="O524" s="2" t="s">
        <v>38</v>
      </c>
      <c r="P524" s="2" t="s">
        <v>39</v>
      </c>
      <c r="Q524" s="2" t="s">
        <v>38</v>
      </c>
      <c r="R524" s="2" t="s">
        <v>38</v>
      </c>
      <c r="S524" s="2" t="s">
        <v>38</v>
      </c>
      <c r="T524" s="2" t="s">
        <v>39</v>
      </c>
      <c r="U524" s="2" t="s">
        <v>38</v>
      </c>
      <c r="V524" s="2" t="s">
        <v>38</v>
      </c>
      <c r="W524" s="2" t="s">
        <v>38</v>
      </c>
      <c r="X524" s="2" t="s">
        <v>39</v>
      </c>
      <c r="Y524" s="2" t="s">
        <v>38</v>
      </c>
      <c r="Z524" s="2" t="s">
        <v>38</v>
      </c>
      <c r="AA524" s="2" t="s">
        <v>38</v>
      </c>
      <c r="AB524" s="2" t="s">
        <v>38</v>
      </c>
      <c r="AC524" s="2" t="s">
        <v>38</v>
      </c>
      <c r="AD524" s="2" t="s">
        <v>38</v>
      </c>
      <c r="AE524" s="2" t="s">
        <v>38</v>
      </c>
    </row>
    <row r="525" spans="1:31" ht="409.5">
      <c r="A525" s="2">
        <v>2700726</v>
      </c>
      <c r="B525" s="2">
        <f>HYPERLINK("https://platform.v2.vetology.net/cases/2700726/screening-report/18?type=pdf&amp;v=v6&amp;scorecard=1&amp;secret_key=BX%25IJ%24%2F65ieZ%29f6", 2700726)</f>
        <v>2700726</v>
      </c>
      <c r="C525" s="2">
        <f>HYPERLINK("https://platform.v2.vetology.net/report/v/final/"&amp;2700726, 2700726)</f>
        <v>2700726</v>
      </c>
      <c r="D525" s="2" t="s">
        <v>1729</v>
      </c>
      <c r="E525" s="2" t="s">
        <v>1730</v>
      </c>
      <c r="F525" s="2" t="s">
        <v>1731</v>
      </c>
      <c r="G525" s="2" t="s">
        <v>34</v>
      </c>
      <c r="H525" s="2" t="s">
        <v>1552</v>
      </c>
      <c r="I525" s="2" t="s">
        <v>264</v>
      </c>
      <c r="J525" s="2" t="s">
        <v>265</v>
      </c>
      <c r="K525" s="2" t="s">
        <v>38</v>
      </c>
      <c r="L525" s="2" t="s">
        <v>39</v>
      </c>
      <c r="M525" s="2" t="s">
        <v>39</v>
      </c>
      <c r="N525" s="2" t="s">
        <v>38</v>
      </c>
      <c r="O525" s="2" t="s">
        <v>39</v>
      </c>
      <c r="P525" s="2" t="s">
        <v>39</v>
      </c>
      <c r="Q525" s="2" t="s">
        <v>38</v>
      </c>
      <c r="R525" s="2" t="s">
        <v>38</v>
      </c>
      <c r="S525" s="2" t="s">
        <v>39</v>
      </c>
      <c r="T525" s="2" t="s">
        <v>39</v>
      </c>
      <c r="U525" s="2" t="s">
        <v>38</v>
      </c>
      <c r="V525" s="2" t="s">
        <v>39</v>
      </c>
      <c r="W525" s="2" t="s">
        <v>38</v>
      </c>
      <c r="X525" s="2" t="s">
        <v>39</v>
      </c>
      <c r="Y525" s="2" t="s">
        <v>38</v>
      </c>
      <c r="Z525" s="2" t="s">
        <v>39</v>
      </c>
      <c r="AA525" s="2" t="s">
        <v>38</v>
      </c>
      <c r="AB525" s="2" t="s">
        <v>39</v>
      </c>
      <c r="AC525" s="2" t="s">
        <v>38</v>
      </c>
      <c r="AD525" s="2" t="s">
        <v>38</v>
      </c>
      <c r="AE525" s="2" t="s">
        <v>38</v>
      </c>
    </row>
    <row r="526" spans="1:31" ht="409.5">
      <c r="A526" s="2">
        <v>2700722</v>
      </c>
      <c r="B526" s="2">
        <f>HYPERLINK("https://platform.v2.vetology.net/cases/2700722/screening-report/18?type=pdf&amp;v=v6&amp;scorecard=1&amp;secret_key=BX%25IJ%24%2F65ieZ%29f6", 2700722)</f>
        <v>2700722</v>
      </c>
      <c r="C526" s="2">
        <f>HYPERLINK("https://platform.v2.vetology.net/report/v/final/"&amp;2700722, 2700722)</f>
        <v>2700722</v>
      </c>
      <c r="D526" s="2" t="s">
        <v>1732</v>
      </c>
      <c r="E526" s="2" t="s">
        <v>1733</v>
      </c>
      <c r="F526" s="2" t="s">
        <v>1734</v>
      </c>
      <c r="G526" s="2" t="s">
        <v>34</v>
      </c>
      <c r="H526" s="2" t="s">
        <v>442</v>
      </c>
      <c r="I526" s="2" t="s">
        <v>36</v>
      </c>
      <c r="J526" s="2" t="s">
        <v>37</v>
      </c>
      <c r="K526" s="2" t="s">
        <v>38</v>
      </c>
      <c r="L526" s="2" t="s">
        <v>39</v>
      </c>
      <c r="M526" s="2" t="s">
        <v>38</v>
      </c>
      <c r="N526" s="2" t="s">
        <v>38</v>
      </c>
      <c r="O526" s="2" t="s">
        <v>38</v>
      </c>
      <c r="P526" s="2" t="s">
        <v>39</v>
      </c>
      <c r="Q526" s="2" t="s">
        <v>38</v>
      </c>
      <c r="R526" s="2" t="s">
        <v>38</v>
      </c>
      <c r="S526" s="2" t="s">
        <v>38</v>
      </c>
      <c r="T526" s="2" t="s">
        <v>38</v>
      </c>
      <c r="U526" s="2" t="s">
        <v>38</v>
      </c>
      <c r="V526" s="2" t="s">
        <v>38</v>
      </c>
      <c r="W526" s="2" t="s">
        <v>38</v>
      </c>
      <c r="X526" s="2" t="s">
        <v>38</v>
      </c>
      <c r="Y526" s="2" t="s">
        <v>38</v>
      </c>
      <c r="Z526" s="2" t="s">
        <v>38</v>
      </c>
      <c r="AA526" s="2" t="s">
        <v>38</v>
      </c>
      <c r="AB526" s="2" t="s">
        <v>38</v>
      </c>
      <c r="AC526" s="2" t="s">
        <v>38</v>
      </c>
      <c r="AD526" s="2" t="s">
        <v>38</v>
      </c>
      <c r="AE526" s="2" t="s">
        <v>38</v>
      </c>
    </row>
    <row r="527" spans="1:31" ht="409.5">
      <c r="A527" s="2">
        <v>2700659</v>
      </c>
      <c r="B527" s="2">
        <f>HYPERLINK("https://platform.v2.vetology.net/cases/2700659/screening-report/18?type=pdf&amp;v=v6&amp;scorecard=1&amp;secret_key=BX%25IJ%24%2F65ieZ%29f6", 2700659)</f>
        <v>2700659</v>
      </c>
      <c r="C527" s="2">
        <f>HYPERLINK("https://platform.v2.vetology.net/report/v/final/"&amp;2700659, 2700659)</f>
        <v>2700659</v>
      </c>
      <c r="D527" s="2" t="s">
        <v>1735</v>
      </c>
      <c r="E527" s="2" t="s">
        <v>1736</v>
      </c>
      <c r="F527" s="2" t="s">
        <v>1737</v>
      </c>
      <c r="G527" s="2" t="s">
        <v>34</v>
      </c>
      <c r="H527" s="2" t="s">
        <v>54</v>
      </c>
      <c r="I527" s="2" t="s">
        <v>44</v>
      </c>
      <c r="J527" s="2"/>
      <c r="K527" s="2" t="s">
        <v>38</v>
      </c>
      <c r="L527" s="2" t="s">
        <v>38</v>
      </c>
      <c r="M527" s="2" t="s">
        <v>39</v>
      </c>
      <c r="N527" s="2" t="s">
        <v>38</v>
      </c>
      <c r="O527" s="2" t="s">
        <v>38</v>
      </c>
      <c r="P527" s="2" t="s">
        <v>38</v>
      </c>
      <c r="Q527" s="2" t="s">
        <v>38</v>
      </c>
      <c r="R527" s="2" t="s">
        <v>38</v>
      </c>
      <c r="S527" s="2" t="s">
        <v>38</v>
      </c>
      <c r="T527" s="2" t="s">
        <v>39</v>
      </c>
      <c r="U527" s="2" t="s">
        <v>39</v>
      </c>
      <c r="V527" s="2" t="s">
        <v>39</v>
      </c>
      <c r="W527" s="2" t="s">
        <v>38</v>
      </c>
      <c r="X527" s="2" t="s">
        <v>39</v>
      </c>
      <c r="Y527" s="2" t="s">
        <v>38</v>
      </c>
      <c r="Z527" s="2" t="s">
        <v>38</v>
      </c>
      <c r="AA527" s="2" t="s">
        <v>38</v>
      </c>
      <c r="AB527" s="2" t="s">
        <v>38</v>
      </c>
      <c r="AC527" s="2" t="s">
        <v>38</v>
      </c>
      <c r="AD527" s="2" t="s">
        <v>38</v>
      </c>
      <c r="AE527" s="2" t="s">
        <v>38</v>
      </c>
    </row>
    <row r="528" spans="1:31" ht="409.5">
      <c r="A528" s="2">
        <v>2700543</v>
      </c>
      <c r="B528" s="2">
        <f>HYPERLINK("https://platform.v2.vetology.net/cases/2700543/screening-report/18?type=pdf&amp;v=v6&amp;scorecard=1&amp;secret_key=BX%25IJ%24%2F65ieZ%29f6", 2700543)</f>
        <v>2700543</v>
      </c>
      <c r="C528" s="2">
        <f>HYPERLINK("https://platform.v2.vetology.net/report/v/final/"&amp;2700543, 2700543)</f>
        <v>2700543</v>
      </c>
      <c r="D528" s="2" t="s">
        <v>1738</v>
      </c>
      <c r="E528" s="2" t="s">
        <v>1739</v>
      </c>
      <c r="F528" s="2" t="s">
        <v>1193</v>
      </c>
      <c r="G528" s="2" t="s">
        <v>135</v>
      </c>
      <c r="H528" s="2" t="s">
        <v>1740</v>
      </c>
      <c r="I528" s="2" t="s">
        <v>145</v>
      </c>
      <c r="J528" s="2" t="s">
        <v>146</v>
      </c>
      <c r="K528" s="2" t="s">
        <v>38</v>
      </c>
      <c r="L528" s="2" t="s">
        <v>39</v>
      </c>
      <c r="M528" s="2" t="s">
        <v>39</v>
      </c>
      <c r="N528" s="2" t="s">
        <v>38</v>
      </c>
      <c r="O528" s="2" t="s">
        <v>38</v>
      </c>
      <c r="P528" s="2" t="s">
        <v>38</v>
      </c>
      <c r="Q528" s="2" t="s">
        <v>38</v>
      </c>
      <c r="R528" s="2" t="s">
        <v>38</v>
      </c>
      <c r="S528" s="2" t="s">
        <v>38</v>
      </c>
      <c r="T528" s="2" t="s">
        <v>38</v>
      </c>
      <c r="U528" s="2" t="s">
        <v>38</v>
      </c>
      <c r="V528" s="2" t="s">
        <v>38</v>
      </c>
      <c r="W528" s="2" t="s">
        <v>38</v>
      </c>
      <c r="X528" s="2" t="s">
        <v>38</v>
      </c>
      <c r="Y528" s="2" t="s">
        <v>38</v>
      </c>
      <c r="Z528" s="2" t="s">
        <v>38</v>
      </c>
      <c r="AA528" s="2" t="s">
        <v>38</v>
      </c>
      <c r="AB528" s="2" t="s">
        <v>39</v>
      </c>
      <c r="AC528" s="2" t="s">
        <v>38</v>
      </c>
      <c r="AD528" s="2" t="s">
        <v>38</v>
      </c>
      <c r="AE528" s="2" t="s">
        <v>38</v>
      </c>
    </row>
    <row r="529" spans="1:31" ht="409.5">
      <c r="A529" s="2">
        <v>2700350</v>
      </c>
      <c r="B529" s="2">
        <f>HYPERLINK("https://platform.v2.vetology.net/cases/2700350/screening-report/18?type=pdf&amp;v=v6&amp;scorecard=1&amp;secret_key=BX%25IJ%24%2F65ieZ%29f6", 2700350)</f>
        <v>2700350</v>
      </c>
      <c r="C529" s="2">
        <f>HYPERLINK("https://platform.v2.vetology.net/report/v/final/"&amp;2700350, 2700350)</f>
        <v>2700350</v>
      </c>
      <c r="D529" s="2" t="s">
        <v>1741</v>
      </c>
      <c r="E529" s="2" t="s">
        <v>1742</v>
      </c>
      <c r="F529" s="2" t="s">
        <v>81</v>
      </c>
      <c r="G529" s="2" t="s">
        <v>150</v>
      </c>
      <c r="H529" s="2" t="s">
        <v>607</v>
      </c>
      <c r="I529" s="2" t="s">
        <v>137</v>
      </c>
      <c r="J529" s="2" t="s">
        <v>66</v>
      </c>
      <c r="K529" s="2" t="s">
        <v>38</v>
      </c>
      <c r="L529" s="2" t="s">
        <v>38</v>
      </c>
      <c r="M529" s="2" t="s">
        <v>39</v>
      </c>
      <c r="N529" s="2" t="s">
        <v>38</v>
      </c>
      <c r="O529" s="2" t="s">
        <v>38</v>
      </c>
      <c r="P529" s="2" t="s">
        <v>38</v>
      </c>
      <c r="Q529" s="2" t="s">
        <v>38</v>
      </c>
      <c r="R529" s="2" t="s">
        <v>38</v>
      </c>
      <c r="S529" s="2" t="s">
        <v>38</v>
      </c>
      <c r="T529" s="2" t="s">
        <v>38</v>
      </c>
      <c r="U529" s="2" t="s">
        <v>38</v>
      </c>
      <c r="V529" s="2" t="s">
        <v>38</v>
      </c>
      <c r="W529" s="2" t="s">
        <v>38</v>
      </c>
      <c r="X529" s="2" t="s">
        <v>38</v>
      </c>
      <c r="Y529" s="2" t="s">
        <v>38</v>
      </c>
      <c r="Z529" s="2" t="s">
        <v>38</v>
      </c>
      <c r="AA529" s="2" t="s">
        <v>38</v>
      </c>
      <c r="AB529" s="2" t="s">
        <v>38</v>
      </c>
      <c r="AC529" s="2" t="s">
        <v>38</v>
      </c>
      <c r="AD529" s="2" t="s">
        <v>38</v>
      </c>
      <c r="AE529" s="2" t="s">
        <v>38</v>
      </c>
    </row>
    <row r="530" spans="1:31" ht="409.5">
      <c r="A530" s="2">
        <v>2700110</v>
      </c>
      <c r="B530" s="2">
        <f>HYPERLINK("https://platform.v2.vetology.net/cases/2700110/screening-report/18?type=pdf&amp;v=v6&amp;scorecard=1&amp;secret_key=BX%25IJ%24%2F65ieZ%29f6", 2700110)</f>
        <v>2700110</v>
      </c>
      <c r="C530" s="2">
        <f>HYPERLINK("https://platform.v2.vetology.net/report/v/final/"&amp;2700110, 2700110)</f>
        <v>2700110</v>
      </c>
      <c r="D530" s="2" t="s">
        <v>1743</v>
      </c>
      <c r="E530" s="2" t="s">
        <v>1744</v>
      </c>
      <c r="F530" s="2" t="s">
        <v>81</v>
      </c>
      <c r="G530" s="2" t="s">
        <v>82</v>
      </c>
      <c r="H530" s="2" t="s">
        <v>413</v>
      </c>
      <c r="I530" s="2" t="s">
        <v>214</v>
      </c>
      <c r="J530" s="2" t="s">
        <v>50</v>
      </c>
      <c r="K530" s="2" t="s">
        <v>38</v>
      </c>
      <c r="L530" s="2" t="s">
        <v>38</v>
      </c>
      <c r="M530" s="2" t="s">
        <v>39</v>
      </c>
      <c r="N530" s="2" t="s">
        <v>38</v>
      </c>
      <c r="O530" s="2" t="s">
        <v>38</v>
      </c>
      <c r="P530" s="2" t="s">
        <v>38</v>
      </c>
      <c r="Q530" s="2" t="s">
        <v>39</v>
      </c>
      <c r="R530" s="2" t="s">
        <v>38</v>
      </c>
      <c r="S530" s="2" t="s">
        <v>39</v>
      </c>
      <c r="T530" s="2" t="s">
        <v>38</v>
      </c>
      <c r="U530" s="2" t="s">
        <v>38</v>
      </c>
      <c r="V530" s="2" t="s">
        <v>38</v>
      </c>
      <c r="W530" s="2" t="s">
        <v>38</v>
      </c>
      <c r="X530" s="2" t="s">
        <v>38</v>
      </c>
      <c r="Y530" s="2" t="s">
        <v>38</v>
      </c>
      <c r="Z530" s="2" t="s">
        <v>38</v>
      </c>
      <c r="AA530" s="2" t="s">
        <v>38</v>
      </c>
      <c r="AB530" s="2" t="s">
        <v>39</v>
      </c>
      <c r="AC530" s="2" t="s">
        <v>39</v>
      </c>
      <c r="AD530" s="2" t="s">
        <v>38</v>
      </c>
      <c r="AE530" s="2" t="s">
        <v>38</v>
      </c>
    </row>
    <row r="531" spans="1:31" ht="409.5">
      <c r="A531" s="2">
        <v>2700047</v>
      </c>
      <c r="B531" s="2">
        <f>HYPERLINK("https://platform.v2.vetology.net/cases/2700047/screening-report/18?type=pdf&amp;v=v6&amp;scorecard=1&amp;secret_key=BX%25IJ%24%2F65ieZ%29f6", 2700047)</f>
        <v>2700047</v>
      </c>
      <c r="C531" s="2">
        <f>HYPERLINK("https://platform.v2.vetology.net/report/v/final/"&amp;2700047, 2700047)</f>
        <v>2700047</v>
      </c>
      <c r="D531" s="2" t="s">
        <v>1745</v>
      </c>
      <c r="E531" s="2" t="s">
        <v>1746</v>
      </c>
      <c r="F531" s="2" t="s">
        <v>81</v>
      </c>
      <c r="G531" s="2" t="s">
        <v>82</v>
      </c>
      <c r="H531" s="2" t="s">
        <v>48</v>
      </c>
      <c r="I531" s="2" t="s">
        <v>49</v>
      </c>
      <c r="J531" s="2" t="s">
        <v>50</v>
      </c>
      <c r="K531" s="2" t="s">
        <v>38</v>
      </c>
      <c r="L531" s="2" t="s">
        <v>38</v>
      </c>
      <c r="M531" s="2" t="s">
        <v>38</v>
      </c>
      <c r="N531" s="2" t="s">
        <v>38</v>
      </c>
      <c r="O531" s="2" t="s">
        <v>38</v>
      </c>
      <c r="P531" s="2" t="s">
        <v>38</v>
      </c>
      <c r="Q531" s="2" t="s">
        <v>38</v>
      </c>
      <c r="R531" s="2" t="s">
        <v>38</v>
      </c>
      <c r="S531" s="2" t="s">
        <v>38</v>
      </c>
      <c r="T531" s="2" t="s">
        <v>39</v>
      </c>
      <c r="U531" s="2" t="s">
        <v>38</v>
      </c>
      <c r="V531" s="2" t="s">
        <v>39</v>
      </c>
      <c r="W531" s="2" t="s">
        <v>38</v>
      </c>
      <c r="X531" s="2" t="s">
        <v>39</v>
      </c>
      <c r="Y531" s="2" t="s">
        <v>38</v>
      </c>
      <c r="Z531" s="2" t="s">
        <v>38</v>
      </c>
      <c r="AA531" s="2" t="s">
        <v>38</v>
      </c>
      <c r="AB531" s="2" t="s">
        <v>38</v>
      </c>
      <c r="AC531" s="2" t="s">
        <v>38</v>
      </c>
      <c r="AD531" s="2" t="s">
        <v>38</v>
      </c>
      <c r="AE531" s="2" t="s">
        <v>38</v>
      </c>
    </row>
    <row r="532" spans="1:31" ht="409.5">
      <c r="A532" s="2">
        <v>2700009</v>
      </c>
      <c r="B532" s="2">
        <f>HYPERLINK("https://platform.v2.vetology.net/cases/2700009/screening-report/18?type=pdf&amp;v=v6&amp;scorecard=1&amp;secret_key=BX%25IJ%24%2F65ieZ%29f6", 2700009)</f>
        <v>2700009</v>
      </c>
      <c r="C532" s="2">
        <f>HYPERLINK("https://platform.v2.vetology.net/report/v/final/"&amp;2700009, 2700009)</f>
        <v>2700009</v>
      </c>
      <c r="D532" s="2" t="s">
        <v>1747</v>
      </c>
      <c r="E532" s="2" t="s">
        <v>1748</v>
      </c>
      <c r="F532" s="2" t="s">
        <v>81</v>
      </c>
      <c r="G532" s="2" t="s">
        <v>150</v>
      </c>
      <c r="H532" s="2" t="s">
        <v>965</v>
      </c>
      <c r="I532" s="2" t="s">
        <v>966</v>
      </c>
      <c r="J532" s="2" t="s">
        <v>66</v>
      </c>
      <c r="K532" s="2" t="s">
        <v>38</v>
      </c>
      <c r="L532" s="2" t="s">
        <v>38</v>
      </c>
      <c r="M532" s="2" t="s">
        <v>39</v>
      </c>
      <c r="N532" s="2" t="s">
        <v>38</v>
      </c>
      <c r="O532" s="2" t="s">
        <v>39</v>
      </c>
      <c r="P532" s="2" t="s">
        <v>39</v>
      </c>
      <c r="Q532" s="2" t="s">
        <v>38</v>
      </c>
      <c r="R532" s="2" t="s">
        <v>38</v>
      </c>
      <c r="S532" s="2" t="s">
        <v>38</v>
      </c>
      <c r="T532" s="2" t="s">
        <v>39</v>
      </c>
      <c r="U532" s="2" t="s">
        <v>38</v>
      </c>
      <c r="V532" s="2" t="s">
        <v>39</v>
      </c>
      <c r="W532" s="2" t="s">
        <v>38</v>
      </c>
      <c r="X532" s="2" t="s">
        <v>39</v>
      </c>
      <c r="Y532" s="2" t="s">
        <v>38</v>
      </c>
      <c r="Z532" s="2" t="s">
        <v>39</v>
      </c>
      <c r="AA532" s="2" t="s">
        <v>38</v>
      </c>
      <c r="AB532" s="2" t="s">
        <v>39</v>
      </c>
      <c r="AC532" s="2" t="s">
        <v>39</v>
      </c>
      <c r="AD532" s="2" t="s">
        <v>38</v>
      </c>
      <c r="AE532" s="2" t="s">
        <v>38</v>
      </c>
    </row>
    <row r="533" spans="1:31" ht="409.5">
      <c r="A533" s="2">
        <v>2699751</v>
      </c>
      <c r="B533" s="2">
        <f>HYPERLINK("https://platform.v2.vetology.net/cases/2699751/screening-report/18?type=pdf&amp;v=v6&amp;scorecard=1&amp;secret_key=BX%25IJ%24%2F65ieZ%29f6", 2699751)</f>
        <v>2699751</v>
      </c>
      <c r="C533" s="2">
        <f>HYPERLINK("https://platform.v2.vetology.net/report/v/final/"&amp;2699751, 2699751)</f>
        <v>2699751</v>
      </c>
      <c r="D533" s="2" t="s">
        <v>1749</v>
      </c>
      <c r="E533" s="2" t="s">
        <v>1750</v>
      </c>
      <c r="F533" s="2" t="s">
        <v>1751</v>
      </c>
      <c r="G533" s="2" t="s">
        <v>135</v>
      </c>
      <c r="H533" s="2" t="s">
        <v>78</v>
      </c>
      <c r="I533" s="2" t="s">
        <v>44</v>
      </c>
      <c r="J533" s="2" t="s">
        <v>106</v>
      </c>
      <c r="K533" s="2" t="s">
        <v>38</v>
      </c>
      <c r="L533" s="2" t="s">
        <v>38</v>
      </c>
      <c r="M533" s="2" t="s">
        <v>39</v>
      </c>
      <c r="N533" s="2" t="s">
        <v>38</v>
      </c>
      <c r="O533" s="2" t="s">
        <v>38</v>
      </c>
      <c r="P533" s="2" t="s">
        <v>38</v>
      </c>
      <c r="Q533" s="2" t="s">
        <v>38</v>
      </c>
      <c r="R533" s="2" t="s">
        <v>38</v>
      </c>
      <c r="S533" s="2" t="s">
        <v>38</v>
      </c>
      <c r="T533" s="2" t="s">
        <v>39</v>
      </c>
      <c r="U533" s="2" t="s">
        <v>38</v>
      </c>
      <c r="V533" s="2" t="s">
        <v>39</v>
      </c>
      <c r="W533" s="2" t="s">
        <v>38</v>
      </c>
      <c r="X533" s="2" t="s">
        <v>39</v>
      </c>
      <c r="Y533" s="2" t="s">
        <v>38</v>
      </c>
      <c r="Z533" s="2" t="s">
        <v>38</v>
      </c>
      <c r="AA533" s="2" t="s">
        <v>38</v>
      </c>
      <c r="AB533" s="2" t="s">
        <v>39</v>
      </c>
      <c r="AC533" s="2" t="s">
        <v>38</v>
      </c>
      <c r="AD533" s="2" t="s">
        <v>38</v>
      </c>
      <c r="AE533" s="2" t="s">
        <v>38</v>
      </c>
    </row>
    <row r="534" spans="1:31" ht="409.5">
      <c r="A534" s="2">
        <v>2699461</v>
      </c>
      <c r="B534" s="2">
        <f>HYPERLINK("https://platform.v2.vetology.net/cases/2699461/screening-report/18?type=pdf&amp;v=v6&amp;scorecard=1&amp;secret_key=BX%25IJ%24%2F65ieZ%29f6", 2699461)</f>
        <v>2699461</v>
      </c>
      <c r="C534" s="2">
        <f>HYPERLINK("https://platform.v2.vetology.net/report/v/final/"&amp;2699461, 2699461)</f>
        <v>2699461</v>
      </c>
      <c r="D534" s="2" t="s">
        <v>1752</v>
      </c>
      <c r="E534" s="2" t="s">
        <v>1753</v>
      </c>
      <c r="F534" s="2"/>
      <c r="G534" s="2" t="s">
        <v>141</v>
      </c>
      <c r="H534" s="2" t="s">
        <v>1754</v>
      </c>
      <c r="I534" s="2" t="s">
        <v>988</v>
      </c>
      <c r="J534" s="2" t="s">
        <v>989</v>
      </c>
      <c r="K534" s="2" t="s">
        <v>39</v>
      </c>
      <c r="L534" s="2" t="s">
        <v>39</v>
      </c>
      <c r="M534" s="2" t="s">
        <v>39</v>
      </c>
      <c r="N534" s="2" t="s">
        <v>39</v>
      </c>
      <c r="O534" s="2" t="s">
        <v>39</v>
      </c>
      <c r="P534" s="2" t="s">
        <v>39</v>
      </c>
      <c r="Q534" s="2" t="s">
        <v>39</v>
      </c>
      <c r="R534" s="2" t="s">
        <v>39</v>
      </c>
      <c r="S534" s="2" t="s">
        <v>39</v>
      </c>
      <c r="T534" s="2" t="s">
        <v>39</v>
      </c>
      <c r="U534" s="2" t="s">
        <v>39</v>
      </c>
      <c r="V534" s="2" t="s">
        <v>39</v>
      </c>
      <c r="W534" s="2" t="s">
        <v>39</v>
      </c>
      <c r="X534" s="2" t="s">
        <v>39</v>
      </c>
      <c r="Y534" s="2" t="s">
        <v>39</v>
      </c>
      <c r="Z534" s="2" t="s">
        <v>39</v>
      </c>
      <c r="AA534" s="2" t="s">
        <v>39</v>
      </c>
      <c r="AB534" s="2" t="s">
        <v>39</v>
      </c>
      <c r="AC534" s="2" t="s">
        <v>39</v>
      </c>
      <c r="AD534" s="2" t="s">
        <v>38</v>
      </c>
      <c r="AE534" s="2" t="s">
        <v>39</v>
      </c>
    </row>
    <row r="535" spans="1:31" ht="409.5">
      <c r="A535" s="2">
        <v>2699406</v>
      </c>
      <c r="B535" s="2">
        <f>HYPERLINK("https://platform.v2.vetology.net/cases/2699406/screening-report/18?type=pdf&amp;v=v6&amp;scorecard=1&amp;secret_key=BX%25IJ%24%2F65ieZ%29f6", 2699406)</f>
        <v>2699406</v>
      </c>
      <c r="C535" s="2">
        <f>HYPERLINK("https://platform.v2.vetology.net/report/v/final/"&amp;2699406, 2699406)</f>
        <v>2699406</v>
      </c>
      <c r="D535" s="2" t="s">
        <v>1755</v>
      </c>
      <c r="E535" s="2" t="s">
        <v>1756</v>
      </c>
      <c r="F535" s="2" t="s">
        <v>1757</v>
      </c>
      <c r="G535" s="2" t="s">
        <v>58</v>
      </c>
      <c r="H535" s="2" t="s">
        <v>983</v>
      </c>
      <c r="I535" s="2" t="s">
        <v>245</v>
      </c>
      <c r="J535" s="2" t="s">
        <v>246</v>
      </c>
      <c r="K535" s="2" t="s">
        <v>38</v>
      </c>
      <c r="L535" s="2" t="s">
        <v>39</v>
      </c>
      <c r="M535" s="2" t="s">
        <v>39</v>
      </c>
      <c r="N535" s="2" t="s">
        <v>39</v>
      </c>
      <c r="O535" s="2" t="s">
        <v>38</v>
      </c>
      <c r="P535" s="2" t="s">
        <v>39</v>
      </c>
      <c r="Q535" s="2" t="s">
        <v>39</v>
      </c>
      <c r="R535" s="2" t="s">
        <v>38</v>
      </c>
      <c r="S535" s="2" t="s">
        <v>38</v>
      </c>
      <c r="T535" s="2" t="s">
        <v>38</v>
      </c>
      <c r="U535" s="2" t="s">
        <v>38</v>
      </c>
      <c r="V535" s="2" t="s">
        <v>38</v>
      </c>
      <c r="W535" s="2" t="s">
        <v>38</v>
      </c>
      <c r="X535" s="2" t="s">
        <v>38</v>
      </c>
      <c r="Y535" s="2" t="s">
        <v>38</v>
      </c>
      <c r="Z535" s="2" t="s">
        <v>38</v>
      </c>
      <c r="AA535" s="2" t="s">
        <v>38</v>
      </c>
      <c r="AB535" s="2" t="s">
        <v>38</v>
      </c>
      <c r="AC535" s="2" t="s">
        <v>38</v>
      </c>
      <c r="AD535" s="2" t="s">
        <v>38</v>
      </c>
      <c r="AE535" s="2" t="s">
        <v>39</v>
      </c>
    </row>
    <row r="536" spans="1:31" ht="409.5">
      <c r="A536" s="2">
        <v>2699072</v>
      </c>
      <c r="B536" s="2">
        <f>HYPERLINK("https://platform.v2.vetology.net/cases/2699072/screening-report/18?type=pdf&amp;v=v6&amp;scorecard=1&amp;secret_key=BX%25IJ%24%2F65ieZ%29f6", 2699072)</f>
        <v>2699072</v>
      </c>
      <c r="C536" s="2">
        <f>HYPERLINK("https://platform.v2.vetology.net/report/v/final/"&amp;2699072, 2699072)</f>
        <v>2699072</v>
      </c>
      <c r="D536" s="2" t="s">
        <v>1758</v>
      </c>
      <c r="E536" s="2" t="s">
        <v>1759</v>
      </c>
      <c r="F536" s="2" t="s">
        <v>1760</v>
      </c>
      <c r="G536" s="2" t="s">
        <v>63</v>
      </c>
      <c r="H536" s="2" t="s">
        <v>283</v>
      </c>
      <c r="I536" s="2" t="s">
        <v>284</v>
      </c>
      <c r="J536" s="2" t="s">
        <v>285</v>
      </c>
      <c r="K536" s="2" t="s">
        <v>38</v>
      </c>
      <c r="L536" s="2" t="s">
        <v>39</v>
      </c>
      <c r="M536" s="2" t="s">
        <v>38</v>
      </c>
      <c r="N536" s="2" t="s">
        <v>38</v>
      </c>
      <c r="O536" s="2" t="s">
        <v>38</v>
      </c>
      <c r="P536" s="2" t="s">
        <v>38</v>
      </c>
      <c r="Q536" s="2" t="s">
        <v>38</v>
      </c>
      <c r="R536" s="2" t="s">
        <v>38</v>
      </c>
      <c r="S536" s="2" t="s">
        <v>38</v>
      </c>
      <c r="T536" s="2" t="s">
        <v>38</v>
      </c>
      <c r="U536" s="2" t="s">
        <v>38</v>
      </c>
      <c r="V536" s="2" t="s">
        <v>38</v>
      </c>
      <c r="W536" s="2" t="s">
        <v>38</v>
      </c>
      <c r="X536" s="2" t="s">
        <v>39</v>
      </c>
      <c r="Y536" s="2" t="s">
        <v>38</v>
      </c>
      <c r="Z536" s="2" t="s">
        <v>38</v>
      </c>
      <c r="AA536" s="2" t="s">
        <v>38</v>
      </c>
      <c r="AB536" s="2" t="s">
        <v>38</v>
      </c>
      <c r="AC536" s="2" t="s">
        <v>38</v>
      </c>
      <c r="AD536" s="2" t="s">
        <v>38</v>
      </c>
      <c r="AE536" s="2" t="s">
        <v>38</v>
      </c>
    </row>
    <row r="537" spans="1:31" ht="409.5">
      <c r="A537" s="2">
        <v>2699054</v>
      </c>
      <c r="B537" s="2">
        <f>HYPERLINK("https://platform.v2.vetology.net/cases/2699054/screening-report/18?type=pdf&amp;v=v6&amp;scorecard=1&amp;secret_key=BX%25IJ%24%2F65ieZ%29f6", 2699054)</f>
        <v>2699054</v>
      </c>
      <c r="C537" s="2">
        <f>HYPERLINK("https://platform.v2.vetology.net/report/v/final/"&amp;2699054, 2699054)</f>
        <v>2699054</v>
      </c>
      <c r="D537" s="2" t="s">
        <v>795</v>
      </c>
      <c r="E537" s="2" t="s">
        <v>796</v>
      </c>
      <c r="F537" s="2" t="s">
        <v>1761</v>
      </c>
      <c r="G537" s="2" t="s">
        <v>135</v>
      </c>
      <c r="H537" s="2" t="s">
        <v>129</v>
      </c>
      <c r="I537" s="2" t="s">
        <v>44</v>
      </c>
      <c r="J537" s="2"/>
      <c r="K537" s="2" t="s">
        <v>38</v>
      </c>
      <c r="L537" s="2" t="s">
        <v>39</v>
      </c>
      <c r="M537" s="2" t="s">
        <v>38</v>
      </c>
      <c r="N537" s="2" t="s">
        <v>38</v>
      </c>
      <c r="O537" s="2" t="s">
        <v>38</v>
      </c>
      <c r="P537" s="2" t="s">
        <v>38</v>
      </c>
      <c r="Q537" s="2" t="s">
        <v>38</v>
      </c>
      <c r="R537" s="2" t="s">
        <v>38</v>
      </c>
      <c r="S537" s="2" t="s">
        <v>38</v>
      </c>
      <c r="T537" s="2" t="s">
        <v>39</v>
      </c>
      <c r="U537" s="2" t="s">
        <v>38</v>
      </c>
      <c r="V537" s="2" t="s">
        <v>39</v>
      </c>
      <c r="W537" s="2" t="s">
        <v>38</v>
      </c>
      <c r="X537" s="2" t="s">
        <v>39</v>
      </c>
      <c r="Y537" s="2" t="s">
        <v>38</v>
      </c>
      <c r="Z537" s="2" t="s">
        <v>38</v>
      </c>
      <c r="AA537" s="2" t="s">
        <v>38</v>
      </c>
      <c r="AB537" s="2" t="s">
        <v>38</v>
      </c>
      <c r="AC537" s="2" t="s">
        <v>38</v>
      </c>
      <c r="AD537" s="2" t="s">
        <v>38</v>
      </c>
      <c r="AE537" s="2" t="s">
        <v>39</v>
      </c>
    </row>
    <row r="538" spans="1:31" ht="409.5">
      <c r="A538" s="2">
        <v>2699002</v>
      </c>
      <c r="B538" s="2">
        <f>HYPERLINK("https://platform.v2.vetology.net/cases/2699002/screening-report/18?type=pdf&amp;v=v6&amp;scorecard=1&amp;secret_key=BX%25IJ%24%2F65ieZ%29f6", 2699002)</f>
        <v>2699002</v>
      </c>
      <c r="C538" s="2">
        <f>HYPERLINK("https://platform.v2.vetology.net/report/v/final/"&amp;2699002, 2699002)</f>
        <v>2699002</v>
      </c>
      <c r="D538" s="2" t="s">
        <v>1762</v>
      </c>
      <c r="E538" s="2" t="s">
        <v>1763</v>
      </c>
      <c r="F538" s="2" t="s">
        <v>919</v>
      </c>
      <c r="G538" s="2" t="s">
        <v>58</v>
      </c>
      <c r="H538" s="2" t="s">
        <v>1764</v>
      </c>
      <c r="I538" s="2" t="s">
        <v>841</v>
      </c>
      <c r="J538" s="2" t="s">
        <v>518</v>
      </c>
      <c r="K538" s="2" t="s">
        <v>38</v>
      </c>
      <c r="L538" s="2" t="s">
        <v>39</v>
      </c>
      <c r="M538" s="2" t="s">
        <v>38</v>
      </c>
      <c r="N538" s="2" t="s">
        <v>38</v>
      </c>
      <c r="O538" s="2" t="s">
        <v>38</v>
      </c>
      <c r="P538" s="2" t="s">
        <v>39</v>
      </c>
      <c r="Q538" s="2" t="s">
        <v>38</v>
      </c>
      <c r="R538" s="2" t="s">
        <v>38</v>
      </c>
      <c r="S538" s="2" t="s">
        <v>38</v>
      </c>
      <c r="T538" s="2" t="s">
        <v>38</v>
      </c>
      <c r="U538" s="2" t="s">
        <v>38</v>
      </c>
      <c r="V538" s="2" t="s">
        <v>38</v>
      </c>
      <c r="W538" s="2" t="s">
        <v>38</v>
      </c>
      <c r="X538" s="2" t="s">
        <v>38</v>
      </c>
      <c r="Y538" s="2" t="s">
        <v>38</v>
      </c>
      <c r="Z538" s="2" t="s">
        <v>38</v>
      </c>
      <c r="AA538" s="2" t="s">
        <v>38</v>
      </c>
      <c r="AB538" s="2" t="s">
        <v>39</v>
      </c>
      <c r="AC538" s="2" t="s">
        <v>39</v>
      </c>
      <c r="AD538" s="2" t="s">
        <v>38</v>
      </c>
      <c r="AE538" s="2" t="s">
        <v>38</v>
      </c>
    </row>
    <row r="539" spans="1:31" ht="409.5">
      <c r="A539" s="2">
        <v>2698952</v>
      </c>
      <c r="B539" s="2">
        <f>HYPERLINK("https://platform.v2.vetology.net/cases/2698952/screening-report/18?type=pdf&amp;v=v6&amp;scorecard=1&amp;secret_key=BX%25IJ%24%2F65ieZ%29f6", 2698952)</f>
        <v>2698952</v>
      </c>
      <c r="C539" s="2">
        <f>HYPERLINK("https://platform.v2.vetology.net/report/v/final/"&amp;2698952, 2698952)</f>
        <v>2698952</v>
      </c>
      <c r="D539" s="2" t="s">
        <v>1765</v>
      </c>
      <c r="E539" s="2" t="s">
        <v>1366</v>
      </c>
      <c r="F539" s="2" t="s">
        <v>1193</v>
      </c>
      <c r="G539" s="2" t="s">
        <v>135</v>
      </c>
      <c r="H539" s="2" t="s">
        <v>1199</v>
      </c>
      <c r="I539" s="2" t="s">
        <v>227</v>
      </c>
      <c r="J539" s="2" t="s">
        <v>228</v>
      </c>
      <c r="K539" s="2" t="s">
        <v>38</v>
      </c>
      <c r="L539" s="2" t="s">
        <v>38</v>
      </c>
      <c r="M539" s="2" t="s">
        <v>39</v>
      </c>
      <c r="N539" s="2" t="s">
        <v>38</v>
      </c>
      <c r="O539" s="2" t="s">
        <v>38</v>
      </c>
      <c r="P539" s="2" t="s">
        <v>39</v>
      </c>
      <c r="Q539" s="2" t="s">
        <v>38</v>
      </c>
      <c r="R539" s="2" t="s">
        <v>38</v>
      </c>
      <c r="S539" s="2" t="s">
        <v>38</v>
      </c>
      <c r="T539" s="2" t="s">
        <v>38</v>
      </c>
      <c r="U539" s="2" t="s">
        <v>38</v>
      </c>
      <c r="V539" s="2" t="s">
        <v>38</v>
      </c>
      <c r="W539" s="2" t="s">
        <v>38</v>
      </c>
      <c r="X539" s="2" t="s">
        <v>38</v>
      </c>
      <c r="Y539" s="2" t="s">
        <v>38</v>
      </c>
      <c r="Z539" s="2" t="s">
        <v>38</v>
      </c>
      <c r="AA539" s="2" t="s">
        <v>38</v>
      </c>
      <c r="AB539" s="2" t="s">
        <v>39</v>
      </c>
      <c r="AC539" s="2" t="s">
        <v>38</v>
      </c>
      <c r="AD539" s="2" t="s">
        <v>38</v>
      </c>
      <c r="AE539" s="2" t="s">
        <v>38</v>
      </c>
    </row>
    <row r="540" spans="1:31" ht="409.5">
      <c r="A540" s="2">
        <v>2698682</v>
      </c>
      <c r="B540" s="2">
        <f>HYPERLINK("https://platform.v2.vetology.net/cases/2698682/screening-report/18?type=pdf&amp;v=v6&amp;scorecard=1&amp;secret_key=BX%25IJ%24%2F65ieZ%29f6", 2698682)</f>
        <v>2698682</v>
      </c>
      <c r="C540" s="2">
        <f>HYPERLINK("https://platform.v2.vetology.net/report/v/final/"&amp;2698682, 2698682)</f>
        <v>2698682</v>
      </c>
      <c r="D540" s="2" t="s">
        <v>787</v>
      </c>
      <c r="E540" s="2" t="s">
        <v>1766</v>
      </c>
      <c r="F540" s="2" t="s">
        <v>1767</v>
      </c>
      <c r="G540" s="2" t="s">
        <v>135</v>
      </c>
      <c r="H540" s="2" t="s">
        <v>105</v>
      </c>
      <c r="I540" s="2" t="s">
        <v>44</v>
      </c>
      <c r="J540" s="2"/>
      <c r="K540" s="2" t="s">
        <v>38</v>
      </c>
      <c r="L540" s="2" t="s">
        <v>39</v>
      </c>
      <c r="M540" s="2" t="s">
        <v>39</v>
      </c>
      <c r="N540" s="2" t="s">
        <v>38</v>
      </c>
      <c r="O540" s="2" t="s">
        <v>38</v>
      </c>
      <c r="P540" s="2" t="s">
        <v>39</v>
      </c>
      <c r="Q540" s="2" t="s">
        <v>38</v>
      </c>
      <c r="R540" s="2" t="s">
        <v>38</v>
      </c>
      <c r="S540" s="2" t="s">
        <v>38</v>
      </c>
      <c r="T540" s="2" t="s">
        <v>38</v>
      </c>
      <c r="U540" s="2" t="s">
        <v>38</v>
      </c>
      <c r="V540" s="2" t="s">
        <v>38</v>
      </c>
      <c r="W540" s="2" t="s">
        <v>38</v>
      </c>
      <c r="X540" s="2" t="s">
        <v>38</v>
      </c>
      <c r="Y540" s="2" t="s">
        <v>38</v>
      </c>
      <c r="Z540" s="2" t="s">
        <v>38</v>
      </c>
      <c r="AA540" s="2" t="s">
        <v>38</v>
      </c>
      <c r="AB540" s="2" t="s">
        <v>38</v>
      </c>
      <c r="AC540" s="2" t="s">
        <v>38</v>
      </c>
      <c r="AD540" s="2" t="s">
        <v>38</v>
      </c>
      <c r="AE540" s="2" t="s">
        <v>38</v>
      </c>
    </row>
    <row r="541" spans="1:31" ht="409.5">
      <c r="A541" s="2">
        <v>2698629</v>
      </c>
      <c r="B541" s="2">
        <f>HYPERLINK("https://platform.v2.vetology.net/cases/2698629/screening-report/18?type=pdf&amp;v=v6&amp;scorecard=1&amp;secret_key=BX%25IJ%24%2F65ieZ%29f6", 2698629)</f>
        <v>2698629</v>
      </c>
      <c r="C541" s="2">
        <f>HYPERLINK("https://platform.v2.vetology.net/report/v/final/"&amp;2698629, 2698629)</f>
        <v>2698629</v>
      </c>
      <c r="D541" s="2" t="s">
        <v>1768</v>
      </c>
      <c r="E541" s="2" t="s">
        <v>1769</v>
      </c>
      <c r="F541" s="2" t="s">
        <v>1770</v>
      </c>
      <c r="G541" s="2" t="s">
        <v>575</v>
      </c>
      <c r="H541" s="2" t="s">
        <v>88</v>
      </c>
      <c r="I541" s="2" t="s">
        <v>89</v>
      </c>
      <c r="J541" s="2" t="s">
        <v>66</v>
      </c>
      <c r="K541" s="2" t="s">
        <v>38</v>
      </c>
      <c r="L541" s="2" t="s">
        <v>38</v>
      </c>
      <c r="M541" s="2" t="s">
        <v>39</v>
      </c>
      <c r="N541" s="2" t="s">
        <v>38</v>
      </c>
      <c r="O541" s="2" t="s">
        <v>38</v>
      </c>
      <c r="P541" s="2" t="s">
        <v>38</v>
      </c>
      <c r="Q541" s="2" t="s">
        <v>38</v>
      </c>
      <c r="R541" s="2" t="s">
        <v>38</v>
      </c>
      <c r="S541" s="2" t="s">
        <v>38</v>
      </c>
      <c r="T541" s="2" t="s">
        <v>39</v>
      </c>
      <c r="U541" s="2" t="s">
        <v>38</v>
      </c>
      <c r="V541" s="2" t="s">
        <v>38</v>
      </c>
      <c r="W541" s="2" t="s">
        <v>38</v>
      </c>
      <c r="X541" s="2" t="s">
        <v>38</v>
      </c>
      <c r="Y541" s="2" t="s">
        <v>38</v>
      </c>
      <c r="Z541" s="2" t="s">
        <v>38</v>
      </c>
      <c r="AA541" s="2" t="s">
        <v>38</v>
      </c>
      <c r="AB541" s="2" t="s">
        <v>38</v>
      </c>
      <c r="AC541" s="2" t="s">
        <v>38</v>
      </c>
      <c r="AD541" s="2" t="s">
        <v>38</v>
      </c>
      <c r="AE541" s="2" t="s">
        <v>39</v>
      </c>
    </row>
    <row r="542" spans="1:31" ht="409.5">
      <c r="A542" s="2">
        <v>2698591</v>
      </c>
      <c r="B542" s="2">
        <f>HYPERLINK("https://platform.v2.vetology.net/cases/2698591/screening-report/18?type=pdf&amp;v=v6&amp;scorecard=1&amp;secret_key=BX%25IJ%24%2F65ieZ%29f6", 2698591)</f>
        <v>2698591</v>
      </c>
      <c r="C542" s="2">
        <f>HYPERLINK("https://platform.v2.vetology.net/report/v/final/"&amp;2698591, 2698591)</f>
        <v>2698591</v>
      </c>
      <c r="D542" s="2" t="s">
        <v>731</v>
      </c>
      <c r="E542" s="2" t="s">
        <v>304</v>
      </c>
      <c r="F542" s="2" t="s">
        <v>1771</v>
      </c>
      <c r="G542" s="2" t="s">
        <v>150</v>
      </c>
      <c r="H542" s="2" t="s">
        <v>129</v>
      </c>
      <c r="I542" s="2" t="s">
        <v>44</v>
      </c>
      <c r="J542" s="2" t="s">
        <v>106</v>
      </c>
      <c r="K542" s="2" t="s">
        <v>38</v>
      </c>
      <c r="L542" s="2" t="s">
        <v>38</v>
      </c>
      <c r="M542" s="2" t="s">
        <v>38</v>
      </c>
      <c r="N542" s="2" t="s">
        <v>38</v>
      </c>
      <c r="O542" s="2" t="s">
        <v>38</v>
      </c>
      <c r="P542" s="2" t="s">
        <v>38</v>
      </c>
      <c r="Q542" s="2" t="s">
        <v>38</v>
      </c>
      <c r="R542" s="2" t="s">
        <v>38</v>
      </c>
      <c r="S542" s="2" t="s">
        <v>38</v>
      </c>
      <c r="T542" s="2" t="s">
        <v>38</v>
      </c>
      <c r="U542" s="2" t="s">
        <v>38</v>
      </c>
      <c r="V542" s="2" t="s">
        <v>38</v>
      </c>
      <c r="W542" s="2" t="s">
        <v>38</v>
      </c>
      <c r="X542" s="2" t="s">
        <v>38</v>
      </c>
      <c r="Y542" s="2" t="s">
        <v>38</v>
      </c>
      <c r="Z542" s="2" t="s">
        <v>38</v>
      </c>
      <c r="AA542" s="2" t="s">
        <v>38</v>
      </c>
      <c r="AB542" s="2" t="s">
        <v>38</v>
      </c>
      <c r="AC542" s="2" t="s">
        <v>38</v>
      </c>
      <c r="AD542" s="2" t="s">
        <v>38</v>
      </c>
      <c r="AE542" s="2" t="s">
        <v>38</v>
      </c>
    </row>
    <row r="543" spans="1:31" ht="409.5">
      <c r="A543" s="2">
        <v>2698474</v>
      </c>
      <c r="B543" s="2">
        <f>HYPERLINK("https://platform.v2.vetology.net/cases/2698474/screening-report/18?type=pdf&amp;v=v6&amp;scorecard=1&amp;secret_key=BX%25IJ%24%2F65ieZ%29f6", 2698474)</f>
        <v>2698474</v>
      </c>
      <c r="C543" s="2">
        <f>HYPERLINK("https://platform.v2.vetology.net/report/v/final/"&amp;2698474, 2698474)</f>
        <v>2698474</v>
      </c>
      <c r="D543" s="2" t="s">
        <v>1772</v>
      </c>
      <c r="E543" s="2" t="s">
        <v>148</v>
      </c>
      <c r="F543" s="2" t="s">
        <v>149</v>
      </c>
      <c r="G543" s="2" t="s">
        <v>150</v>
      </c>
      <c r="H543" s="2" t="s">
        <v>497</v>
      </c>
      <c r="I543" s="2" t="s">
        <v>137</v>
      </c>
      <c r="J543" s="2" t="s">
        <v>66</v>
      </c>
      <c r="K543" s="2" t="s">
        <v>38</v>
      </c>
      <c r="L543" s="2" t="s">
        <v>38</v>
      </c>
      <c r="M543" s="2" t="s">
        <v>39</v>
      </c>
      <c r="N543" s="2" t="s">
        <v>38</v>
      </c>
      <c r="O543" s="2" t="s">
        <v>38</v>
      </c>
      <c r="P543" s="2" t="s">
        <v>39</v>
      </c>
      <c r="Q543" s="2" t="s">
        <v>38</v>
      </c>
      <c r="R543" s="2" t="s">
        <v>38</v>
      </c>
      <c r="S543" s="2" t="s">
        <v>38</v>
      </c>
      <c r="T543" s="2" t="s">
        <v>38</v>
      </c>
      <c r="U543" s="2" t="s">
        <v>38</v>
      </c>
      <c r="V543" s="2" t="s">
        <v>38</v>
      </c>
      <c r="W543" s="2" t="s">
        <v>38</v>
      </c>
      <c r="X543" s="2" t="s">
        <v>38</v>
      </c>
      <c r="Y543" s="2" t="s">
        <v>38</v>
      </c>
      <c r="Z543" s="2" t="s">
        <v>38</v>
      </c>
      <c r="AA543" s="2" t="s">
        <v>38</v>
      </c>
      <c r="AB543" s="2" t="s">
        <v>38</v>
      </c>
      <c r="AC543" s="2" t="s">
        <v>39</v>
      </c>
      <c r="AD543" s="2" t="s">
        <v>38</v>
      </c>
      <c r="AE543" s="2" t="s">
        <v>39</v>
      </c>
    </row>
    <row r="544" spans="1:31" ht="409.5">
      <c r="A544" s="2">
        <v>2698431</v>
      </c>
      <c r="B544" s="2">
        <f>HYPERLINK("https://platform.v2.vetology.net/cases/2698431/screening-report/18?type=pdf&amp;v=v6&amp;scorecard=1&amp;secret_key=BX%25IJ%24%2F65ieZ%29f6", 2698431)</f>
        <v>2698431</v>
      </c>
      <c r="C544" s="2">
        <f>HYPERLINK("https://platform.v2.vetology.net/report/v/final/"&amp;2698431, 2698431)</f>
        <v>2698431</v>
      </c>
      <c r="D544" s="2" t="s">
        <v>1773</v>
      </c>
      <c r="E544" s="2" t="s">
        <v>1774</v>
      </c>
      <c r="F544" s="2" t="s">
        <v>1775</v>
      </c>
      <c r="G544" s="2" t="s">
        <v>58</v>
      </c>
      <c r="H544" s="2" t="s">
        <v>1776</v>
      </c>
      <c r="I544" s="2" t="s">
        <v>65</v>
      </c>
      <c r="J544" s="2" t="s">
        <v>66</v>
      </c>
      <c r="K544" s="2" t="s">
        <v>38</v>
      </c>
      <c r="L544" s="2" t="s">
        <v>39</v>
      </c>
      <c r="M544" s="2" t="s">
        <v>39</v>
      </c>
      <c r="N544" s="2" t="s">
        <v>39</v>
      </c>
      <c r="O544" s="2" t="s">
        <v>39</v>
      </c>
      <c r="P544" s="2" t="s">
        <v>39</v>
      </c>
      <c r="Q544" s="2" t="s">
        <v>39</v>
      </c>
      <c r="R544" s="2" t="s">
        <v>38</v>
      </c>
      <c r="S544" s="2" t="s">
        <v>38</v>
      </c>
      <c r="T544" s="2" t="s">
        <v>39</v>
      </c>
      <c r="U544" s="2" t="s">
        <v>39</v>
      </c>
      <c r="V544" s="2" t="s">
        <v>38</v>
      </c>
      <c r="W544" s="2" t="s">
        <v>38</v>
      </c>
      <c r="X544" s="2" t="s">
        <v>39</v>
      </c>
      <c r="Y544" s="2" t="s">
        <v>38</v>
      </c>
      <c r="Z544" s="2" t="s">
        <v>39</v>
      </c>
      <c r="AA544" s="2" t="s">
        <v>38</v>
      </c>
      <c r="AB544" s="2" t="s">
        <v>39</v>
      </c>
      <c r="AC544" s="2" t="s">
        <v>39</v>
      </c>
      <c r="AD544" s="2" t="s">
        <v>38</v>
      </c>
      <c r="AE544" s="2" t="s">
        <v>38</v>
      </c>
    </row>
    <row r="545" spans="1:31" ht="409.5">
      <c r="A545" s="2">
        <v>2698212</v>
      </c>
      <c r="B545" s="2">
        <f>HYPERLINK("https://platform.v2.vetology.net/cases/2698212/screening-report/18?type=pdf&amp;v=v6&amp;scorecard=1&amp;secret_key=BX%25IJ%24%2F65ieZ%29f6", 2698212)</f>
        <v>2698212</v>
      </c>
      <c r="C545" s="2">
        <f>HYPERLINK("https://platform.v2.vetology.net/report/v/final/"&amp;2698212, 2698212)</f>
        <v>2698212</v>
      </c>
      <c r="D545" s="2" t="s">
        <v>1777</v>
      </c>
      <c r="E545" s="2" t="s">
        <v>1778</v>
      </c>
      <c r="F545" s="2" t="s">
        <v>1779</v>
      </c>
      <c r="G545" s="2" t="s">
        <v>58</v>
      </c>
      <c r="H545" s="2" t="s">
        <v>78</v>
      </c>
      <c r="I545" s="2" t="s">
        <v>199</v>
      </c>
      <c r="J545" s="2"/>
      <c r="K545" s="2" t="s">
        <v>38</v>
      </c>
      <c r="L545" s="2" t="s">
        <v>39</v>
      </c>
      <c r="M545" s="2" t="s">
        <v>39</v>
      </c>
      <c r="N545" s="2" t="s">
        <v>38</v>
      </c>
      <c r="O545" s="2" t="s">
        <v>38</v>
      </c>
      <c r="P545" s="2" t="s">
        <v>38</v>
      </c>
      <c r="Q545" s="2" t="s">
        <v>38</v>
      </c>
      <c r="R545" s="2" t="s">
        <v>38</v>
      </c>
      <c r="S545" s="2" t="s">
        <v>38</v>
      </c>
      <c r="T545" s="2" t="s">
        <v>38</v>
      </c>
      <c r="U545" s="2" t="s">
        <v>38</v>
      </c>
      <c r="V545" s="2" t="s">
        <v>38</v>
      </c>
      <c r="W545" s="2" t="s">
        <v>38</v>
      </c>
      <c r="X545" s="2" t="s">
        <v>38</v>
      </c>
      <c r="Y545" s="2" t="s">
        <v>38</v>
      </c>
      <c r="Z545" s="2" t="s">
        <v>38</v>
      </c>
      <c r="AA545" s="2" t="s">
        <v>38</v>
      </c>
      <c r="AB545" s="2" t="s">
        <v>38</v>
      </c>
      <c r="AC545" s="2" t="s">
        <v>38</v>
      </c>
      <c r="AD545" s="2" t="s">
        <v>38</v>
      </c>
      <c r="AE545" s="2" t="s">
        <v>38</v>
      </c>
    </row>
    <row r="546" spans="1:31" ht="409.5">
      <c r="A546" s="2">
        <v>2698143</v>
      </c>
      <c r="B546" s="2">
        <f>HYPERLINK("https://platform.v2.vetology.net/cases/2698143/screening-report/18?type=pdf&amp;v=v6&amp;scorecard=1&amp;secret_key=BX%25IJ%24%2F65ieZ%29f6", 2698143)</f>
        <v>2698143</v>
      </c>
      <c r="C546" s="2">
        <f>HYPERLINK("https://platform.v2.vetology.net/report/v/final/"&amp;2698143, 2698143)</f>
        <v>2698143</v>
      </c>
      <c r="D546" s="2" t="s">
        <v>608</v>
      </c>
      <c r="E546" s="2" t="s">
        <v>617</v>
      </c>
      <c r="F546" s="2" t="s">
        <v>1780</v>
      </c>
      <c r="G546" s="2" t="s">
        <v>135</v>
      </c>
      <c r="H546" s="2" t="s">
        <v>43</v>
      </c>
      <c r="I546" s="2" t="s">
        <v>44</v>
      </c>
      <c r="J546" s="2"/>
      <c r="K546" s="2" t="s">
        <v>38</v>
      </c>
      <c r="L546" s="2" t="s">
        <v>39</v>
      </c>
      <c r="M546" s="2" t="s">
        <v>38</v>
      </c>
      <c r="N546" s="2" t="s">
        <v>38</v>
      </c>
      <c r="O546" s="2" t="s">
        <v>38</v>
      </c>
      <c r="P546" s="2" t="s">
        <v>38</v>
      </c>
      <c r="Q546" s="2" t="s">
        <v>38</v>
      </c>
      <c r="R546" s="2" t="s">
        <v>38</v>
      </c>
      <c r="S546" s="2" t="s">
        <v>39</v>
      </c>
      <c r="T546" s="2" t="s">
        <v>39</v>
      </c>
      <c r="U546" s="2" t="s">
        <v>38</v>
      </c>
      <c r="V546" s="2" t="s">
        <v>39</v>
      </c>
      <c r="W546" s="2" t="s">
        <v>38</v>
      </c>
      <c r="X546" s="2" t="s">
        <v>39</v>
      </c>
      <c r="Y546" s="2" t="s">
        <v>38</v>
      </c>
      <c r="Z546" s="2" t="s">
        <v>39</v>
      </c>
      <c r="AA546" s="2" t="s">
        <v>38</v>
      </c>
      <c r="AB546" s="2" t="s">
        <v>38</v>
      </c>
      <c r="AC546" s="2" t="s">
        <v>38</v>
      </c>
      <c r="AD546" s="2" t="s">
        <v>38</v>
      </c>
      <c r="AE546" s="2" t="s">
        <v>38</v>
      </c>
    </row>
    <row r="547" spans="1:31" ht="409.5">
      <c r="A547" s="2">
        <v>2698051</v>
      </c>
      <c r="B547" s="2">
        <f>HYPERLINK("https://platform.v2.vetology.net/cases/2698051/screening-report/18?type=pdf&amp;v=v6&amp;scorecard=1&amp;secret_key=BX%25IJ%24%2F65ieZ%29f6", 2698051)</f>
        <v>2698051</v>
      </c>
      <c r="C547" s="2">
        <f>HYPERLINK("https://platform.v2.vetology.net/report/v/final/"&amp;2698051, 2698051)</f>
        <v>2698051</v>
      </c>
      <c r="D547" s="2" t="s">
        <v>1781</v>
      </c>
      <c r="E547" s="2" t="s">
        <v>1782</v>
      </c>
      <c r="F547" s="2" t="s">
        <v>1783</v>
      </c>
      <c r="G547" s="2" t="s">
        <v>135</v>
      </c>
      <c r="H547" s="2" t="s">
        <v>1205</v>
      </c>
      <c r="I547" s="2" t="s">
        <v>245</v>
      </c>
      <c r="J547" s="2" t="s">
        <v>246</v>
      </c>
      <c r="K547" s="2" t="s">
        <v>38</v>
      </c>
      <c r="L547" s="2" t="s">
        <v>39</v>
      </c>
      <c r="M547" s="2" t="s">
        <v>39</v>
      </c>
      <c r="N547" s="2" t="s">
        <v>38</v>
      </c>
      <c r="O547" s="2" t="s">
        <v>38</v>
      </c>
      <c r="P547" s="2" t="s">
        <v>39</v>
      </c>
      <c r="Q547" s="2" t="s">
        <v>38</v>
      </c>
      <c r="R547" s="2" t="s">
        <v>38</v>
      </c>
      <c r="S547" s="2" t="s">
        <v>38</v>
      </c>
      <c r="T547" s="2" t="s">
        <v>39</v>
      </c>
      <c r="U547" s="2" t="s">
        <v>38</v>
      </c>
      <c r="V547" s="2" t="s">
        <v>38</v>
      </c>
      <c r="W547" s="2" t="s">
        <v>38</v>
      </c>
      <c r="X547" s="2" t="s">
        <v>39</v>
      </c>
      <c r="Y547" s="2" t="s">
        <v>38</v>
      </c>
      <c r="Z547" s="2" t="s">
        <v>38</v>
      </c>
      <c r="AA547" s="2" t="s">
        <v>38</v>
      </c>
      <c r="AB547" s="2" t="s">
        <v>38</v>
      </c>
      <c r="AC547" s="2" t="s">
        <v>38</v>
      </c>
      <c r="AD547" s="2" t="s">
        <v>38</v>
      </c>
      <c r="AE547" s="2" t="s">
        <v>38</v>
      </c>
    </row>
    <row r="548" spans="1:31" ht="409.5">
      <c r="A548" s="2">
        <v>2698025</v>
      </c>
      <c r="B548" s="2">
        <f>HYPERLINK("https://platform.v2.vetology.net/cases/2698025/screening-report/18?type=pdf&amp;v=v6&amp;scorecard=1&amp;secret_key=BX%25IJ%24%2F65ieZ%29f6", 2698025)</f>
        <v>2698025</v>
      </c>
      <c r="C548" s="2">
        <f>HYPERLINK("https://platform.v2.vetology.net/report/v/final/"&amp;2698025, 2698025)</f>
        <v>2698025</v>
      </c>
      <c r="D548" s="2" t="s">
        <v>1784</v>
      </c>
      <c r="E548" s="2" t="s">
        <v>1785</v>
      </c>
      <c r="F548" s="2" t="s">
        <v>1786</v>
      </c>
      <c r="G548" s="2" t="s">
        <v>34</v>
      </c>
      <c r="H548" s="2" t="s">
        <v>1416</v>
      </c>
      <c r="I548" s="2" t="s">
        <v>284</v>
      </c>
      <c r="J548" s="2" t="s">
        <v>285</v>
      </c>
      <c r="K548" s="2" t="s">
        <v>38</v>
      </c>
      <c r="L548" s="2" t="s">
        <v>38</v>
      </c>
      <c r="M548" s="2" t="s">
        <v>38</v>
      </c>
      <c r="N548" s="2" t="s">
        <v>38</v>
      </c>
      <c r="O548" s="2" t="s">
        <v>38</v>
      </c>
      <c r="P548" s="2" t="s">
        <v>38</v>
      </c>
      <c r="Q548" s="2" t="s">
        <v>38</v>
      </c>
      <c r="R548" s="2" t="s">
        <v>38</v>
      </c>
      <c r="S548" s="2" t="s">
        <v>38</v>
      </c>
      <c r="T548" s="2" t="s">
        <v>38</v>
      </c>
      <c r="U548" s="2" t="s">
        <v>38</v>
      </c>
      <c r="V548" s="2" t="s">
        <v>38</v>
      </c>
      <c r="W548" s="2" t="s">
        <v>38</v>
      </c>
      <c r="X548" s="2" t="s">
        <v>38</v>
      </c>
      <c r="Y548" s="2" t="s">
        <v>38</v>
      </c>
      <c r="Z548" s="2" t="s">
        <v>38</v>
      </c>
      <c r="AA548" s="2" t="s">
        <v>38</v>
      </c>
      <c r="AB548" s="2" t="s">
        <v>38</v>
      </c>
      <c r="AC548" s="2" t="s">
        <v>38</v>
      </c>
      <c r="AD548" s="2" t="s">
        <v>38</v>
      </c>
      <c r="AE548" s="2" t="s">
        <v>38</v>
      </c>
    </row>
    <row r="549" spans="1:31" ht="409.5">
      <c r="A549" s="2">
        <v>2697867</v>
      </c>
      <c r="B549" s="2">
        <f>HYPERLINK("https://platform.v2.vetology.net/cases/2697867/screening-report/18?type=pdf&amp;v=v6&amp;scorecard=1&amp;secret_key=BX%25IJ%24%2F65ieZ%29f6", 2697867)</f>
        <v>2697867</v>
      </c>
      <c r="C549" s="2">
        <f>HYPERLINK("https://platform.v2.vetology.net/report/v/final/"&amp;2697867, 2697867)</f>
        <v>2697867</v>
      </c>
      <c r="D549" s="2" t="s">
        <v>1787</v>
      </c>
      <c r="E549" s="2" t="s">
        <v>1788</v>
      </c>
      <c r="F549" s="2" t="s">
        <v>81</v>
      </c>
      <c r="G549" s="2" t="s">
        <v>268</v>
      </c>
      <c r="H549" s="2" t="s">
        <v>78</v>
      </c>
      <c r="I549" s="2" t="s">
        <v>44</v>
      </c>
      <c r="J549" s="2" t="s">
        <v>106</v>
      </c>
      <c r="K549" s="2" t="s">
        <v>38</v>
      </c>
      <c r="L549" s="2" t="s">
        <v>39</v>
      </c>
      <c r="M549" s="2" t="s">
        <v>38</v>
      </c>
      <c r="N549" s="2" t="s">
        <v>38</v>
      </c>
      <c r="O549" s="2" t="s">
        <v>38</v>
      </c>
      <c r="P549" s="2" t="s">
        <v>38</v>
      </c>
      <c r="Q549" s="2" t="s">
        <v>38</v>
      </c>
      <c r="R549" s="2" t="s">
        <v>38</v>
      </c>
      <c r="S549" s="2" t="s">
        <v>38</v>
      </c>
      <c r="T549" s="2" t="s">
        <v>38</v>
      </c>
      <c r="U549" s="2" t="s">
        <v>38</v>
      </c>
      <c r="V549" s="2" t="s">
        <v>39</v>
      </c>
      <c r="W549" s="2" t="s">
        <v>38</v>
      </c>
      <c r="X549" s="2" t="s">
        <v>38</v>
      </c>
      <c r="Y549" s="2" t="s">
        <v>38</v>
      </c>
      <c r="Z549" s="2" t="s">
        <v>38</v>
      </c>
      <c r="AA549" s="2" t="s">
        <v>38</v>
      </c>
      <c r="AB549" s="2" t="s">
        <v>38</v>
      </c>
      <c r="AC549" s="2" t="s">
        <v>38</v>
      </c>
      <c r="AD549" s="2" t="s">
        <v>38</v>
      </c>
      <c r="AE549" s="2" t="s">
        <v>38</v>
      </c>
    </row>
    <row r="550" spans="1:31" ht="409.5">
      <c r="A550" s="2">
        <v>2697853</v>
      </c>
      <c r="B550" s="2">
        <f>HYPERLINK("https://platform.v2.vetology.net/cases/2697853/screening-report/18?type=pdf&amp;v=v6&amp;scorecard=1&amp;secret_key=BX%25IJ%24%2F65ieZ%29f6", 2697853)</f>
        <v>2697853</v>
      </c>
      <c r="C550" s="2">
        <f>HYPERLINK("https://platform.v2.vetology.net/report/v/final/"&amp;2697853, 2697853)</f>
        <v>2697853</v>
      </c>
      <c r="D550" s="2" t="s">
        <v>1789</v>
      </c>
      <c r="E550" s="2" t="s">
        <v>1790</v>
      </c>
      <c r="F550" s="2" t="s">
        <v>515</v>
      </c>
      <c r="G550" s="2" t="s">
        <v>268</v>
      </c>
      <c r="H550" s="2" t="s">
        <v>78</v>
      </c>
      <c r="I550" s="2" t="s">
        <v>44</v>
      </c>
      <c r="J550" s="2" t="s">
        <v>106</v>
      </c>
      <c r="K550" s="2" t="s">
        <v>38</v>
      </c>
      <c r="L550" s="2" t="s">
        <v>39</v>
      </c>
      <c r="M550" s="2" t="s">
        <v>38</v>
      </c>
      <c r="N550" s="2" t="s">
        <v>38</v>
      </c>
      <c r="O550" s="2" t="s">
        <v>38</v>
      </c>
      <c r="P550" s="2" t="s">
        <v>39</v>
      </c>
      <c r="Q550" s="2" t="s">
        <v>38</v>
      </c>
      <c r="R550" s="2" t="s">
        <v>38</v>
      </c>
      <c r="S550" s="2" t="s">
        <v>38</v>
      </c>
      <c r="T550" s="2" t="s">
        <v>38</v>
      </c>
      <c r="U550" s="2" t="s">
        <v>38</v>
      </c>
      <c r="V550" s="2" t="s">
        <v>38</v>
      </c>
      <c r="W550" s="2" t="s">
        <v>38</v>
      </c>
      <c r="X550" s="2" t="s">
        <v>38</v>
      </c>
      <c r="Y550" s="2" t="s">
        <v>38</v>
      </c>
      <c r="Z550" s="2" t="s">
        <v>38</v>
      </c>
      <c r="AA550" s="2" t="s">
        <v>38</v>
      </c>
      <c r="AB550" s="2" t="s">
        <v>38</v>
      </c>
      <c r="AC550" s="2" t="s">
        <v>38</v>
      </c>
      <c r="AD550" s="2" t="s">
        <v>38</v>
      </c>
      <c r="AE550" s="2" t="s">
        <v>38</v>
      </c>
    </row>
    <row r="551" spans="1:31" ht="409.5">
      <c r="A551" s="2">
        <v>2697646</v>
      </c>
      <c r="B551" s="2">
        <f>HYPERLINK("https://platform.v2.vetology.net/cases/2697646/screening-report/18?type=pdf&amp;v=v6&amp;scorecard=1&amp;secret_key=BX%25IJ%24%2F65ieZ%29f6", 2697646)</f>
        <v>2697646</v>
      </c>
      <c r="C551" s="2">
        <f>HYPERLINK("https://platform.v2.vetology.net/report/v/final/"&amp;2697646, 2697646)</f>
        <v>2697646</v>
      </c>
      <c r="D551" s="2" t="s">
        <v>1791</v>
      </c>
      <c r="E551" s="2" t="s">
        <v>1792</v>
      </c>
      <c r="F551" s="2" t="s">
        <v>81</v>
      </c>
      <c r="G551" s="2" t="s">
        <v>268</v>
      </c>
      <c r="H551" s="2" t="s">
        <v>54</v>
      </c>
      <c r="I551" s="2" t="s">
        <v>44</v>
      </c>
      <c r="J551" s="2"/>
      <c r="K551" s="2" t="s">
        <v>38</v>
      </c>
      <c r="L551" s="2" t="s">
        <v>38</v>
      </c>
      <c r="M551" s="2" t="s">
        <v>38</v>
      </c>
      <c r="N551" s="2" t="s">
        <v>38</v>
      </c>
      <c r="O551" s="2" t="s">
        <v>38</v>
      </c>
      <c r="P551" s="2" t="s">
        <v>39</v>
      </c>
      <c r="Q551" s="2" t="s">
        <v>38</v>
      </c>
      <c r="R551" s="2" t="s">
        <v>38</v>
      </c>
      <c r="S551" s="2" t="s">
        <v>38</v>
      </c>
      <c r="T551" s="2" t="s">
        <v>39</v>
      </c>
      <c r="U551" s="2" t="s">
        <v>38</v>
      </c>
      <c r="V551" s="2" t="s">
        <v>38</v>
      </c>
      <c r="W551" s="2" t="s">
        <v>38</v>
      </c>
      <c r="X551" s="2" t="s">
        <v>38</v>
      </c>
      <c r="Y551" s="2" t="s">
        <v>38</v>
      </c>
      <c r="Z551" s="2" t="s">
        <v>38</v>
      </c>
      <c r="AA551" s="2" t="s">
        <v>38</v>
      </c>
      <c r="AB551" s="2" t="s">
        <v>38</v>
      </c>
      <c r="AC551" s="2" t="s">
        <v>38</v>
      </c>
      <c r="AD551" s="2" t="s">
        <v>38</v>
      </c>
      <c r="AE551" s="2" t="s">
        <v>38</v>
      </c>
    </row>
    <row r="552" spans="1:31" ht="409.5">
      <c r="A552" s="2">
        <v>2697553</v>
      </c>
      <c r="B552" s="2">
        <f>HYPERLINK("https://platform.v2.vetology.net/cases/2697553/screening-report/18?type=pdf&amp;v=v6&amp;scorecard=1&amp;secret_key=BX%25IJ%24%2F65ieZ%29f6", 2697553)</f>
        <v>2697553</v>
      </c>
      <c r="C552" s="2">
        <f>HYPERLINK("https://platform.v2.vetology.net/report/v/final/"&amp;2697553, 2697553)</f>
        <v>2697553</v>
      </c>
      <c r="D552" s="2" t="s">
        <v>1793</v>
      </c>
      <c r="E552" s="2" t="s">
        <v>1794</v>
      </c>
      <c r="F552" s="2" t="s">
        <v>81</v>
      </c>
      <c r="G552" s="2" t="s">
        <v>150</v>
      </c>
      <c r="H552" s="2" t="s">
        <v>136</v>
      </c>
      <c r="I552" s="2" t="s">
        <v>137</v>
      </c>
      <c r="J552" s="2" t="s">
        <v>66</v>
      </c>
      <c r="K552" s="2" t="s">
        <v>38</v>
      </c>
      <c r="L552" s="2" t="s">
        <v>39</v>
      </c>
      <c r="M552" s="2" t="s">
        <v>39</v>
      </c>
      <c r="N552" s="2" t="s">
        <v>38</v>
      </c>
      <c r="O552" s="2" t="s">
        <v>38</v>
      </c>
      <c r="P552" s="2" t="s">
        <v>39</v>
      </c>
      <c r="Q552" s="2" t="s">
        <v>38</v>
      </c>
      <c r="R552" s="2" t="s">
        <v>38</v>
      </c>
      <c r="S552" s="2" t="s">
        <v>38</v>
      </c>
      <c r="T552" s="2" t="s">
        <v>38</v>
      </c>
      <c r="U552" s="2" t="s">
        <v>38</v>
      </c>
      <c r="V552" s="2" t="s">
        <v>38</v>
      </c>
      <c r="W552" s="2" t="s">
        <v>38</v>
      </c>
      <c r="X552" s="2" t="s">
        <v>38</v>
      </c>
      <c r="Y552" s="2" t="s">
        <v>38</v>
      </c>
      <c r="Z552" s="2" t="s">
        <v>39</v>
      </c>
      <c r="AA552" s="2" t="s">
        <v>38</v>
      </c>
      <c r="AB552" s="2" t="s">
        <v>38</v>
      </c>
      <c r="AC552" s="2" t="s">
        <v>39</v>
      </c>
      <c r="AD552" s="2" t="s">
        <v>38</v>
      </c>
      <c r="AE552" s="2" t="s">
        <v>39</v>
      </c>
    </row>
    <row r="553" spans="1:31" ht="409.5">
      <c r="A553" s="2">
        <v>2697547</v>
      </c>
      <c r="B553" s="2">
        <f>HYPERLINK("https://platform.v2.vetology.net/cases/2697547/screening-report/18?type=pdf&amp;v=v6&amp;scorecard=1&amp;secret_key=BX%25IJ%24%2F65ieZ%29f6", 2697547)</f>
        <v>2697547</v>
      </c>
      <c r="C553" s="2">
        <f>HYPERLINK("https://platform.v2.vetology.net/report/v/final/"&amp;2697547, 2697547)</f>
        <v>2697547</v>
      </c>
      <c r="D553" s="2" t="s">
        <v>1795</v>
      </c>
      <c r="E553" s="2" t="s">
        <v>1796</v>
      </c>
      <c r="F553" s="2" t="s">
        <v>1797</v>
      </c>
      <c r="G553" s="2" t="s">
        <v>93</v>
      </c>
      <c r="H553" s="2" t="s">
        <v>166</v>
      </c>
      <c r="I553" s="2" t="s">
        <v>167</v>
      </c>
      <c r="J553" s="2" t="s">
        <v>168</v>
      </c>
      <c r="K553" s="2" t="s">
        <v>38</v>
      </c>
      <c r="L553" s="2" t="s">
        <v>39</v>
      </c>
      <c r="M553" s="2" t="s">
        <v>38</v>
      </c>
      <c r="N553" s="2" t="s">
        <v>38</v>
      </c>
      <c r="O553" s="2" t="s">
        <v>38</v>
      </c>
      <c r="P553" s="2" t="s">
        <v>38</v>
      </c>
      <c r="Q553" s="2" t="s">
        <v>38</v>
      </c>
      <c r="R553" s="2" t="s">
        <v>38</v>
      </c>
      <c r="S553" s="2" t="s">
        <v>39</v>
      </c>
      <c r="T553" s="2" t="s">
        <v>38</v>
      </c>
      <c r="U553" s="2" t="s">
        <v>38</v>
      </c>
      <c r="V553" s="2" t="s">
        <v>38</v>
      </c>
      <c r="W553" s="2" t="s">
        <v>38</v>
      </c>
      <c r="X553" s="2" t="s">
        <v>38</v>
      </c>
      <c r="Y553" s="2" t="s">
        <v>38</v>
      </c>
      <c r="Z553" s="2" t="s">
        <v>38</v>
      </c>
      <c r="AA553" s="2" t="s">
        <v>38</v>
      </c>
      <c r="AB553" s="2" t="s">
        <v>39</v>
      </c>
      <c r="AC553" s="2" t="s">
        <v>39</v>
      </c>
      <c r="AD553" s="2" t="s">
        <v>38</v>
      </c>
      <c r="AE553" s="2" t="s">
        <v>38</v>
      </c>
    </row>
    <row r="554" spans="1:31" ht="409.5">
      <c r="A554" s="2">
        <v>2697468</v>
      </c>
      <c r="B554" s="2">
        <f>HYPERLINK("https://platform.v2.vetology.net/cases/2697468/screening-report/18?type=pdf&amp;v=v6&amp;scorecard=1&amp;secret_key=BX%25IJ%24%2F65ieZ%29f6", 2697468)</f>
        <v>2697468</v>
      </c>
      <c r="C554" s="2">
        <f>HYPERLINK("https://platform.v2.vetology.net/report/v/final/"&amp;2697468, 2697468)</f>
        <v>2697468</v>
      </c>
      <c r="D554" s="2" t="s">
        <v>1798</v>
      </c>
      <c r="E554" s="2" t="s">
        <v>1799</v>
      </c>
      <c r="F554" s="2" t="s">
        <v>1800</v>
      </c>
      <c r="G554" s="2" t="s">
        <v>63</v>
      </c>
      <c r="H554" s="2" t="s">
        <v>162</v>
      </c>
      <c r="I554" s="2" t="s">
        <v>124</v>
      </c>
      <c r="J554" s="2" t="s">
        <v>125</v>
      </c>
      <c r="K554" s="2" t="s">
        <v>38</v>
      </c>
      <c r="L554" s="2" t="s">
        <v>39</v>
      </c>
      <c r="M554" s="2" t="s">
        <v>39</v>
      </c>
      <c r="N554" s="2" t="s">
        <v>38</v>
      </c>
      <c r="O554" s="2" t="s">
        <v>38</v>
      </c>
      <c r="P554" s="2" t="s">
        <v>38</v>
      </c>
      <c r="Q554" s="2" t="s">
        <v>38</v>
      </c>
      <c r="R554" s="2" t="s">
        <v>38</v>
      </c>
      <c r="S554" s="2" t="s">
        <v>39</v>
      </c>
      <c r="T554" s="2" t="s">
        <v>38</v>
      </c>
      <c r="U554" s="2" t="s">
        <v>38</v>
      </c>
      <c r="V554" s="2" t="s">
        <v>38</v>
      </c>
      <c r="W554" s="2" t="s">
        <v>38</v>
      </c>
      <c r="X554" s="2" t="s">
        <v>38</v>
      </c>
      <c r="Y554" s="2" t="s">
        <v>38</v>
      </c>
      <c r="Z554" s="2" t="s">
        <v>38</v>
      </c>
      <c r="AA554" s="2" t="s">
        <v>38</v>
      </c>
      <c r="AB554" s="2" t="s">
        <v>38</v>
      </c>
      <c r="AC554" s="2" t="s">
        <v>38</v>
      </c>
      <c r="AD554" s="2" t="s">
        <v>38</v>
      </c>
      <c r="AE554" s="2" t="s">
        <v>38</v>
      </c>
    </row>
    <row r="555" spans="1:31" ht="409.5">
      <c r="A555" s="2">
        <v>2697427</v>
      </c>
      <c r="B555" s="2">
        <f>HYPERLINK("https://platform.v2.vetology.net/cases/2697427/screening-report/18?type=pdf&amp;v=v6&amp;scorecard=1&amp;secret_key=BX%25IJ%24%2F65ieZ%29f6", 2697427)</f>
        <v>2697427</v>
      </c>
      <c r="C555" s="2">
        <f>HYPERLINK("https://platform.v2.vetology.net/report/v/final/"&amp;2697427, 2697427)</f>
        <v>2697427</v>
      </c>
      <c r="D555" s="2" t="s">
        <v>1801</v>
      </c>
      <c r="E555" s="2" t="s">
        <v>1802</v>
      </c>
      <c r="F555" s="2" t="s">
        <v>1803</v>
      </c>
      <c r="G555" s="2" t="s">
        <v>63</v>
      </c>
      <c r="H555" s="2" t="s">
        <v>105</v>
      </c>
      <c r="I555" s="2" t="s">
        <v>44</v>
      </c>
      <c r="J555" s="2" t="s">
        <v>106</v>
      </c>
      <c r="K555" s="2" t="s">
        <v>38</v>
      </c>
      <c r="L555" s="2" t="s">
        <v>38</v>
      </c>
      <c r="M555" s="2" t="s">
        <v>38</v>
      </c>
      <c r="N555" s="2" t="s">
        <v>38</v>
      </c>
      <c r="O555" s="2" t="s">
        <v>38</v>
      </c>
      <c r="P555" s="2" t="s">
        <v>38</v>
      </c>
      <c r="Q555" s="2" t="s">
        <v>38</v>
      </c>
      <c r="R555" s="2" t="s">
        <v>38</v>
      </c>
      <c r="S555" s="2" t="s">
        <v>38</v>
      </c>
      <c r="T555" s="2" t="s">
        <v>38</v>
      </c>
      <c r="U555" s="2" t="s">
        <v>38</v>
      </c>
      <c r="V555" s="2" t="s">
        <v>38</v>
      </c>
      <c r="W555" s="2" t="s">
        <v>38</v>
      </c>
      <c r="X555" s="2" t="s">
        <v>38</v>
      </c>
      <c r="Y555" s="2" t="s">
        <v>38</v>
      </c>
      <c r="Z555" s="2" t="s">
        <v>38</v>
      </c>
      <c r="AA555" s="2" t="s">
        <v>38</v>
      </c>
      <c r="AB555" s="2" t="s">
        <v>38</v>
      </c>
      <c r="AC555" s="2" t="s">
        <v>38</v>
      </c>
      <c r="AD555" s="2" t="s">
        <v>38</v>
      </c>
      <c r="AE555" s="2" t="s">
        <v>38</v>
      </c>
    </row>
    <row r="556" spans="1:31" ht="409.5">
      <c r="A556" s="2">
        <v>2697371</v>
      </c>
      <c r="B556" s="2">
        <f>HYPERLINK("https://platform.v2.vetology.net/cases/2697371/screening-report/18?type=pdf&amp;v=v6&amp;scorecard=1&amp;secret_key=BX%25IJ%24%2F65ieZ%29f6", 2697371)</f>
        <v>2697371</v>
      </c>
      <c r="C556" s="2">
        <f>HYPERLINK("https://platform.v2.vetology.net/report/v/final/"&amp;2697371, 2697371)</f>
        <v>2697371</v>
      </c>
      <c r="D556" s="2" t="s">
        <v>1804</v>
      </c>
      <c r="E556" s="2" t="s">
        <v>1805</v>
      </c>
      <c r="F556" s="2" t="s">
        <v>1806</v>
      </c>
      <c r="G556" s="2" t="s">
        <v>58</v>
      </c>
      <c r="H556" s="2" t="s">
        <v>136</v>
      </c>
      <c r="I556" s="2" t="s">
        <v>137</v>
      </c>
      <c r="J556" s="2" t="s">
        <v>66</v>
      </c>
      <c r="K556" s="2" t="s">
        <v>38</v>
      </c>
      <c r="L556" s="2" t="s">
        <v>38</v>
      </c>
      <c r="M556" s="2" t="s">
        <v>38</v>
      </c>
      <c r="N556" s="2" t="s">
        <v>38</v>
      </c>
      <c r="O556" s="2" t="s">
        <v>38</v>
      </c>
      <c r="P556" s="2" t="s">
        <v>38</v>
      </c>
      <c r="Q556" s="2" t="s">
        <v>38</v>
      </c>
      <c r="R556" s="2" t="s">
        <v>38</v>
      </c>
      <c r="S556" s="2" t="s">
        <v>38</v>
      </c>
      <c r="T556" s="2" t="s">
        <v>38</v>
      </c>
      <c r="U556" s="2" t="s">
        <v>38</v>
      </c>
      <c r="V556" s="2" t="s">
        <v>38</v>
      </c>
      <c r="W556" s="2" t="s">
        <v>38</v>
      </c>
      <c r="X556" s="2" t="s">
        <v>38</v>
      </c>
      <c r="Y556" s="2" t="s">
        <v>38</v>
      </c>
      <c r="Z556" s="2" t="s">
        <v>38</v>
      </c>
      <c r="AA556" s="2" t="s">
        <v>38</v>
      </c>
      <c r="AB556" s="2" t="s">
        <v>39</v>
      </c>
      <c r="AC556" s="2" t="s">
        <v>38</v>
      </c>
      <c r="AD556" s="2" t="s">
        <v>38</v>
      </c>
      <c r="AE556" s="2" t="s">
        <v>38</v>
      </c>
    </row>
    <row r="557" spans="1:31" ht="409.5">
      <c r="A557" s="2">
        <v>2697345</v>
      </c>
      <c r="B557" s="2">
        <f>HYPERLINK("https://platform.v2.vetology.net/cases/2697345/screening-report/18?type=pdf&amp;v=v6&amp;scorecard=1&amp;secret_key=BX%25IJ%24%2F65ieZ%29f6", 2697345)</f>
        <v>2697345</v>
      </c>
      <c r="C557" s="2">
        <f>HYPERLINK("https://platform.v2.vetology.net/report/v/final/"&amp;2697345, 2697345)</f>
        <v>2697345</v>
      </c>
      <c r="D557" s="2" t="s">
        <v>1807</v>
      </c>
      <c r="E557" s="2" t="s">
        <v>1808</v>
      </c>
      <c r="F557" s="2" t="s">
        <v>1809</v>
      </c>
      <c r="G557" s="2" t="s">
        <v>70</v>
      </c>
      <c r="H557" s="2" t="s">
        <v>1810</v>
      </c>
      <c r="I557" s="2" t="s">
        <v>167</v>
      </c>
      <c r="J557" s="2" t="s">
        <v>168</v>
      </c>
      <c r="K557" s="2" t="s">
        <v>38</v>
      </c>
      <c r="L557" s="2" t="s">
        <v>39</v>
      </c>
      <c r="M557" s="2" t="s">
        <v>39</v>
      </c>
      <c r="N557" s="2" t="s">
        <v>38</v>
      </c>
      <c r="O557" s="2" t="s">
        <v>38</v>
      </c>
      <c r="P557" s="2" t="s">
        <v>39</v>
      </c>
      <c r="Q557" s="2" t="s">
        <v>38</v>
      </c>
      <c r="R557" s="2" t="s">
        <v>38</v>
      </c>
      <c r="S557" s="2" t="s">
        <v>39</v>
      </c>
      <c r="T557" s="2" t="s">
        <v>39</v>
      </c>
      <c r="U557" s="2" t="s">
        <v>39</v>
      </c>
      <c r="V557" s="2" t="s">
        <v>39</v>
      </c>
      <c r="W557" s="2" t="s">
        <v>38</v>
      </c>
      <c r="X557" s="2" t="s">
        <v>39</v>
      </c>
      <c r="Y557" s="2" t="s">
        <v>38</v>
      </c>
      <c r="Z557" s="2" t="s">
        <v>38</v>
      </c>
      <c r="AA557" s="2" t="s">
        <v>38</v>
      </c>
      <c r="AB557" s="2" t="s">
        <v>38</v>
      </c>
      <c r="AC557" s="2" t="s">
        <v>38</v>
      </c>
      <c r="AD557" s="2" t="s">
        <v>38</v>
      </c>
      <c r="AE557" s="2" t="s">
        <v>38</v>
      </c>
    </row>
    <row r="558" spans="1:31" ht="409.5">
      <c r="A558" s="2">
        <v>2697338</v>
      </c>
      <c r="B558" s="2">
        <f>HYPERLINK("https://platform.v2.vetology.net/cases/2697338/screening-report/18?type=pdf&amp;v=v6&amp;scorecard=1&amp;secret_key=BX%25IJ%24%2F65ieZ%29f6", 2697338)</f>
        <v>2697338</v>
      </c>
      <c r="C558" s="2">
        <f>HYPERLINK("https://platform.v2.vetology.net/report/v/final/"&amp;2697338, 2697338)</f>
        <v>2697338</v>
      </c>
      <c r="D558" s="2" t="s">
        <v>1811</v>
      </c>
      <c r="E558" s="2" t="s">
        <v>1812</v>
      </c>
      <c r="F558" s="2" t="s">
        <v>1813</v>
      </c>
      <c r="G558" s="2" t="s">
        <v>58</v>
      </c>
      <c r="H558" s="2" t="s">
        <v>48</v>
      </c>
      <c r="I558" s="2" t="s">
        <v>49</v>
      </c>
      <c r="J558" s="2" t="s">
        <v>50</v>
      </c>
      <c r="K558" s="2" t="s">
        <v>38</v>
      </c>
      <c r="L558" s="2" t="s">
        <v>39</v>
      </c>
      <c r="M558" s="2" t="s">
        <v>39</v>
      </c>
      <c r="N558" s="2" t="s">
        <v>38</v>
      </c>
      <c r="O558" s="2" t="s">
        <v>38</v>
      </c>
      <c r="P558" s="2" t="s">
        <v>38</v>
      </c>
      <c r="Q558" s="2" t="s">
        <v>38</v>
      </c>
      <c r="R558" s="2" t="s">
        <v>38</v>
      </c>
      <c r="S558" s="2" t="s">
        <v>39</v>
      </c>
      <c r="T558" s="2" t="s">
        <v>39</v>
      </c>
      <c r="U558" s="2" t="s">
        <v>38</v>
      </c>
      <c r="V558" s="2" t="s">
        <v>38</v>
      </c>
      <c r="W558" s="2" t="s">
        <v>38</v>
      </c>
      <c r="X558" s="2" t="s">
        <v>39</v>
      </c>
      <c r="Y558" s="2" t="s">
        <v>38</v>
      </c>
      <c r="Z558" s="2" t="s">
        <v>38</v>
      </c>
      <c r="AA558" s="2" t="s">
        <v>38</v>
      </c>
      <c r="AB558" s="2" t="s">
        <v>38</v>
      </c>
      <c r="AC558" s="2" t="s">
        <v>38</v>
      </c>
      <c r="AD558" s="2" t="s">
        <v>38</v>
      </c>
      <c r="AE558" s="2" t="s">
        <v>38</v>
      </c>
    </row>
    <row r="559" spans="1:31" ht="409.5">
      <c r="A559" s="2">
        <v>2697054</v>
      </c>
      <c r="B559" s="2">
        <f>HYPERLINK("https://platform.v2.vetology.net/cases/2697054/screening-report/18?type=pdf&amp;v=v6&amp;scorecard=1&amp;secret_key=BX%25IJ%24%2F65ieZ%29f6", 2697054)</f>
        <v>2697054</v>
      </c>
      <c r="C559" s="2">
        <f>HYPERLINK("https://platform.v2.vetology.net/report/v/final/"&amp;2697054, 2697054)</f>
        <v>2697054</v>
      </c>
      <c r="D559" s="2" t="s">
        <v>1814</v>
      </c>
      <c r="E559" s="2" t="s">
        <v>1815</v>
      </c>
      <c r="F559" s="2" t="s">
        <v>1816</v>
      </c>
      <c r="G559" s="2" t="s">
        <v>135</v>
      </c>
      <c r="H559" s="2" t="s">
        <v>71</v>
      </c>
      <c r="I559" s="2" t="s">
        <v>44</v>
      </c>
      <c r="J559" s="2" t="s">
        <v>106</v>
      </c>
      <c r="K559" s="2" t="s">
        <v>38</v>
      </c>
      <c r="L559" s="2" t="s">
        <v>38</v>
      </c>
      <c r="M559" s="2" t="s">
        <v>38</v>
      </c>
      <c r="N559" s="2" t="s">
        <v>38</v>
      </c>
      <c r="O559" s="2" t="s">
        <v>38</v>
      </c>
      <c r="P559" s="2" t="s">
        <v>38</v>
      </c>
      <c r="Q559" s="2" t="s">
        <v>38</v>
      </c>
      <c r="R559" s="2" t="s">
        <v>38</v>
      </c>
      <c r="S559" s="2" t="s">
        <v>38</v>
      </c>
      <c r="T559" s="2" t="s">
        <v>38</v>
      </c>
      <c r="U559" s="2" t="s">
        <v>38</v>
      </c>
      <c r="V559" s="2" t="s">
        <v>38</v>
      </c>
      <c r="W559" s="2" t="s">
        <v>38</v>
      </c>
      <c r="X559" s="2" t="s">
        <v>38</v>
      </c>
      <c r="Y559" s="2" t="s">
        <v>38</v>
      </c>
      <c r="Z559" s="2" t="s">
        <v>38</v>
      </c>
      <c r="AA559" s="2" t="s">
        <v>38</v>
      </c>
      <c r="AB559" s="2" t="s">
        <v>38</v>
      </c>
      <c r="AC559" s="2" t="s">
        <v>38</v>
      </c>
      <c r="AD559" s="2" t="s">
        <v>38</v>
      </c>
      <c r="AE559" s="2" t="s">
        <v>38</v>
      </c>
    </row>
    <row r="560" spans="1:31" ht="409.5">
      <c r="A560" s="2">
        <v>2697040</v>
      </c>
      <c r="B560" s="2">
        <f>HYPERLINK("https://platform.v2.vetology.net/cases/2697040/screening-report/18?type=pdf&amp;v=v6&amp;scorecard=1&amp;secret_key=BX%25IJ%24%2F65ieZ%29f6", 2697040)</f>
        <v>2697040</v>
      </c>
      <c r="C560" s="2">
        <f>HYPERLINK("https://platform.v2.vetology.net/report/v/final/"&amp;2697040, 2697040)</f>
        <v>2697040</v>
      </c>
      <c r="D560" s="2" t="s">
        <v>1817</v>
      </c>
      <c r="E560" s="2" t="s">
        <v>1818</v>
      </c>
      <c r="F560" s="2"/>
      <c r="G560" s="2" t="s">
        <v>141</v>
      </c>
      <c r="H560" s="2" t="s">
        <v>54</v>
      </c>
      <c r="I560" s="2" t="s">
        <v>44</v>
      </c>
      <c r="J560" s="2"/>
      <c r="K560" s="2" t="s">
        <v>38</v>
      </c>
      <c r="L560" s="2" t="s">
        <v>39</v>
      </c>
      <c r="M560" s="2" t="s">
        <v>38</v>
      </c>
      <c r="N560" s="2" t="s">
        <v>38</v>
      </c>
      <c r="O560" s="2" t="s">
        <v>38</v>
      </c>
      <c r="P560" s="2" t="s">
        <v>38</v>
      </c>
      <c r="Q560" s="2" t="s">
        <v>38</v>
      </c>
      <c r="R560" s="2" t="s">
        <v>38</v>
      </c>
      <c r="S560" s="2" t="s">
        <v>38</v>
      </c>
      <c r="T560" s="2" t="s">
        <v>38</v>
      </c>
      <c r="U560" s="2" t="s">
        <v>38</v>
      </c>
      <c r="V560" s="2" t="s">
        <v>38</v>
      </c>
      <c r="W560" s="2" t="s">
        <v>38</v>
      </c>
      <c r="X560" s="2" t="s">
        <v>38</v>
      </c>
      <c r="Y560" s="2" t="s">
        <v>38</v>
      </c>
      <c r="Z560" s="2" t="s">
        <v>38</v>
      </c>
      <c r="AA560" s="2" t="s">
        <v>38</v>
      </c>
      <c r="AB560" s="2" t="s">
        <v>38</v>
      </c>
      <c r="AC560" s="2" t="s">
        <v>38</v>
      </c>
      <c r="AD560" s="2" t="s">
        <v>38</v>
      </c>
      <c r="AE560" s="2" t="s">
        <v>38</v>
      </c>
    </row>
    <row r="561" spans="1:31" ht="409.5">
      <c r="A561" s="2">
        <v>2696477</v>
      </c>
      <c r="B561" s="2">
        <f>HYPERLINK("https://platform.v2.vetology.net/cases/2696477/screening-report/18?type=pdf&amp;v=v6&amp;scorecard=1&amp;secret_key=BX%25IJ%24%2F65ieZ%29f6", 2696477)</f>
        <v>2696477</v>
      </c>
      <c r="C561" s="2">
        <f>HYPERLINK("https://platform.v2.vetology.net/report/v/final/"&amp;2696477, 2696477)</f>
        <v>2696477</v>
      </c>
      <c r="D561" s="2" t="s">
        <v>1819</v>
      </c>
      <c r="E561" s="2" t="s">
        <v>1820</v>
      </c>
      <c r="F561" s="2" t="s">
        <v>1821</v>
      </c>
      <c r="G561" s="2" t="s">
        <v>93</v>
      </c>
      <c r="H561" s="2" t="s">
        <v>218</v>
      </c>
      <c r="I561" s="2" t="s">
        <v>137</v>
      </c>
      <c r="J561" s="2" t="s">
        <v>66</v>
      </c>
      <c r="K561" s="2" t="s">
        <v>38</v>
      </c>
      <c r="L561" s="2" t="s">
        <v>38</v>
      </c>
      <c r="M561" s="2" t="s">
        <v>38</v>
      </c>
      <c r="N561" s="2" t="s">
        <v>38</v>
      </c>
      <c r="O561" s="2" t="s">
        <v>38</v>
      </c>
      <c r="P561" s="2" t="s">
        <v>38</v>
      </c>
      <c r="Q561" s="2" t="s">
        <v>38</v>
      </c>
      <c r="R561" s="2" t="s">
        <v>38</v>
      </c>
      <c r="S561" s="2" t="s">
        <v>38</v>
      </c>
      <c r="T561" s="2" t="s">
        <v>39</v>
      </c>
      <c r="U561" s="2" t="s">
        <v>38</v>
      </c>
      <c r="V561" s="2" t="s">
        <v>39</v>
      </c>
      <c r="W561" s="2" t="s">
        <v>38</v>
      </c>
      <c r="X561" s="2" t="s">
        <v>39</v>
      </c>
      <c r="Y561" s="2" t="s">
        <v>38</v>
      </c>
      <c r="Z561" s="2" t="s">
        <v>38</v>
      </c>
      <c r="AA561" s="2" t="s">
        <v>38</v>
      </c>
      <c r="AB561" s="2" t="s">
        <v>38</v>
      </c>
      <c r="AC561" s="2" t="s">
        <v>38</v>
      </c>
      <c r="AD561" s="2" t="s">
        <v>38</v>
      </c>
      <c r="AE561" s="2" t="s">
        <v>38</v>
      </c>
    </row>
    <row r="562" spans="1:31" ht="409.5">
      <c r="A562" s="2">
        <v>2696467</v>
      </c>
      <c r="B562" s="2">
        <f>HYPERLINK("https://platform.v2.vetology.net/cases/2696467/screening-report/18?type=pdf&amp;v=v6&amp;scorecard=1&amp;secret_key=BX%25IJ%24%2F65ieZ%29f6", 2696467)</f>
        <v>2696467</v>
      </c>
      <c r="C562" s="2">
        <f>HYPERLINK("https://platform.v2.vetology.net/report/v/final/"&amp;2696467, 2696467)</f>
        <v>2696467</v>
      </c>
      <c r="D562" s="2" t="s">
        <v>1822</v>
      </c>
      <c r="E562" s="2" t="s">
        <v>1823</v>
      </c>
      <c r="F562" s="2" t="s">
        <v>1824</v>
      </c>
      <c r="G562" s="2" t="s">
        <v>464</v>
      </c>
      <c r="H562" s="2" t="s">
        <v>1825</v>
      </c>
      <c r="I562" s="2" t="s">
        <v>700</v>
      </c>
      <c r="J562" s="2" t="s">
        <v>701</v>
      </c>
      <c r="K562" s="2" t="s">
        <v>38</v>
      </c>
      <c r="L562" s="2" t="s">
        <v>39</v>
      </c>
      <c r="M562" s="2" t="s">
        <v>38</v>
      </c>
      <c r="N562" s="2" t="s">
        <v>38</v>
      </c>
      <c r="O562" s="2" t="s">
        <v>38</v>
      </c>
      <c r="P562" s="2" t="s">
        <v>38</v>
      </c>
      <c r="Q562" s="2" t="s">
        <v>38</v>
      </c>
      <c r="R562" s="2" t="s">
        <v>38</v>
      </c>
      <c r="S562" s="2" t="s">
        <v>38</v>
      </c>
      <c r="T562" s="2" t="s">
        <v>38</v>
      </c>
      <c r="U562" s="2" t="s">
        <v>38</v>
      </c>
      <c r="V562" s="2" t="s">
        <v>38</v>
      </c>
      <c r="W562" s="2" t="s">
        <v>38</v>
      </c>
      <c r="X562" s="2" t="s">
        <v>38</v>
      </c>
      <c r="Y562" s="2" t="s">
        <v>38</v>
      </c>
      <c r="Z562" s="2" t="s">
        <v>38</v>
      </c>
      <c r="AA562" s="2" t="s">
        <v>38</v>
      </c>
      <c r="AB562" s="2" t="s">
        <v>38</v>
      </c>
      <c r="AC562" s="2" t="s">
        <v>38</v>
      </c>
      <c r="AD562" s="2" t="s">
        <v>38</v>
      </c>
      <c r="AE562" s="2" t="s">
        <v>38</v>
      </c>
    </row>
    <row r="563" spans="1:31" ht="409.5">
      <c r="A563" s="2">
        <v>2696439</v>
      </c>
      <c r="B563" s="2">
        <f>HYPERLINK("https://platform.v2.vetology.net/cases/2696439/screening-report/18?type=pdf&amp;v=v6&amp;scorecard=1&amp;secret_key=BX%25IJ%24%2F65ieZ%29f6", 2696439)</f>
        <v>2696439</v>
      </c>
      <c r="C563" s="2">
        <f>HYPERLINK("https://platform.v2.vetology.net/report/v/final/"&amp;2696439, 2696439)</f>
        <v>2696439</v>
      </c>
      <c r="D563" s="2" t="s">
        <v>1826</v>
      </c>
      <c r="E563" s="2" t="s">
        <v>1827</v>
      </c>
      <c r="F563" s="2" t="s">
        <v>1828</v>
      </c>
      <c r="G563" s="2" t="s">
        <v>135</v>
      </c>
      <c r="H563" s="2" t="s">
        <v>1829</v>
      </c>
      <c r="I563" s="2" t="s">
        <v>1167</v>
      </c>
      <c r="J563" s="2" t="s">
        <v>1168</v>
      </c>
      <c r="K563" s="2" t="s">
        <v>38</v>
      </c>
      <c r="L563" s="2" t="s">
        <v>39</v>
      </c>
      <c r="M563" s="2" t="s">
        <v>39</v>
      </c>
      <c r="N563" s="2" t="s">
        <v>39</v>
      </c>
      <c r="O563" s="2" t="s">
        <v>39</v>
      </c>
      <c r="P563" s="2" t="s">
        <v>39</v>
      </c>
      <c r="Q563" s="2" t="s">
        <v>39</v>
      </c>
      <c r="R563" s="2" t="s">
        <v>38</v>
      </c>
      <c r="S563" s="2" t="s">
        <v>38</v>
      </c>
      <c r="T563" s="2" t="s">
        <v>39</v>
      </c>
      <c r="U563" s="2" t="s">
        <v>38</v>
      </c>
      <c r="V563" s="2" t="s">
        <v>39</v>
      </c>
      <c r="W563" s="2" t="s">
        <v>38</v>
      </c>
      <c r="X563" s="2" t="s">
        <v>39</v>
      </c>
      <c r="Y563" s="2" t="s">
        <v>38</v>
      </c>
      <c r="Z563" s="2" t="s">
        <v>39</v>
      </c>
      <c r="AA563" s="2" t="s">
        <v>39</v>
      </c>
      <c r="AB563" s="2" t="s">
        <v>39</v>
      </c>
      <c r="AC563" s="2" t="s">
        <v>39</v>
      </c>
      <c r="AD563" s="2" t="s">
        <v>38</v>
      </c>
      <c r="AE563" s="2" t="s">
        <v>39</v>
      </c>
    </row>
    <row r="564" spans="1:31" ht="409.5">
      <c r="A564" s="2">
        <v>2696392</v>
      </c>
      <c r="B564" s="2">
        <f>HYPERLINK("https://platform.v2.vetology.net/cases/2696392/screening-report/18?type=pdf&amp;v=v6&amp;scorecard=1&amp;secret_key=BX%25IJ%24%2F65ieZ%29f6", 2696392)</f>
        <v>2696392</v>
      </c>
      <c r="C564" s="2">
        <f>HYPERLINK("https://platform.v2.vetology.net/report/v/final/"&amp;2696392, 2696392)</f>
        <v>2696392</v>
      </c>
      <c r="D564" s="2" t="s">
        <v>1830</v>
      </c>
      <c r="E564" s="2" t="s">
        <v>1831</v>
      </c>
      <c r="F564" s="2" t="s">
        <v>1832</v>
      </c>
      <c r="G564" s="2" t="s">
        <v>58</v>
      </c>
      <c r="H564" s="2" t="s">
        <v>283</v>
      </c>
      <c r="I564" s="2" t="s">
        <v>284</v>
      </c>
      <c r="J564" s="2" t="s">
        <v>285</v>
      </c>
      <c r="K564" s="2" t="s">
        <v>38</v>
      </c>
      <c r="L564" s="2" t="s">
        <v>39</v>
      </c>
      <c r="M564" s="2" t="s">
        <v>38</v>
      </c>
      <c r="N564" s="2" t="s">
        <v>38</v>
      </c>
      <c r="O564" s="2" t="s">
        <v>38</v>
      </c>
      <c r="P564" s="2" t="s">
        <v>38</v>
      </c>
      <c r="Q564" s="2" t="s">
        <v>38</v>
      </c>
      <c r="R564" s="2" t="s">
        <v>38</v>
      </c>
      <c r="S564" s="2" t="s">
        <v>38</v>
      </c>
      <c r="T564" s="2" t="s">
        <v>38</v>
      </c>
      <c r="U564" s="2" t="s">
        <v>38</v>
      </c>
      <c r="V564" s="2" t="s">
        <v>38</v>
      </c>
      <c r="W564" s="2" t="s">
        <v>38</v>
      </c>
      <c r="X564" s="2" t="s">
        <v>38</v>
      </c>
      <c r="Y564" s="2" t="s">
        <v>38</v>
      </c>
      <c r="Z564" s="2" t="s">
        <v>38</v>
      </c>
      <c r="AA564" s="2" t="s">
        <v>38</v>
      </c>
      <c r="AB564" s="2" t="s">
        <v>38</v>
      </c>
      <c r="AC564" s="2" t="s">
        <v>38</v>
      </c>
      <c r="AD564" s="2" t="s">
        <v>38</v>
      </c>
      <c r="AE564" s="2" t="s">
        <v>38</v>
      </c>
    </row>
    <row r="565" spans="1:31" ht="409.5">
      <c r="A565" s="2">
        <v>2696279</v>
      </c>
      <c r="B565" s="2">
        <f>HYPERLINK("https://platform.v2.vetology.net/cases/2696279/screening-report/18?type=pdf&amp;v=v6&amp;scorecard=1&amp;secret_key=BX%25IJ%24%2F65ieZ%29f6", 2696279)</f>
        <v>2696279</v>
      </c>
      <c r="C565" s="2">
        <f>HYPERLINK("https://platform.v2.vetology.net/report/v/final/"&amp;2696279, 2696279)</f>
        <v>2696279</v>
      </c>
      <c r="D565" s="2" t="s">
        <v>1833</v>
      </c>
      <c r="E565" s="2" t="s">
        <v>1834</v>
      </c>
      <c r="F565" s="2" t="s">
        <v>1835</v>
      </c>
      <c r="G565" s="2" t="s">
        <v>58</v>
      </c>
      <c r="H565" s="2" t="s">
        <v>283</v>
      </c>
      <c r="I565" s="2" t="s">
        <v>284</v>
      </c>
      <c r="J565" s="2" t="s">
        <v>285</v>
      </c>
      <c r="K565" s="2" t="s">
        <v>38</v>
      </c>
      <c r="L565" s="2" t="s">
        <v>39</v>
      </c>
      <c r="M565" s="2" t="s">
        <v>38</v>
      </c>
      <c r="N565" s="2" t="s">
        <v>38</v>
      </c>
      <c r="O565" s="2" t="s">
        <v>38</v>
      </c>
      <c r="P565" s="2" t="s">
        <v>38</v>
      </c>
      <c r="Q565" s="2" t="s">
        <v>38</v>
      </c>
      <c r="R565" s="2" t="s">
        <v>38</v>
      </c>
      <c r="S565" s="2" t="s">
        <v>38</v>
      </c>
      <c r="T565" s="2" t="s">
        <v>39</v>
      </c>
      <c r="U565" s="2" t="s">
        <v>38</v>
      </c>
      <c r="V565" s="2" t="s">
        <v>38</v>
      </c>
      <c r="W565" s="2" t="s">
        <v>38</v>
      </c>
      <c r="X565" s="2" t="s">
        <v>38</v>
      </c>
      <c r="Y565" s="2" t="s">
        <v>38</v>
      </c>
      <c r="Z565" s="2" t="s">
        <v>38</v>
      </c>
      <c r="AA565" s="2" t="s">
        <v>38</v>
      </c>
      <c r="AB565" s="2" t="s">
        <v>38</v>
      </c>
      <c r="AC565" s="2" t="s">
        <v>38</v>
      </c>
      <c r="AD565" s="2" t="s">
        <v>38</v>
      </c>
      <c r="AE565" s="2" t="s">
        <v>38</v>
      </c>
    </row>
    <row r="566" spans="1:31" ht="409.5">
      <c r="A566" s="2">
        <v>2695987</v>
      </c>
      <c r="B566" s="2">
        <f>HYPERLINK("https://platform.v2.vetology.net/cases/2695987/screening-report/18?type=pdf&amp;v=v6&amp;scorecard=1&amp;secret_key=BX%25IJ%24%2F65ieZ%29f6", 2695987)</f>
        <v>2695987</v>
      </c>
      <c r="C566" s="2">
        <f>HYPERLINK("https://platform.v2.vetology.net/report/v/final/"&amp;2695987, 2695987)</f>
        <v>2695987</v>
      </c>
      <c r="D566" s="2" t="s">
        <v>1836</v>
      </c>
      <c r="E566" s="2" t="s">
        <v>1837</v>
      </c>
      <c r="F566" s="2" t="s">
        <v>81</v>
      </c>
      <c r="G566" s="2" t="s">
        <v>82</v>
      </c>
      <c r="H566" s="2" t="s">
        <v>244</v>
      </c>
      <c r="I566" s="2" t="s">
        <v>245</v>
      </c>
      <c r="J566" s="2" t="s">
        <v>246</v>
      </c>
      <c r="K566" s="2" t="s">
        <v>38</v>
      </c>
      <c r="L566" s="2" t="s">
        <v>38</v>
      </c>
      <c r="M566" s="2" t="s">
        <v>38</v>
      </c>
      <c r="N566" s="2" t="s">
        <v>39</v>
      </c>
      <c r="O566" s="2" t="s">
        <v>38</v>
      </c>
      <c r="P566" s="2" t="s">
        <v>38</v>
      </c>
      <c r="Q566" s="2" t="s">
        <v>38</v>
      </c>
      <c r="R566" s="2" t="s">
        <v>38</v>
      </c>
      <c r="S566" s="2" t="s">
        <v>38</v>
      </c>
      <c r="T566" s="2" t="s">
        <v>38</v>
      </c>
      <c r="U566" s="2" t="s">
        <v>38</v>
      </c>
      <c r="V566" s="2" t="s">
        <v>38</v>
      </c>
      <c r="W566" s="2" t="s">
        <v>38</v>
      </c>
      <c r="X566" s="2" t="s">
        <v>38</v>
      </c>
      <c r="Y566" s="2" t="s">
        <v>38</v>
      </c>
      <c r="Z566" s="2" t="s">
        <v>38</v>
      </c>
      <c r="AA566" s="2" t="s">
        <v>38</v>
      </c>
      <c r="AB566" s="2" t="s">
        <v>38</v>
      </c>
      <c r="AC566" s="2" t="s">
        <v>38</v>
      </c>
      <c r="AD566" s="2" t="s">
        <v>38</v>
      </c>
      <c r="AE566" s="2" t="s">
        <v>38</v>
      </c>
    </row>
    <row r="567" spans="1:31" ht="409.5">
      <c r="A567" s="2">
        <v>2695789</v>
      </c>
      <c r="B567" s="2">
        <f>HYPERLINK("https://platform.v2.vetology.net/cases/2695789/screening-report/18?type=pdf&amp;v=v6&amp;scorecard=1&amp;secret_key=BX%25IJ%24%2F65ieZ%29f6", 2695789)</f>
        <v>2695789</v>
      </c>
      <c r="C567" s="2">
        <f>HYPERLINK("https://platform.v2.vetology.net/report/v/final/"&amp;2695789, 2695789)</f>
        <v>2695789</v>
      </c>
      <c r="D567" s="2" t="s">
        <v>1838</v>
      </c>
      <c r="E567" s="2" t="s">
        <v>1839</v>
      </c>
      <c r="F567" s="2" t="s">
        <v>1840</v>
      </c>
      <c r="G567" s="2" t="s">
        <v>58</v>
      </c>
      <c r="H567" s="2" t="s">
        <v>78</v>
      </c>
      <c r="I567" s="2" t="s">
        <v>44</v>
      </c>
      <c r="J567" s="2" t="s">
        <v>106</v>
      </c>
      <c r="K567" s="2" t="s">
        <v>38</v>
      </c>
      <c r="L567" s="2" t="s">
        <v>39</v>
      </c>
      <c r="M567" s="2" t="s">
        <v>38</v>
      </c>
      <c r="N567" s="2" t="s">
        <v>38</v>
      </c>
      <c r="O567" s="2" t="s">
        <v>38</v>
      </c>
      <c r="P567" s="2" t="s">
        <v>39</v>
      </c>
      <c r="Q567" s="2" t="s">
        <v>38</v>
      </c>
      <c r="R567" s="2" t="s">
        <v>38</v>
      </c>
      <c r="S567" s="2" t="s">
        <v>38</v>
      </c>
      <c r="T567" s="2" t="s">
        <v>38</v>
      </c>
      <c r="U567" s="2" t="s">
        <v>38</v>
      </c>
      <c r="V567" s="2" t="s">
        <v>38</v>
      </c>
      <c r="W567" s="2" t="s">
        <v>38</v>
      </c>
      <c r="X567" s="2" t="s">
        <v>39</v>
      </c>
      <c r="Y567" s="2" t="s">
        <v>39</v>
      </c>
      <c r="Z567" s="2" t="s">
        <v>38</v>
      </c>
      <c r="AA567" s="2" t="s">
        <v>38</v>
      </c>
      <c r="AB567" s="2" t="s">
        <v>38</v>
      </c>
      <c r="AC567" s="2" t="s">
        <v>39</v>
      </c>
      <c r="AD567" s="2" t="s">
        <v>38</v>
      </c>
      <c r="AE567" s="2" t="s">
        <v>38</v>
      </c>
    </row>
    <row r="568" spans="1:31" ht="409.5">
      <c r="A568" s="2">
        <v>2695765</v>
      </c>
      <c r="B568" s="2">
        <f>HYPERLINK("https://platform.v2.vetology.net/cases/2695765/screening-report/18?type=pdf&amp;v=v6&amp;scorecard=1&amp;secret_key=BX%25IJ%24%2F65ieZ%29f6", 2695765)</f>
        <v>2695765</v>
      </c>
      <c r="C568" s="2">
        <f>HYPERLINK("https://platform.v2.vetology.net/report/v/final/"&amp;2695765, 2695765)</f>
        <v>2695765</v>
      </c>
      <c r="D568" s="2" t="s">
        <v>1841</v>
      </c>
      <c r="E568" s="2" t="s">
        <v>1842</v>
      </c>
      <c r="F568" s="2" t="s">
        <v>1843</v>
      </c>
      <c r="G568" s="2" t="s">
        <v>70</v>
      </c>
      <c r="H568" s="2" t="s">
        <v>88</v>
      </c>
      <c r="I568" s="2" t="s">
        <v>89</v>
      </c>
      <c r="J568" s="2" t="s">
        <v>66</v>
      </c>
      <c r="K568" s="2" t="s">
        <v>38</v>
      </c>
      <c r="L568" s="2" t="s">
        <v>38</v>
      </c>
      <c r="M568" s="2" t="s">
        <v>38</v>
      </c>
      <c r="N568" s="2" t="s">
        <v>38</v>
      </c>
      <c r="O568" s="2" t="s">
        <v>38</v>
      </c>
      <c r="P568" s="2" t="s">
        <v>38</v>
      </c>
      <c r="Q568" s="2" t="s">
        <v>38</v>
      </c>
      <c r="R568" s="2" t="s">
        <v>38</v>
      </c>
      <c r="S568" s="2" t="s">
        <v>38</v>
      </c>
      <c r="T568" s="2" t="s">
        <v>38</v>
      </c>
      <c r="U568" s="2" t="s">
        <v>38</v>
      </c>
      <c r="V568" s="2" t="s">
        <v>38</v>
      </c>
      <c r="W568" s="2" t="s">
        <v>38</v>
      </c>
      <c r="X568" s="2" t="s">
        <v>38</v>
      </c>
      <c r="Y568" s="2" t="s">
        <v>38</v>
      </c>
      <c r="Z568" s="2" t="s">
        <v>38</v>
      </c>
      <c r="AA568" s="2" t="s">
        <v>38</v>
      </c>
      <c r="AB568" s="2" t="s">
        <v>38</v>
      </c>
      <c r="AC568" s="2" t="s">
        <v>38</v>
      </c>
      <c r="AD568" s="2" t="s">
        <v>38</v>
      </c>
      <c r="AE568" s="2" t="s">
        <v>39</v>
      </c>
    </row>
    <row r="569" spans="1:31" ht="409.5">
      <c r="A569" s="2">
        <v>2695608</v>
      </c>
      <c r="B569" s="2">
        <f>HYPERLINK("https://platform.v2.vetology.net/cases/2695608/screening-report/18?type=pdf&amp;v=v6&amp;scorecard=1&amp;secret_key=BX%25IJ%24%2F65ieZ%29f6", 2695608)</f>
        <v>2695608</v>
      </c>
      <c r="C569" s="2">
        <f>HYPERLINK("https://platform.v2.vetology.net/report/v/final/"&amp;2695608, 2695608)</f>
        <v>2695608</v>
      </c>
      <c r="D569" s="2" t="s">
        <v>1844</v>
      </c>
      <c r="E569" s="2" t="s">
        <v>1845</v>
      </c>
      <c r="F569" s="2" t="s">
        <v>1846</v>
      </c>
      <c r="G569" s="2" t="s">
        <v>34</v>
      </c>
      <c r="H569" s="2" t="s">
        <v>54</v>
      </c>
      <c r="I569" s="2" t="s">
        <v>44</v>
      </c>
      <c r="J569" s="2"/>
      <c r="K569" s="2" t="s">
        <v>38</v>
      </c>
      <c r="L569" s="2" t="s">
        <v>39</v>
      </c>
      <c r="M569" s="2" t="s">
        <v>38</v>
      </c>
      <c r="N569" s="2" t="s">
        <v>38</v>
      </c>
      <c r="O569" s="2" t="s">
        <v>38</v>
      </c>
      <c r="P569" s="2" t="s">
        <v>38</v>
      </c>
      <c r="Q569" s="2" t="s">
        <v>38</v>
      </c>
      <c r="R569" s="2" t="s">
        <v>38</v>
      </c>
      <c r="S569" s="2" t="s">
        <v>38</v>
      </c>
      <c r="T569" s="2" t="s">
        <v>39</v>
      </c>
      <c r="U569" s="2" t="s">
        <v>38</v>
      </c>
      <c r="V569" s="2" t="s">
        <v>39</v>
      </c>
      <c r="W569" s="2" t="s">
        <v>38</v>
      </c>
      <c r="X569" s="2" t="s">
        <v>39</v>
      </c>
      <c r="Y569" s="2" t="s">
        <v>38</v>
      </c>
      <c r="Z569" s="2" t="s">
        <v>38</v>
      </c>
      <c r="AA569" s="2" t="s">
        <v>38</v>
      </c>
      <c r="AB569" s="2" t="s">
        <v>38</v>
      </c>
      <c r="AC569" s="2" t="s">
        <v>38</v>
      </c>
      <c r="AD569" s="2" t="s">
        <v>38</v>
      </c>
      <c r="AE569" s="2" t="s">
        <v>38</v>
      </c>
    </row>
    <row r="570" spans="1:31" ht="409.5">
      <c r="A570" s="2">
        <v>2695420</v>
      </c>
      <c r="B570" s="2">
        <f>HYPERLINK("https://platform.v2.vetology.net/cases/2695420/screening-report/18?type=pdf&amp;v=v6&amp;scorecard=1&amp;secret_key=BX%25IJ%24%2F65ieZ%29f6", 2695420)</f>
        <v>2695420</v>
      </c>
      <c r="C570" s="2">
        <f>HYPERLINK("https://platform.v2.vetology.net/report/v/final/"&amp;2695420, 2695420)</f>
        <v>2695420</v>
      </c>
      <c r="D570" s="2" t="s">
        <v>1847</v>
      </c>
      <c r="E570" s="2" t="s">
        <v>1848</v>
      </c>
      <c r="F570" s="2" t="s">
        <v>1849</v>
      </c>
      <c r="G570" s="2" t="s">
        <v>58</v>
      </c>
      <c r="H570" s="2" t="s">
        <v>723</v>
      </c>
      <c r="I570" s="2" t="s">
        <v>44</v>
      </c>
      <c r="J570" s="2"/>
      <c r="K570" s="2" t="s">
        <v>38</v>
      </c>
      <c r="L570" s="2" t="s">
        <v>39</v>
      </c>
      <c r="M570" s="2" t="s">
        <v>39</v>
      </c>
      <c r="N570" s="2" t="s">
        <v>38</v>
      </c>
      <c r="O570" s="2" t="s">
        <v>38</v>
      </c>
      <c r="P570" s="2" t="s">
        <v>38</v>
      </c>
      <c r="Q570" s="2" t="s">
        <v>38</v>
      </c>
      <c r="R570" s="2" t="s">
        <v>38</v>
      </c>
      <c r="S570" s="2" t="s">
        <v>38</v>
      </c>
      <c r="T570" s="2" t="s">
        <v>38</v>
      </c>
      <c r="U570" s="2" t="s">
        <v>38</v>
      </c>
      <c r="V570" s="2" t="s">
        <v>38</v>
      </c>
      <c r="W570" s="2" t="s">
        <v>38</v>
      </c>
      <c r="X570" s="2" t="s">
        <v>38</v>
      </c>
      <c r="Y570" s="2" t="s">
        <v>38</v>
      </c>
      <c r="Z570" s="2" t="s">
        <v>38</v>
      </c>
      <c r="AA570" s="2" t="s">
        <v>38</v>
      </c>
      <c r="AB570" s="2" t="s">
        <v>38</v>
      </c>
      <c r="AC570" s="2" t="s">
        <v>38</v>
      </c>
      <c r="AD570" s="2" t="s">
        <v>38</v>
      </c>
      <c r="AE570" s="2" t="s">
        <v>38</v>
      </c>
    </row>
    <row r="571" spans="1:31" ht="409.5">
      <c r="A571" s="2">
        <v>2694892</v>
      </c>
      <c r="B571" s="2">
        <f>HYPERLINK("https://platform.v2.vetology.net/cases/2694892/screening-report/18?type=pdf&amp;v=v6&amp;scorecard=1&amp;secret_key=BX%25IJ%24%2F65ieZ%29f6", 2694892)</f>
        <v>2694892</v>
      </c>
      <c r="C571" s="2">
        <f>HYPERLINK("https://platform.v2.vetology.net/report/v/final/"&amp;2694892, 2694892)</f>
        <v>2694892</v>
      </c>
      <c r="D571" s="2" t="s">
        <v>1850</v>
      </c>
      <c r="E571" s="2" t="s">
        <v>796</v>
      </c>
      <c r="F571" s="2" t="s">
        <v>1851</v>
      </c>
      <c r="G571" s="2" t="s">
        <v>135</v>
      </c>
      <c r="H571" s="2" t="s">
        <v>937</v>
      </c>
      <c r="I571" s="2" t="s">
        <v>418</v>
      </c>
      <c r="J571" s="2" t="s">
        <v>419</v>
      </c>
      <c r="K571" s="2" t="s">
        <v>38</v>
      </c>
      <c r="L571" s="2" t="s">
        <v>39</v>
      </c>
      <c r="M571" s="2" t="s">
        <v>39</v>
      </c>
      <c r="N571" s="2" t="s">
        <v>38</v>
      </c>
      <c r="O571" s="2" t="s">
        <v>38</v>
      </c>
      <c r="P571" s="2" t="s">
        <v>38</v>
      </c>
      <c r="Q571" s="2" t="s">
        <v>38</v>
      </c>
      <c r="R571" s="2" t="s">
        <v>38</v>
      </c>
      <c r="S571" s="2" t="s">
        <v>39</v>
      </c>
      <c r="T571" s="2" t="s">
        <v>39</v>
      </c>
      <c r="U571" s="2" t="s">
        <v>38</v>
      </c>
      <c r="V571" s="2" t="s">
        <v>39</v>
      </c>
      <c r="W571" s="2" t="s">
        <v>38</v>
      </c>
      <c r="X571" s="2" t="s">
        <v>39</v>
      </c>
      <c r="Y571" s="2" t="s">
        <v>38</v>
      </c>
      <c r="Z571" s="2" t="s">
        <v>39</v>
      </c>
      <c r="AA571" s="2" t="s">
        <v>38</v>
      </c>
      <c r="AB571" s="2" t="s">
        <v>39</v>
      </c>
      <c r="AC571" s="2" t="s">
        <v>39</v>
      </c>
      <c r="AD571" s="2" t="s">
        <v>38</v>
      </c>
      <c r="AE571" s="2" t="s">
        <v>38</v>
      </c>
    </row>
    <row r="572" spans="1:31" ht="409.5">
      <c r="A572" s="2">
        <v>2694807</v>
      </c>
      <c r="B572" s="2">
        <f>HYPERLINK("https://platform.v2.vetology.net/cases/2694807/screening-report/18?type=pdf&amp;v=v6&amp;scorecard=1&amp;secret_key=BX%25IJ%24%2F65ieZ%29f6", 2694807)</f>
        <v>2694807</v>
      </c>
      <c r="C572" s="2">
        <f>HYPERLINK("https://platform.v2.vetology.net/report/v/final/"&amp;2694807, 2694807)</f>
        <v>2694807</v>
      </c>
      <c r="D572" s="2" t="s">
        <v>1852</v>
      </c>
      <c r="E572" s="2" t="s">
        <v>1853</v>
      </c>
      <c r="F572" s="2" t="s">
        <v>1854</v>
      </c>
      <c r="G572" s="2" t="s">
        <v>63</v>
      </c>
      <c r="H572" s="2" t="s">
        <v>1855</v>
      </c>
      <c r="I572" s="2" t="s">
        <v>382</v>
      </c>
      <c r="J572" s="2" t="s">
        <v>710</v>
      </c>
      <c r="K572" s="2" t="s">
        <v>38</v>
      </c>
      <c r="L572" s="2" t="s">
        <v>38</v>
      </c>
      <c r="M572" s="2" t="s">
        <v>38</v>
      </c>
      <c r="N572" s="2" t="s">
        <v>39</v>
      </c>
      <c r="O572" s="2" t="s">
        <v>39</v>
      </c>
      <c r="P572" s="2" t="s">
        <v>38</v>
      </c>
      <c r="Q572" s="2" t="s">
        <v>38</v>
      </c>
      <c r="R572" s="2" t="s">
        <v>38</v>
      </c>
      <c r="S572" s="2" t="s">
        <v>38</v>
      </c>
      <c r="T572" s="2" t="s">
        <v>38</v>
      </c>
      <c r="U572" s="2" t="s">
        <v>38</v>
      </c>
      <c r="V572" s="2" t="s">
        <v>38</v>
      </c>
      <c r="W572" s="2" t="s">
        <v>38</v>
      </c>
      <c r="X572" s="2" t="s">
        <v>38</v>
      </c>
      <c r="Y572" s="2" t="s">
        <v>38</v>
      </c>
      <c r="Z572" s="2" t="s">
        <v>38</v>
      </c>
      <c r="AA572" s="2" t="s">
        <v>38</v>
      </c>
      <c r="AB572" s="2" t="s">
        <v>39</v>
      </c>
      <c r="AC572" s="2" t="s">
        <v>39</v>
      </c>
      <c r="AD572" s="2" t="s">
        <v>38</v>
      </c>
      <c r="AE572" s="2" t="s">
        <v>38</v>
      </c>
    </row>
    <row r="573" spans="1:31" ht="409.5">
      <c r="A573" s="2">
        <v>2694751</v>
      </c>
      <c r="B573" s="2">
        <f>HYPERLINK("https://platform.v2.vetology.net/cases/2694751/screening-report/18?type=pdf&amp;v=v6&amp;scorecard=1&amp;secret_key=BX%25IJ%24%2F65ieZ%29f6", 2694751)</f>
        <v>2694751</v>
      </c>
      <c r="C573" s="2">
        <f>HYPERLINK("https://platform.v2.vetology.net/report/v/final/"&amp;2694751, 2694751)</f>
        <v>2694751</v>
      </c>
      <c r="D573" s="2" t="s">
        <v>1856</v>
      </c>
      <c r="E573" s="2" t="s">
        <v>1857</v>
      </c>
      <c r="F573" s="2" t="s">
        <v>1858</v>
      </c>
      <c r="G573" s="2" t="s">
        <v>34</v>
      </c>
      <c r="H573" s="2" t="s">
        <v>78</v>
      </c>
      <c r="I573" s="2" t="s">
        <v>44</v>
      </c>
      <c r="J573" s="2"/>
      <c r="K573" s="2" t="s">
        <v>38</v>
      </c>
      <c r="L573" s="2" t="s">
        <v>38</v>
      </c>
      <c r="M573" s="2" t="s">
        <v>39</v>
      </c>
      <c r="N573" s="2" t="s">
        <v>38</v>
      </c>
      <c r="O573" s="2" t="s">
        <v>38</v>
      </c>
      <c r="P573" s="2" t="s">
        <v>38</v>
      </c>
      <c r="Q573" s="2" t="s">
        <v>38</v>
      </c>
      <c r="R573" s="2" t="s">
        <v>38</v>
      </c>
      <c r="S573" s="2" t="s">
        <v>39</v>
      </c>
      <c r="T573" s="2" t="s">
        <v>39</v>
      </c>
      <c r="U573" s="2" t="s">
        <v>38</v>
      </c>
      <c r="V573" s="2" t="s">
        <v>39</v>
      </c>
      <c r="W573" s="2" t="s">
        <v>38</v>
      </c>
      <c r="X573" s="2" t="s">
        <v>39</v>
      </c>
      <c r="Y573" s="2" t="s">
        <v>38</v>
      </c>
      <c r="Z573" s="2" t="s">
        <v>38</v>
      </c>
      <c r="AA573" s="2" t="s">
        <v>38</v>
      </c>
      <c r="AB573" s="2" t="s">
        <v>38</v>
      </c>
      <c r="AC573" s="2" t="s">
        <v>38</v>
      </c>
      <c r="AD573" s="2" t="s">
        <v>38</v>
      </c>
      <c r="AE573" s="2" t="s">
        <v>38</v>
      </c>
    </row>
    <row r="574" spans="1:31" ht="409.5">
      <c r="A574" s="2">
        <v>2694608</v>
      </c>
      <c r="B574" s="2">
        <f>HYPERLINK("https://platform.v2.vetology.net/cases/2694608/screening-report/18?type=pdf&amp;v=v6&amp;scorecard=1&amp;secret_key=BX%25IJ%24%2F65ieZ%29f6", 2694608)</f>
        <v>2694608</v>
      </c>
      <c r="C574" s="2">
        <f>HYPERLINK("https://platform.v2.vetology.net/report/v/final/"&amp;2694608, 2694608)</f>
        <v>2694608</v>
      </c>
      <c r="D574" s="2" t="s">
        <v>1859</v>
      </c>
      <c r="E574" s="2" t="s">
        <v>1860</v>
      </c>
      <c r="F574" s="2" t="s">
        <v>1861</v>
      </c>
      <c r="G574" s="2" t="s">
        <v>135</v>
      </c>
      <c r="H574" s="2" t="s">
        <v>1862</v>
      </c>
      <c r="I574" s="2" t="s">
        <v>312</v>
      </c>
      <c r="J574" s="2" t="s">
        <v>313</v>
      </c>
      <c r="K574" s="2" t="s">
        <v>39</v>
      </c>
      <c r="L574" s="2" t="s">
        <v>39</v>
      </c>
      <c r="M574" s="2" t="s">
        <v>39</v>
      </c>
      <c r="N574" s="2" t="s">
        <v>39</v>
      </c>
      <c r="O574" s="2" t="s">
        <v>39</v>
      </c>
      <c r="P574" s="2" t="s">
        <v>39</v>
      </c>
      <c r="Q574" s="2" t="s">
        <v>38</v>
      </c>
      <c r="R574" s="2" t="s">
        <v>38</v>
      </c>
      <c r="S574" s="2" t="s">
        <v>39</v>
      </c>
      <c r="T574" s="2" t="s">
        <v>39</v>
      </c>
      <c r="U574" s="2" t="s">
        <v>39</v>
      </c>
      <c r="V574" s="2" t="s">
        <v>38</v>
      </c>
      <c r="W574" s="2" t="s">
        <v>38</v>
      </c>
      <c r="X574" s="2" t="s">
        <v>39</v>
      </c>
      <c r="Y574" s="2" t="s">
        <v>38</v>
      </c>
      <c r="Z574" s="2" t="s">
        <v>39</v>
      </c>
      <c r="AA574" s="2" t="s">
        <v>38</v>
      </c>
      <c r="AB574" s="2" t="s">
        <v>39</v>
      </c>
      <c r="AC574" s="2" t="s">
        <v>39</v>
      </c>
      <c r="AD574" s="2" t="s">
        <v>38</v>
      </c>
      <c r="AE574" s="2" t="s">
        <v>39</v>
      </c>
    </row>
    <row r="575" spans="1:31" ht="409.5">
      <c r="A575" s="2">
        <v>2694455</v>
      </c>
      <c r="B575" s="2">
        <f>HYPERLINK("https://platform.v2.vetology.net/cases/2694455/screening-report/18?type=pdf&amp;v=v6&amp;scorecard=1&amp;secret_key=BX%25IJ%24%2F65ieZ%29f6", 2694455)</f>
        <v>2694455</v>
      </c>
      <c r="C575" s="2">
        <f>HYPERLINK("https://platform.v2.vetology.net/report/v/final/"&amp;2694455, 2694455)</f>
        <v>2694455</v>
      </c>
      <c r="D575" s="2" t="s">
        <v>1863</v>
      </c>
      <c r="E575" s="2" t="s">
        <v>1864</v>
      </c>
      <c r="F575" s="2" t="s">
        <v>1865</v>
      </c>
      <c r="G575" s="2" t="s">
        <v>58</v>
      </c>
      <c r="H575" s="2" t="s">
        <v>129</v>
      </c>
      <c r="I575" s="2" t="s">
        <v>44</v>
      </c>
      <c r="J575" s="2"/>
      <c r="K575" s="2" t="s">
        <v>38</v>
      </c>
      <c r="L575" s="2" t="s">
        <v>39</v>
      </c>
      <c r="M575" s="2" t="s">
        <v>38</v>
      </c>
      <c r="N575" s="2" t="s">
        <v>38</v>
      </c>
      <c r="O575" s="2" t="s">
        <v>38</v>
      </c>
      <c r="P575" s="2" t="s">
        <v>38</v>
      </c>
      <c r="Q575" s="2" t="s">
        <v>38</v>
      </c>
      <c r="R575" s="2" t="s">
        <v>38</v>
      </c>
      <c r="S575" s="2" t="s">
        <v>38</v>
      </c>
      <c r="T575" s="2" t="s">
        <v>38</v>
      </c>
      <c r="U575" s="2" t="s">
        <v>38</v>
      </c>
      <c r="V575" s="2" t="s">
        <v>38</v>
      </c>
      <c r="W575" s="2" t="s">
        <v>38</v>
      </c>
      <c r="X575" s="2" t="s">
        <v>38</v>
      </c>
      <c r="Y575" s="2" t="s">
        <v>38</v>
      </c>
      <c r="Z575" s="2" t="s">
        <v>38</v>
      </c>
      <c r="AA575" s="2" t="s">
        <v>38</v>
      </c>
      <c r="AB575" s="2" t="s">
        <v>38</v>
      </c>
      <c r="AC575" s="2" t="s">
        <v>38</v>
      </c>
      <c r="AD575" s="2" t="s">
        <v>38</v>
      </c>
      <c r="AE575" s="2" t="s">
        <v>38</v>
      </c>
    </row>
    <row r="576" spans="1:31" ht="409.5">
      <c r="A576" s="2">
        <v>2694373</v>
      </c>
      <c r="B576" s="2">
        <f>HYPERLINK("https://platform.v2.vetology.net/cases/2694373/screening-report/18?type=pdf&amp;v=v6&amp;scorecard=1&amp;secret_key=BX%25IJ%24%2F65ieZ%29f6", 2694373)</f>
        <v>2694373</v>
      </c>
      <c r="C576" s="2">
        <f>HYPERLINK("https://platform.v2.vetology.net/report/v/final/"&amp;2694373, 2694373)</f>
        <v>2694373</v>
      </c>
      <c r="D576" s="2" t="s">
        <v>1866</v>
      </c>
      <c r="E576" s="2" t="s">
        <v>1867</v>
      </c>
      <c r="F576" s="2" t="s">
        <v>1868</v>
      </c>
      <c r="G576" s="2" t="s">
        <v>58</v>
      </c>
      <c r="H576" s="2" t="s">
        <v>283</v>
      </c>
      <c r="I576" s="2" t="s">
        <v>284</v>
      </c>
      <c r="J576" s="2" t="s">
        <v>285</v>
      </c>
      <c r="K576" s="2" t="s">
        <v>38</v>
      </c>
      <c r="L576" s="2" t="s">
        <v>38</v>
      </c>
      <c r="M576" s="2" t="s">
        <v>38</v>
      </c>
      <c r="N576" s="2" t="s">
        <v>38</v>
      </c>
      <c r="O576" s="2" t="s">
        <v>38</v>
      </c>
      <c r="P576" s="2" t="s">
        <v>38</v>
      </c>
      <c r="Q576" s="2" t="s">
        <v>39</v>
      </c>
      <c r="R576" s="2" t="s">
        <v>38</v>
      </c>
      <c r="S576" s="2" t="s">
        <v>38</v>
      </c>
      <c r="T576" s="2" t="s">
        <v>38</v>
      </c>
      <c r="U576" s="2" t="s">
        <v>38</v>
      </c>
      <c r="V576" s="2" t="s">
        <v>38</v>
      </c>
      <c r="W576" s="2" t="s">
        <v>38</v>
      </c>
      <c r="X576" s="2" t="s">
        <v>38</v>
      </c>
      <c r="Y576" s="2" t="s">
        <v>38</v>
      </c>
      <c r="Z576" s="2" t="s">
        <v>38</v>
      </c>
      <c r="AA576" s="2" t="s">
        <v>38</v>
      </c>
      <c r="AB576" s="2" t="s">
        <v>38</v>
      </c>
      <c r="AC576" s="2" t="s">
        <v>38</v>
      </c>
      <c r="AD576" s="2" t="s">
        <v>38</v>
      </c>
      <c r="AE576" s="2" t="s">
        <v>38</v>
      </c>
    </row>
    <row r="577" spans="1:31" ht="409.5">
      <c r="A577" s="2">
        <v>2693672</v>
      </c>
      <c r="B577" s="2">
        <f>HYPERLINK("https://platform.v2.vetology.net/cases/2693672/screening-report/18?type=pdf&amp;v=v6&amp;scorecard=1&amp;secret_key=BX%25IJ%24%2F65ieZ%29f6", 2693672)</f>
        <v>2693672</v>
      </c>
      <c r="C577" s="2">
        <f>HYPERLINK("https://platform.v2.vetology.net/report/v/final/"&amp;2693672, 2693672)</f>
        <v>2693672</v>
      </c>
      <c r="D577" s="2" t="s">
        <v>1869</v>
      </c>
      <c r="E577" s="2" t="s">
        <v>1870</v>
      </c>
      <c r="F577" s="2" t="s">
        <v>1871</v>
      </c>
      <c r="G577" s="2" t="s">
        <v>34</v>
      </c>
      <c r="H577" s="2" t="s">
        <v>1872</v>
      </c>
      <c r="I577" s="2" t="s">
        <v>681</v>
      </c>
      <c r="J577" s="2" t="s">
        <v>50</v>
      </c>
      <c r="K577" s="2" t="s">
        <v>38</v>
      </c>
      <c r="L577" s="2" t="s">
        <v>39</v>
      </c>
      <c r="M577" s="2" t="s">
        <v>39</v>
      </c>
      <c r="N577" s="2" t="s">
        <v>38</v>
      </c>
      <c r="O577" s="2" t="s">
        <v>38</v>
      </c>
      <c r="P577" s="2" t="s">
        <v>38</v>
      </c>
      <c r="Q577" s="2" t="s">
        <v>39</v>
      </c>
      <c r="R577" s="2" t="s">
        <v>38</v>
      </c>
      <c r="S577" s="2" t="s">
        <v>38</v>
      </c>
      <c r="T577" s="2" t="s">
        <v>39</v>
      </c>
      <c r="U577" s="2" t="s">
        <v>39</v>
      </c>
      <c r="V577" s="2" t="s">
        <v>39</v>
      </c>
      <c r="W577" s="2" t="s">
        <v>38</v>
      </c>
      <c r="X577" s="2" t="s">
        <v>39</v>
      </c>
      <c r="Y577" s="2" t="s">
        <v>38</v>
      </c>
      <c r="Z577" s="2" t="s">
        <v>39</v>
      </c>
      <c r="AA577" s="2" t="s">
        <v>38</v>
      </c>
      <c r="AB577" s="2" t="s">
        <v>39</v>
      </c>
      <c r="AC577" s="2" t="s">
        <v>39</v>
      </c>
      <c r="AD577" s="2" t="s">
        <v>38</v>
      </c>
      <c r="AE577" s="2" t="s">
        <v>39</v>
      </c>
    </row>
    <row r="578" spans="1:31" ht="409.5">
      <c r="A578" s="2">
        <v>2693558</v>
      </c>
      <c r="B578" s="2">
        <f>HYPERLINK("https://platform.v2.vetology.net/cases/2693558/screening-report/18?type=pdf&amp;v=v6&amp;scorecard=1&amp;secret_key=BX%25IJ%24%2F65ieZ%29f6", 2693558)</f>
        <v>2693558</v>
      </c>
      <c r="C578" s="2">
        <f>HYPERLINK("https://platform.v2.vetology.net/report/v/final/"&amp;2693558, 2693558)</f>
        <v>2693558</v>
      </c>
      <c r="D578" s="2" t="s">
        <v>1873</v>
      </c>
      <c r="E578" s="2" t="s">
        <v>1874</v>
      </c>
      <c r="F578" s="2" t="s">
        <v>1875</v>
      </c>
      <c r="G578" s="2" t="s">
        <v>93</v>
      </c>
      <c r="H578" s="2" t="s">
        <v>54</v>
      </c>
      <c r="I578" s="2" t="s">
        <v>44</v>
      </c>
      <c r="J578" s="2"/>
      <c r="K578" s="2" t="s">
        <v>38</v>
      </c>
      <c r="L578" s="2" t="s">
        <v>39</v>
      </c>
      <c r="M578" s="2" t="s">
        <v>38</v>
      </c>
      <c r="N578" s="2" t="s">
        <v>38</v>
      </c>
      <c r="O578" s="2" t="s">
        <v>38</v>
      </c>
      <c r="P578" s="2" t="s">
        <v>38</v>
      </c>
      <c r="Q578" s="2" t="s">
        <v>38</v>
      </c>
      <c r="R578" s="2" t="s">
        <v>38</v>
      </c>
      <c r="S578" s="2" t="s">
        <v>38</v>
      </c>
      <c r="T578" s="2" t="s">
        <v>38</v>
      </c>
      <c r="U578" s="2" t="s">
        <v>38</v>
      </c>
      <c r="V578" s="2" t="s">
        <v>38</v>
      </c>
      <c r="W578" s="2" t="s">
        <v>38</v>
      </c>
      <c r="X578" s="2" t="s">
        <v>38</v>
      </c>
      <c r="Y578" s="2" t="s">
        <v>38</v>
      </c>
      <c r="Z578" s="2" t="s">
        <v>38</v>
      </c>
      <c r="AA578" s="2" t="s">
        <v>38</v>
      </c>
      <c r="AB578" s="2" t="s">
        <v>39</v>
      </c>
      <c r="AC578" s="2" t="s">
        <v>38</v>
      </c>
      <c r="AD578" s="2" t="s">
        <v>38</v>
      </c>
      <c r="AE578" s="2" t="s">
        <v>38</v>
      </c>
    </row>
    <row r="579" spans="1:31" ht="409.5">
      <c r="A579" s="2">
        <v>2693528</v>
      </c>
      <c r="B579" s="2">
        <f>HYPERLINK("https://platform.v2.vetology.net/cases/2693528/screening-report/18?type=pdf&amp;v=v6&amp;scorecard=1&amp;secret_key=BX%25IJ%24%2F65ieZ%29f6", 2693528)</f>
        <v>2693528</v>
      </c>
      <c r="C579" s="2">
        <f>HYPERLINK("https://platform.v2.vetology.net/report/v/final/"&amp;2693528, 2693528)</f>
        <v>2693528</v>
      </c>
      <c r="D579" s="2" t="s">
        <v>1876</v>
      </c>
      <c r="E579" s="2" t="s">
        <v>1877</v>
      </c>
      <c r="F579" s="2" t="s">
        <v>81</v>
      </c>
      <c r="G579" s="2" t="s">
        <v>268</v>
      </c>
      <c r="H579" s="2" t="s">
        <v>1205</v>
      </c>
      <c r="I579" s="2" t="s">
        <v>245</v>
      </c>
      <c r="J579" s="2" t="s">
        <v>246</v>
      </c>
      <c r="K579" s="2" t="s">
        <v>38</v>
      </c>
      <c r="L579" s="2" t="s">
        <v>39</v>
      </c>
      <c r="M579" s="2" t="s">
        <v>38</v>
      </c>
      <c r="N579" s="2" t="s">
        <v>39</v>
      </c>
      <c r="O579" s="2" t="s">
        <v>38</v>
      </c>
      <c r="P579" s="2" t="s">
        <v>39</v>
      </c>
      <c r="Q579" s="2" t="s">
        <v>38</v>
      </c>
      <c r="R579" s="2" t="s">
        <v>38</v>
      </c>
      <c r="S579" s="2" t="s">
        <v>38</v>
      </c>
      <c r="T579" s="2" t="s">
        <v>38</v>
      </c>
      <c r="U579" s="2" t="s">
        <v>38</v>
      </c>
      <c r="V579" s="2" t="s">
        <v>38</v>
      </c>
      <c r="W579" s="2" t="s">
        <v>38</v>
      </c>
      <c r="X579" s="2" t="s">
        <v>38</v>
      </c>
      <c r="Y579" s="2" t="s">
        <v>38</v>
      </c>
      <c r="Z579" s="2" t="s">
        <v>39</v>
      </c>
      <c r="AA579" s="2" t="s">
        <v>38</v>
      </c>
      <c r="AB579" s="2" t="s">
        <v>39</v>
      </c>
      <c r="AC579" s="2" t="s">
        <v>38</v>
      </c>
      <c r="AD579" s="2" t="s">
        <v>38</v>
      </c>
      <c r="AE579" s="2" t="s">
        <v>39</v>
      </c>
    </row>
    <row r="580" spans="1:31" ht="409.5">
      <c r="A580" s="2">
        <v>2693506</v>
      </c>
      <c r="B580" s="2">
        <f>HYPERLINK("https://platform.v2.vetology.net/cases/2693506/screening-report/18?type=pdf&amp;v=v6&amp;scorecard=1&amp;secret_key=BX%25IJ%24%2F65ieZ%29f6", 2693506)</f>
        <v>2693506</v>
      </c>
      <c r="C580" s="2">
        <f>HYPERLINK("https://platform.v2.vetology.net/report/v/final/"&amp;2693506, 2693506)</f>
        <v>2693506</v>
      </c>
      <c r="D580" s="2" t="s">
        <v>1878</v>
      </c>
      <c r="E580" s="2" t="s">
        <v>1879</v>
      </c>
      <c r="F580" s="2" t="s">
        <v>1880</v>
      </c>
      <c r="G580" s="2" t="s">
        <v>34</v>
      </c>
      <c r="H580" s="2" t="s">
        <v>71</v>
      </c>
      <c r="I580" s="2" t="s">
        <v>44</v>
      </c>
      <c r="J580" s="2" t="s">
        <v>106</v>
      </c>
      <c r="K580" s="2" t="s">
        <v>38</v>
      </c>
      <c r="L580" s="2" t="s">
        <v>38</v>
      </c>
      <c r="M580" s="2" t="s">
        <v>38</v>
      </c>
      <c r="N580" s="2" t="s">
        <v>38</v>
      </c>
      <c r="O580" s="2" t="s">
        <v>38</v>
      </c>
      <c r="P580" s="2" t="s">
        <v>38</v>
      </c>
      <c r="Q580" s="2" t="s">
        <v>38</v>
      </c>
      <c r="R580" s="2" t="s">
        <v>38</v>
      </c>
      <c r="S580" s="2" t="s">
        <v>38</v>
      </c>
      <c r="T580" s="2" t="s">
        <v>39</v>
      </c>
      <c r="U580" s="2" t="s">
        <v>38</v>
      </c>
      <c r="V580" s="2" t="s">
        <v>39</v>
      </c>
      <c r="W580" s="2" t="s">
        <v>38</v>
      </c>
      <c r="X580" s="2" t="s">
        <v>39</v>
      </c>
      <c r="Y580" s="2" t="s">
        <v>38</v>
      </c>
      <c r="Z580" s="2" t="s">
        <v>38</v>
      </c>
      <c r="AA580" s="2" t="s">
        <v>38</v>
      </c>
      <c r="AB580" s="2" t="s">
        <v>38</v>
      </c>
      <c r="AC580" s="2" t="s">
        <v>38</v>
      </c>
      <c r="AD580" s="2" t="s">
        <v>38</v>
      </c>
      <c r="AE580" s="2" t="s">
        <v>38</v>
      </c>
    </row>
    <row r="581" spans="1:31" ht="409.5">
      <c r="A581" s="2">
        <v>2693442</v>
      </c>
      <c r="B581" s="2">
        <f>HYPERLINK("https://platform.v2.vetology.net/cases/2693442/screening-report/18?type=pdf&amp;v=v6&amp;scorecard=1&amp;secret_key=BX%25IJ%24%2F65ieZ%29f6", 2693442)</f>
        <v>2693442</v>
      </c>
      <c r="C581" s="2">
        <f>HYPERLINK("https://platform.v2.vetology.net/report/v/final/"&amp;2693442, 2693442)</f>
        <v>2693442</v>
      </c>
      <c r="D581" s="2" t="s">
        <v>1881</v>
      </c>
      <c r="E581" s="2" t="s">
        <v>1882</v>
      </c>
      <c r="F581" s="2" t="s">
        <v>1883</v>
      </c>
      <c r="G581" s="2" t="s">
        <v>58</v>
      </c>
      <c r="H581" s="2" t="s">
        <v>607</v>
      </c>
      <c r="I581" s="2" t="s">
        <v>137</v>
      </c>
      <c r="J581" s="2" t="s">
        <v>66</v>
      </c>
      <c r="K581" s="2" t="s">
        <v>39</v>
      </c>
      <c r="L581" s="2" t="s">
        <v>39</v>
      </c>
      <c r="M581" s="2" t="s">
        <v>39</v>
      </c>
      <c r="N581" s="2" t="s">
        <v>38</v>
      </c>
      <c r="O581" s="2" t="s">
        <v>38</v>
      </c>
      <c r="P581" s="2" t="s">
        <v>39</v>
      </c>
      <c r="Q581" s="2" t="s">
        <v>38</v>
      </c>
      <c r="R581" s="2" t="s">
        <v>38</v>
      </c>
      <c r="S581" s="2" t="s">
        <v>38</v>
      </c>
      <c r="T581" s="2" t="s">
        <v>38</v>
      </c>
      <c r="U581" s="2" t="s">
        <v>39</v>
      </c>
      <c r="V581" s="2" t="s">
        <v>38</v>
      </c>
      <c r="W581" s="2" t="s">
        <v>38</v>
      </c>
      <c r="X581" s="2" t="s">
        <v>38</v>
      </c>
      <c r="Y581" s="2" t="s">
        <v>38</v>
      </c>
      <c r="Z581" s="2" t="s">
        <v>38</v>
      </c>
      <c r="AA581" s="2" t="s">
        <v>38</v>
      </c>
      <c r="AB581" s="2" t="s">
        <v>38</v>
      </c>
      <c r="AC581" s="2" t="s">
        <v>38</v>
      </c>
      <c r="AD581" s="2" t="s">
        <v>38</v>
      </c>
      <c r="AE581" s="2" t="s">
        <v>38</v>
      </c>
    </row>
    <row r="582" spans="1:31" ht="409.5">
      <c r="A582" s="2">
        <v>2693387</v>
      </c>
      <c r="B582" s="2">
        <f>HYPERLINK("https://platform.v2.vetology.net/cases/2693387/screening-report/18?type=pdf&amp;v=v6&amp;scorecard=1&amp;secret_key=BX%25IJ%24%2F65ieZ%29f6", 2693387)</f>
        <v>2693387</v>
      </c>
      <c r="C582" s="2">
        <f>HYPERLINK("https://platform.v2.vetology.net/report/v/final/"&amp;2693387, 2693387)</f>
        <v>2693387</v>
      </c>
      <c r="D582" s="2" t="s">
        <v>1884</v>
      </c>
      <c r="E582" s="2" t="s">
        <v>1885</v>
      </c>
      <c r="F582" s="2" t="s">
        <v>1886</v>
      </c>
      <c r="G582" s="2" t="s">
        <v>63</v>
      </c>
      <c r="H582" s="2" t="s">
        <v>48</v>
      </c>
      <c r="I582" s="2" t="s">
        <v>49</v>
      </c>
      <c r="J582" s="2" t="s">
        <v>50</v>
      </c>
      <c r="K582" s="2" t="s">
        <v>38</v>
      </c>
      <c r="L582" s="2" t="s">
        <v>38</v>
      </c>
      <c r="M582" s="2" t="s">
        <v>38</v>
      </c>
      <c r="N582" s="2" t="s">
        <v>38</v>
      </c>
      <c r="O582" s="2" t="s">
        <v>38</v>
      </c>
      <c r="P582" s="2" t="s">
        <v>38</v>
      </c>
      <c r="Q582" s="2" t="s">
        <v>38</v>
      </c>
      <c r="R582" s="2" t="s">
        <v>38</v>
      </c>
      <c r="S582" s="2" t="s">
        <v>38</v>
      </c>
      <c r="T582" s="2" t="s">
        <v>39</v>
      </c>
      <c r="U582" s="2" t="s">
        <v>38</v>
      </c>
      <c r="V582" s="2" t="s">
        <v>39</v>
      </c>
      <c r="W582" s="2" t="s">
        <v>38</v>
      </c>
      <c r="X582" s="2" t="s">
        <v>39</v>
      </c>
      <c r="Y582" s="2" t="s">
        <v>38</v>
      </c>
      <c r="Z582" s="2" t="s">
        <v>39</v>
      </c>
      <c r="AA582" s="2" t="s">
        <v>38</v>
      </c>
      <c r="AB582" s="2" t="s">
        <v>39</v>
      </c>
      <c r="AC582" s="2" t="s">
        <v>38</v>
      </c>
      <c r="AD582" s="2" t="s">
        <v>38</v>
      </c>
      <c r="AE582" s="2" t="s">
        <v>38</v>
      </c>
    </row>
    <row r="583" spans="1:31" ht="409.5">
      <c r="A583" s="2">
        <v>2693295</v>
      </c>
      <c r="B583" s="2">
        <f>HYPERLINK("https://platform.v2.vetology.net/cases/2693295/screening-report/18?type=pdf&amp;v=v6&amp;scorecard=1&amp;secret_key=BX%25IJ%24%2F65ieZ%29f6", 2693295)</f>
        <v>2693295</v>
      </c>
      <c r="C583" s="2">
        <f>HYPERLINK("https://platform.v2.vetology.net/report/v/final/"&amp;2693295, 2693295)</f>
        <v>2693295</v>
      </c>
      <c r="D583" s="2" t="s">
        <v>1887</v>
      </c>
      <c r="E583" s="2" t="s">
        <v>1888</v>
      </c>
      <c r="F583" s="2" t="s">
        <v>81</v>
      </c>
      <c r="G583" s="2" t="s">
        <v>268</v>
      </c>
      <c r="H583" s="2" t="s">
        <v>129</v>
      </c>
      <c r="I583" s="2" t="s">
        <v>44</v>
      </c>
      <c r="J583" s="2"/>
      <c r="K583" s="2" t="s">
        <v>38</v>
      </c>
      <c r="L583" s="2" t="s">
        <v>39</v>
      </c>
      <c r="M583" s="2" t="s">
        <v>38</v>
      </c>
      <c r="N583" s="2" t="s">
        <v>38</v>
      </c>
      <c r="O583" s="2" t="s">
        <v>38</v>
      </c>
      <c r="P583" s="2" t="s">
        <v>39</v>
      </c>
      <c r="Q583" s="2" t="s">
        <v>38</v>
      </c>
      <c r="R583" s="2" t="s">
        <v>38</v>
      </c>
      <c r="S583" s="2" t="s">
        <v>38</v>
      </c>
      <c r="T583" s="2" t="s">
        <v>38</v>
      </c>
      <c r="U583" s="2" t="s">
        <v>38</v>
      </c>
      <c r="V583" s="2" t="s">
        <v>38</v>
      </c>
      <c r="W583" s="2" t="s">
        <v>38</v>
      </c>
      <c r="X583" s="2" t="s">
        <v>38</v>
      </c>
      <c r="Y583" s="2" t="s">
        <v>38</v>
      </c>
      <c r="Z583" s="2" t="s">
        <v>38</v>
      </c>
      <c r="AA583" s="2" t="s">
        <v>38</v>
      </c>
      <c r="AB583" s="2" t="s">
        <v>38</v>
      </c>
      <c r="AC583" s="2" t="s">
        <v>38</v>
      </c>
      <c r="AD583" s="2" t="s">
        <v>38</v>
      </c>
      <c r="AE583" s="2" t="s">
        <v>38</v>
      </c>
    </row>
    <row r="584" spans="1:31" ht="409.5">
      <c r="A584" s="2">
        <v>2693160</v>
      </c>
      <c r="B584" s="2">
        <f>HYPERLINK("https://platform.v2.vetology.net/cases/2693160/screening-report/18?type=pdf&amp;v=v6&amp;scorecard=1&amp;secret_key=BX%25IJ%24%2F65ieZ%29f6", 2693160)</f>
        <v>2693160</v>
      </c>
      <c r="C584" s="2">
        <f>HYPERLINK("https://platform.v2.vetology.net/report/v/final/"&amp;2693160, 2693160)</f>
        <v>2693160</v>
      </c>
      <c r="D584" s="2" t="s">
        <v>1889</v>
      </c>
      <c r="E584" s="2" t="s">
        <v>1890</v>
      </c>
      <c r="F584" s="2" t="s">
        <v>1891</v>
      </c>
      <c r="G584" s="2" t="s">
        <v>70</v>
      </c>
      <c r="H584" s="2" t="s">
        <v>723</v>
      </c>
      <c r="I584" s="2" t="s">
        <v>44</v>
      </c>
      <c r="J584" s="2"/>
      <c r="K584" s="2" t="s">
        <v>38</v>
      </c>
      <c r="L584" s="2" t="s">
        <v>38</v>
      </c>
      <c r="M584" s="2" t="s">
        <v>38</v>
      </c>
      <c r="N584" s="2" t="s">
        <v>38</v>
      </c>
      <c r="O584" s="2" t="s">
        <v>38</v>
      </c>
      <c r="P584" s="2" t="s">
        <v>38</v>
      </c>
      <c r="Q584" s="2" t="s">
        <v>38</v>
      </c>
      <c r="R584" s="2" t="s">
        <v>38</v>
      </c>
      <c r="S584" s="2" t="s">
        <v>38</v>
      </c>
      <c r="T584" s="2" t="s">
        <v>39</v>
      </c>
      <c r="U584" s="2" t="s">
        <v>38</v>
      </c>
      <c r="V584" s="2" t="s">
        <v>39</v>
      </c>
      <c r="W584" s="2" t="s">
        <v>38</v>
      </c>
      <c r="X584" s="2" t="s">
        <v>39</v>
      </c>
      <c r="Y584" s="2" t="s">
        <v>38</v>
      </c>
      <c r="Z584" s="2" t="s">
        <v>38</v>
      </c>
      <c r="AA584" s="2" t="s">
        <v>38</v>
      </c>
      <c r="AB584" s="2" t="s">
        <v>38</v>
      </c>
      <c r="AC584" s="2" t="s">
        <v>38</v>
      </c>
      <c r="AD584" s="2" t="s">
        <v>38</v>
      </c>
      <c r="AE584" s="2" t="s">
        <v>38</v>
      </c>
    </row>
    <row r="585" spans="1:31" ht="409.5">
      <c r="A585" s="2">
        <v>2693092</v>
      </c>
      <c r="B585" s="2">
        <f>HYPERLINK("https://platform.v2.vetology.net/cases/2693092/screening-report/18?type=pdf&amp;v=v6&amp;scorecard=1&amp;secret_key=BX%25IJ%24%2F65ieZ%29f6", 2693092)</f>
        <v>2693092</v>
      </c>
      <c r="C585" s="2">
        <f>HYPERLINK("https://platform.v2.vetology.net/report/v/final/"&amp;2693092, 2693092)</f>
        <v>2693092</v>
      </c>
      <c r="D585" s="2" t="s">
        <v>1892</v>
      </c>
      <c r="E585" s="2" t="s">
        <v>1893</v>
      </c>
      <c r="F585" s="2" t="s">
        <v>1894</v>
      </c>
      <c r="G585" s="2" t="s">
        <v>34</v>
      </c>
      <c r="H585" s="2" t="s">
        <v>1895</v>
      </c>
      <c r="I585" s="2" t="s">
        <v>700</v>
      </c>
      <c r="J585" s="2" t="s">
        <v>701</v>
      </c>
      <c r="K585" s="2" t="s">
        <v>38</v>
      </c>
      <c r="L585" s="2" t="s">
        <v>38</v>
      </c>
      <c r="M585" s="2" t="s">
        <v>38</v>
      </c>
      <c r="N585" s="2" t="s">
        <v>38</v>
      </c>
      <c r="O585" s="2" t="s">
        <v>38</v>
      </c>
      <c r="P585" s="2" t="s">
        <v>38</v>
      </c>
      <c r="Q585" s="2" t="s">
        <v>38</v>
      </c>
      <c r="R585" s="2" t="s">
        <v>38</v>
      </c>
      <c r="S585" s="2" t="s">
        <v>38</v>
      </c>
      <c r="T585" s="2" t="s">
        <v>38</v>
      </c>
      <c r="U585" s="2" t="s">
        <v>38</v>
      </c>
      <c r="V585" s="2" t="s">
        <v>38</v>
      </c>
      <c r="W585" s="2" t="s">
        <v>38</v>
      </c>
      <c r="X585" s="2" t="s">
        <v>38</v>
      </c>
      <c r="Y585" s="2" t="s">
        <v>38</v>
      </c>
      <c r="Z585" s="2" t="s">
        <v>38</v>
      </c>
      <c r="AA585" s="2" t="s">
        <v>38</v>
      </c>
      <c r="AB585" s="2" t="s">
        <v>38</v>
      </c>
      <c r="AC585" s="2" t="s">
        <v>38</v>
      </c>
      <c r="AD585" s="2" t="s">
        <v>38</v>
      </c>
      <c r="AE585" s="2" t="s">
        <v>38</v>
      </c>
    </row>
    <row r="586" spans="1:31" ht="409.5">
      <c r="A586" s="2">
        <v>2693028</v>
      </c>
      <c r="B586" s="2">
        <f>HYPERLINK("https://platform.v2.vetology.net/cases/2693028/screening-report/18?type=pdf&amp;v=v6&amp;scorecard=1&amp;secret_key=BX%25IJ%24%2F65ieZ%29f6", 2693028)</f>
        <v>2693028</v>
      </c>
      <c r="C586" s="2">
        <f>HYPERLINK("https://platform.v2.vetology.net/report/v/final/"&amp;2693028, 2693028)</f>
        <v>2693028</v>
      </c>
      <c r="D586" s="2" t="s">
        <v>1896</v>
      </c>
      <c r="E586" s="2" t="s">
        <v>1897</v>
      </c>
      <c r="F586" s="2" t="s">
        <v>1898</v>
      </c>
      <c r="G586" s="2" t="s">
        <v>58</v>
      </c>
      <c r="H586" s="2" t="s">
        <v>804</v>
      </c>
      <c r="I586" s="2" t="s">
        <v>214</v>
      </c>
      <c r="J586" s="2" t="s">
        <v>50</v>
      </c>
      <c r="K586" s="2" t="s">
        <v>38</v>
      </c>
      <c r="L586" s="2" t="s">
        <v>38</v>
      </c>
      <c r="M586" s="2" t="s">
        <v>38</v>
      </c>
      <c r="N586" s="2" t="s">
        <v>38</v>
      </c>
      <c r="O586" s="2" t="s">
        <v>38</v>
      </c>
      <c r="P586" s="2" t="s">
        <v>38</v>
      </c>
      <c r="Q586" s="2" t="s">
        <v>38</v>
      </c>
      <c r="R586" s="2" t="s">
        <v>38</v>
      </c>
      <c r="S586" s="2" t="s">
        <v>38</v>
      </c>
      <c r="T586" s="2" t="s">
        <v>39</v>
      </c>
      <c r="U586" s="2" t="s">
        <v>38</v>
      </c>
      <c r="V586" s="2" t="s">
        <v>38</v>
      </c>
      <c r="W586" s="2" t="s">
        <v>38</v>
      </c>
      <c r="X586" s="2" t="s">
        <v>39</v>
      </c>
      <c r="Y586" s="2" t="s">
        <v>38</v>
      </c>
      <c r="Z586" s="2" t="s">
        <v>38</v>
      </c>
      <c r="AA586" s="2" t="s">
        <v>38</v>
      </c>
      <c r="AB586" s="2" t="s">
        <v>39</v>
      </c>
      <c r="AC586" s="2" t="s">
        <v>38</v>
      </c>
      <c r="AD586" s="2" t="s">
        <v>38</v>
      </c>
      <c r="AE586" s="2" t="s">
        <v>38</v>
      </c>
    </row>
    <row r="587" spans="1:31" ht="409.5">
      <c r="A587" s="2">
        <v>2693008</v>
      </c>
      <c r="B587" s="2">
        <f>HYPERLINK("https://platform.v2.vetology.net/cases/2693008/screening-report/18?type=pdf&amp;v=v6&amp;scorecard=1&amp;secret_key=BX%25IJ%24%2F65ieZ%29f6", 2693008)</f>
        <v>2693008</v>
      </c>
      <c r="C587" s="2">
        <f>HYPERLINK("https://platform.v2.vetology.net/report/v/final/"&amp;2693008, 2693008)</f>
        <v>2693008</v>
      </c>
      <c r="D587" s="2" t="s">
        <v>1899</v>
      </c>
      <c r="E587" s="2" t="s">
        <v>1900</v>
      </c>
      <c r="F587" s="2" t="s">
        <v>1901</v>
      </c>
      <c r="G587" s="2" t="s">
        <v>150</v>
      </c>
      <c r="H587" s="2" t="s">
        <v>1902</v>
      </c>
      <c r="I587" s="2" t="s">
        <v>1903</v>
      </c>
      <c r="J587" s="2" t="s">
        <v>690</v>
      </c>
      <c r="K587" s="2" t="s">
        <v>38</v>
      </c>
      <c r="L587" s="2" t="s">
        <v>39</v>
      </c>
      <c r="M587" s="2" t="s">
        <v>39</v>
      </c>
      <c r="N587" s="2" t="s">
        <v>38</v>
      </c>
      <c r="O587" s="2" t="s">
        <v>39</v>
      </c>
      <c r="P587" s="2" t="s">
        <v>39</v>
      </c>
      <c r="Q587" s="2" t="s">
        <v>39</v>
      </c>
      <c r="R587" s="2" t="s">
        <v>38</v>
      </c>
      <c r="S587" s="2" t="s">
        <v>39</v>
      </c>
      <c r="T587" s="2" t="s">
        <v>38</v>
      </c>
      <c r="U587" s="2" t="s">
        <v>39</v>
      </c>
      <c r="V587" s="2" t="s">
        <v>38</v>
      </c>
      <c r="W587" s="2" t="s">
        <v>38</v>
      </c>
      <c r="X587" s="2" t="s">
        <v>38</v>
      </c>
      <c r="Y587" s="2" t="s">
        <v>38</v>
      </c>
      <c r="Z587" s="2" t="s">
        <v>39</v>
      </c>
      <c r="AA587" s="2" t="s">
        <v>38</v>
      </c>
      <c r="AB587" s="2" t="s">
        <v>39</v>
      </c>
      <c r="AC587" s="2" t="s">
        <v>39</v>
      </c>
      <c r="AD587" s="2" t="s">
        <v>38</v>
      </c>
      <c r="AE587" s="2" t="s">
        <v>39</v>
      </c>
    </row>
    <row r="588" spans="1:31" ht="409.5">
      <c r="A588" s="2">
        <v>2692808</v>
      </c>
      <c r="B588" s="2">
        <f>HYPERLINK("https://platform.v2.vetology.net/cases/2692808/screening-report/18?type=pdf&amp;v=v6&amp;scorecard=1&amp;secret_key=BX%25IJ%24%2F65ieZ%29f6", 2692808)</f>
        <v>2692808</v>
      </c>
      <c r="C588" s="2">
        <f>HYPERLINK("https://platform.v2.vetology.net/report/v/final/"&amp;2692808, 2692808)</f>
        <v>2692808</v>
      </c>
      <c r="D588" s="2" t="s">
        <v>1904</v>
      </c>
      <c r="E588" s="2" t="s">
        <v>1905</v>
      </c>
      <c r="F588" s="2" t="s">
        <v>1906</v>
      </c>
      <c r="G588" s="2" t="s">
        <v>58</v>
      </c>
      <c r="H588" s="2" t="s">
        <v>1907</v>
      </c>
      <c r="I588" s="2" t="s">
        <v>841</v>
      </c>
      <c r="J588" s="2" t="s">
        <v>518</v>
      </c>
      <c r="K588" s="2" t="s">
        <v>38</v>
      </c>
      <c r="L588" s="2" t="s">
        <v>39</v>
      </c>
      <c r="M588" s="2" t="s">
        <v>39</v>
      </c>
      <c r="N588" s="2" t="s">
        <v>38</v>
      </c>
      <c r="O588" s="2" t="s">
        <v>38</v>
      </c>
      <c r="P588" s="2" t="s">
        <v>38</v>
      </c>
      <c r="Q588" s="2" t="s">
        <v>38</v>
      </c>
      <c r="R588" s="2" t="s">
        <v>38</v>
      </c>
      <c r="S588" s="2" t="s">
        <v>38</v>
      </c>
      <c r="T588" s="2" t="s">
        <v>38</v>
      </c>
      <c r="U588" s="2" t="s">
        <v>38</v>
      </c>
      <c r="V588" s="2" t="s">
        <v>38</v>
      </c>
      <c r="W588" s="2" t="s">
        <v>38</v>
      </c>
      <c r="X588" s="2" t="s">
        <v>38</v>
      </c>
      <c r="Y588" s="2" t="s">
        <v>38</v>
      </c>
      <c r="Z588" s="2" t="s">
        <v>38</v>
      </c>
      <c r="AA588" s="2" t="s">
        <v>38</v>
      </c>
      <c r="AB588" s="2" t="s">
        <v>39</v>
      </c>
      <c r="AC588" s="2" t="s">
        <v>38</v>
      </c>
      <c r="AD588" s="2" t="s">
        <v>38</v>
      </c>
      <c r="AE588" s="2" t="s">
        <v>38</v>
      </c>
    </row>
    <row r="589" spans="1:31" ht="409.5">
      <c r="A589" s="2">
        <v>2692770</v>
      </c>
      <c r="B589" s="2">
        <f>HYPERLINK("https://platform.v2.vetology.net/cases/2692770/screening-report/18?type=pdf&amp;v=v6&amp;scorecard=1&amp;secret_key=BX%25IJ%24%2F65ieZ%29f6", 2692770)</f>
        <v>2692770</v>
      </c>
      <c r="C589" s="2">
        <f>HYPERLINK("https://platform.v2.vetology.net/report/v/final/"&amp;2692770, 2692770)</f>
        <v>2692770</v>
      </c>
      <c r="D589" s="2" t="s">
        <v>1908</v>
      </c>
      <c r="E589" s="2" t="s">
        <v>1909</v>
      </c>
      <c r="F589" s="2" t="s">
        <v>81</v>
      </c>
      <c r="G589" s="2" t="s">
        <v>150</v>
      </c>
      <c r="H589" s="2" t="s">
        <v>1910</v>
      </c>
      <c r="I589" s="2" t="s">
        <v>152</v>
      </c>
      <c r="J589" s="2" t="s">
        <v>153</v>
      </c>
      <c r="K589" s="2" t="s">
        <v>38</v>
      </c>
      <c r="L589" s="2" t="s">
        <v>38</v>
      </c>
      <c r="M589" s="2" t="s">
        <v>38</v>
      </c>
      <c r="N589" s="2" t="s">
        <v>38</v>
      </c>
      <c r="O589" s="2" t="s">
        <v>38</v>
      </c>
      <c r="P589" s="2" t="s">
        <v>38</v>
      </c>
      <c r="Q589" s="2" t="s">
        <v>38</v>
      </c>
      <c r="R589" s="2" t="s">
        <v>38</v>
      </c>
      <c r="S589" s="2" t="s">
        <v>38</v>
      </c>
      <c r="T589" s="2" t="s">
        <v>38</v>
      </c>
      <c r="U589" s="2" t="s">
        <v>38</v>
      </c>
      <c r="V589" s="2" t="s">
        <v>38</v>
      </c>
      <c r="W589" s="2" t="s">
        <v>38</v>
      </c>
      <c r="X589" s="2" t="s">
        <v>38</v>
      </c>
      <c r="Y589" s="2" t="s">
        <v>38</v>
      </c>
      <c r="Z589" s="2" t="s">
        <v>38</v>
      </c>
      <c r="AA589" s="2" t="s">
        <v>38</v>
      </c>
      <c r="AB589" s="2" t="s">
        <v>39</v>
      </c>
      <c r="AC589" s="2" t="s">
        <v>38</v>
      </c>
      <c r="AD589" s="2" t="s">
        <v>38</v>
      </c>
      <c r="AE589" s="2" t="s">
        <v>38</v>
      </c>
    </row>
    <row r="590" spans="1:31" ht="409.5">
      <c r="A590" s="2">
        <v>2692683</v>
      </c>
      <c r="B590" s="2">
        <f>HYPERLINK("https://platform.v2.vetology.net/cases/2692683/screening-report/18?type=pdf&amp;v=v6&amp;scorecard=1&amp;secret_key=BX%25IJ%24%2F65ieZ%29f6", 2692683)</f>
        <v>2692683</v>
      </c>
      <c r="C590" s="2">
        <f>HYPERLINK("https://platform.v2.vetology.net/report/v/final/"&amp;2692683, 2692683)</f>
        <v>2692683</v>
      </c>
      <c r="D590" s="2" t="s">
        <v>1911</v>
      </c>
      <c r="E590" s="2" t="s">
        <v>1912</v>
      </c>
      <c r="F590" s="2" t="s">
        <v>1913</v>
      </c>
      <c r="G590" s="2" t="s">
        <v>34</v>
      </c>
      <c r="H590" s="2" t="s">
        <v>78</v>
      </c>
      <c r="I590" s="2" t="s">
        <v>44</v>
      </c>
      <c r="J590" s="2"/>
      <c r="K590" s="2" t="s">
        <v>38</v>
      </c>
      <c r="L590" s="2" t="s">
        <v>39</v>
      </c>
      <c r="M590" s="2" t="s">
        <v>39</v>
      </c>
      <c r="N590" s="2" t="s">
        <v>38</v>
      </c>
      <c r="O590" s="2" t="s">
        <v>38</v>
      </c>
      <c r="P590" s="2" t="s">
        <v>39</v>
      </c>
      <c r="Q590" s="2" t="s">
        <v>38</v>
      </c>
      <c r="R590" s="2" t="s">
        <v>38</v>
      </c>
      <c r="S590" s="2" t="s">
        <v>38</v>
      </c>
      <c r="T590" s="2" t="s">
        <v>38</v>
      </c>
      <c r="U590" s="2" t="s">
        <v>38</v>
      </c>
      <c r="V590" s="2" t="s">
        <v>38</v>
      </c>
      <c r="W590" s="2" t="s">
        <v>38</v>
      </c>
      <c r="X590" s="2" t="s">
        <v>38</v>
      </c>
      <c r="Y590" s="2" t="s">
        <v>38</v>
      </c>
      <c r="Z590" s="2" t="s">
        <v>38</v>
      </c>
      <c r="AA590" s="2" t="s">
        <v>38</v>
      </c>
      <c r="AB590" s="2" t="s">
        <v>39</v>
      </c>
      <c r="AC590" s="2" t="s">
        <v>38</v>
      </c>
      <c r="AD590" s="2" t="s">
        <v>38</v>
      </c>
      <c r="AE590" s="2" t="s">
        <v>38</v>
      </c>
    </row>
    <row r="591" spans="1:31" ht="409.5">
      <c r="A591" s="2">
        <v>2692670</v>
      </c>
      <c r="B591" s="2">
        <f>HYPERLINK("https://platform.v2.vetology.net/cases/2692670/screening-report/18?type=pdf&amp;v=v6&amp;scorecard=1&amp;secret_key=BX%25IJ%24%2F65ieZ%29f6", 2692670)</f>
        <v>2692670</v>
      </c>
      <c r="C591" s="2">
        <f>HYPERLINK("https://platform.v2.vetology.net/report/v/final/"&amp;2692670, 2692670)</f>
        <v>2692670</v>
      </c>
      <c r="D591" s="2" t="s">
        <v>1914</v>
      </c>
      <c r="E591" s="2" t="s">
        <v>1915</v>
      </c>
      <c r="F591" s="2" t="s">
        <v>1916</v>
      </c>
      <c r="G591" s="2" t="s">
        <v>58</v>
      </c>
      <c r="H591" s="2" t="s">
        <v>54</v>
      </c>
      <c r="I591" s="2" t="s">
        <v>44</v>
      </c>
      <c r="J591" s="2" t="s">
        <v>106</v>
      </c>
      <c r="K591" s="2" t="s">
        <v>38</v>
      </c>
      <c r="L591" s="2" t="s">
        <v>39</v>
      </c>
      <c r="M591" s="2" t="s">
        <v>39</v>
      </c>
      <c r="N591" s="2" t="s">
        <v>38</v>
      </c>
      <c r="O591" s="2" t="s">
        <v>38</v>
      </c>
      <c r="P591" s="2" t="s">
        <v>38</v>
      </c>
      <c r="Q591" s="2" t="s">
        <v>38</v>
      </c>
      <c r="R591" s="2" t="s">
        <v>38</v>
      </c>
      <c r="S591" s="2" t="s">
        <v>38</v>
      </c>
      <c r="T591" s="2" t="s">
        <v>39</v>
      </c>
      <c r="U591" s="2" t="s">
        <v>38</v>
      </c>
      <c r="V591" s="2" t="s">
        <v>38</v>
      </c>
      <c r="W591" s="2" t="s">
        <v>38</v>
      </c>
      <c r="X591" s="2" t="s">
        <v>39</v>
      </c>
      <c r="Y591" s="2" t="s">
        <v>38</v>
      </c>
      <c r="Z591" s="2" t="s">
        <v>38</v>
      </c>
      <c r="AA591" s="2" t="s">
        <v>38</v>
      </c>
      <c r="AB591" s="2" t="s">
        <v>39</v>
      </c>
      <c r="AC591" s="2" t="s">
        <v>38</v>
      </c>
      <c r="AD591" s="2" t="s">
        <v>38</v>
      </c>
      <c r="AE591" s="2" t="s">
        <v>38</v>
      </c>
    </row>
    <row r="592" spans="1:31" ht="409.5">
      <c r="A592" s="2">
        <v>2692241</v>
      </c>
      <c r="B592" s="2">
        <f>HYPERLINK("https://platform.v2.vetology.net/cases/2692241/screening-report/18?type=pdf&amp;v=v6&amp;scorecard=1&amp;secret_key=BX%25IJ%24%2F65ieZ%29f6", 2692241)</f>
        <v>2692241</v>
      </c>
      <c r="C592" s="2">
        <f>HYPERLINK("https://platform.v2.vetology.net/report/v/final/"&amp;2692241, 2692241)</f>
        <v>2692241</v>
      </c>
      <c r="D592" s="2" t="s">
        <v>1917</v>
      </c>
      <c r="E592" s="2" t="s">
        <v>1918</v>
      </c>
      <c r="F592" s="2" t="s">
        <v>1919</v>
      </c>
      <c r="G592" s="2" t="s">
        <v>93</v>
      </c>
      <c r="H592" s="2" t="s">
        <v>43</v>
      </c>
      <c r="I592" s="2" t="s">
        <v>44</v>
      </c>
      <c r="J592" s="2" t="s">
        <v>106</v>
      </c>
      <c r="K592" s="2" t="s">
        <v>38</v>
      </c>
      <c r="L592" s="2" t="s">
        <v>39</v>
      </c>
      <c r="M592" s="2" t="s">
        <v>38</v>
      </c>
      <c r="N592" s="2" t="s">
        <v>38</v>
      </c>
      <c r="O592" s="2" t="s">
        <v>38</v>
      </c>
      <c r="P592" s="2" t="s">
        <v>38</v>
      </c>
      <c r="Q592" s="2" t="s">
        <v>38</v>
      </c>
      <c r="R592" s="2" t="s">
        <v>38</v>
      </c>
      <c r="S592" s="2" t="s">
        <v>38</v>
      </c>
      <c r="T592" s="2" t="s">
        <v>38</v>
      </c>
      <c r="U592" s="2" t="s">
        <v>38</v>
      </c>
      <c r="V592" s="2" t="s">
        <v>38</v>
      </c>
      <c r="W592" s="2" t="s">
        <v>38</v>
      </c>
      <c r="X592" s="2" t="s">
        <v>38</v>
      </c>
      <c r="Y592" s="2" t="s">
        <v>38</v>
      </c>
      <c r="Z592" s="2" t="s">
        <v>38</v>
      </c>
      <c r="AA592" s="2" t="s">
        <v>38</v>
      </c>
      <c r="AB592" s="2" t="s">
        <v>38</v>
      </c>
      <c r="AC592" s="2" t="s">
        <v>38</v>
      </c>
      <c r="AD592" s="2" t="s">
        <v>38</v>
      </c>
      <c r="AE592" s="2" t="s">
        <v>38</v>
      </c>
    </row>
    <row r="593" spans="1:31" ht="409.5">
      <c r="A593" s="2">
        <v>2692076</v>
      </c>
      <c r="B593" s="2">
        <f>HYPERLINK("https://platform.v2.vetology.net/cases/2692076/screening-report/18?type=pdf&amp;v=v6&amp;scorecard=1&amp;secret_key=BX%25IJ%24%2F65ieZ%29f6", 2692076)</f>
        <v>2692076</v>
      </c>
      <c r="C593" s="2">
        <f>HYPERLINK("https://platform.v2.vetology.net/report/v/final/"&amp;2692076, 2692076)</f>
        <v>2692076</v>
      </c>
      <c r="D593" s="2" t="s">
        <v>1920</v>
      </c>
      <c r="E593" s="2" t="s">
        <v>238</v>
      </c>
      <c r="F593" s="2" t="s">
        <v>687</v>
      </c>
      <c r="G593" s="2" t="s">
        <v>150</v>
      </c>
      <c r="H593" s="2" t="s">
        <v>779</v>
      </c>
      <c r="I593" s="2" t="s">
        <v>89</v>
      </c>
      <c r="J593" s="2" t="s">
        <v>66</v>
      </c>
      <c r="K593" s="2" t="s">
        <v>38</v>
      </c>
      <c r="L593" s="2" t="s">
        <v>38</v>
      </c>
      <c r="M593" s="2" t="s">
        <v>38</v>
      </c>
      <c r="N593" s="2" t="s">
        <v>38</v>
      </c>
      <c r="O593" s="2" t="s">
        <v>38</v>
      </c>
      <c r="P593" s="2" t="s">
        <v>38</v>
      </c>
      <c r="Q593" s="2" t="s">
        <v>38</v>
      </c>
      <c r="R593" s="2" t="s">
        <v>38</v>
      </c>
      <c r="S593" s="2" t="s">
        <v>38</v>
      </c>
      <c r="T593" s="2" t="s">
        <v>39</v>
      </c>
      <c r="U593" s="2" t="s">
        <v>38</v>
      </c>
      <c r="V593" s="2" t="s">
        <v>38</v>
      </c>
      <c r="W593" s="2" t="s">
        <v>38</v>
      </c>
      <c r="X593" s="2" t="s">
        <v>39</v>
      </c>
      <c r="Y593" s="2" t="s">
        <v>38</v>
      </c>
      <c r="Z593" s="2" t="s">
        <v>38</v>
      </c>
      <c r="AA593" s="2" t="s">
        <v>38</v>
      </c>
      <c r="AB593" s="2" t="s">
        <v>38</v>
      </c>
      <c r="AC593" s="2" t="s">
        <v>38</v>
      </c>
      <c r="AD593" s="2" t="s">
        <v>38</v>
      </c>
      <c r="AE593" s="2" t="s">
        <v>39</v>
      </c>
    </row>
    <row r="594" spans="1:31" ht="409.5">
      <c r="A594" s="2">
        <v>2691776</v>
      </c>
      <c r="B594" s="2">
        <f>HYPERLINK("https://platform.v2.vetology.net/cases/2691776/screening-report/18?type=pdf&amp;v=v6&amp;scorecard=1&amp;secret_key=BX%25IJ%24%2F65ieZ%29f6", 2691776)</f>
        <v>2691776</v>
      </c>
      <c r="C594" s="2">
        <f>HYPERLINK("https://platform.v2.vetology.net/report/v/final/"&amp;2691776, 2691776)</f>
        <v>2691776</v>
      </c>
      <c r="D594" s="2" t="s">
        <v>1921</v>
      </c>
      <c r="E594" s="2" t="s">
        <v>1922</v>
      </c>
      <c r="F594" s="2" t="s">
        <v>455</v>
      </c>
      <c r="G594" s="2" t="s">
        <v>58</v>
      </c>
      <c r="H594" s="2" t="s">
        <v>1449</v>
      </c>
      <c r="I594" s="2" t="s">
        <v>284</v>
      </c>
      <c r="J594" s="2" t="s">
        <v>285</v>
      </c>
      <c r="K594" s="2" t="s">
        <v>38</v>
      </c>
      <c r="L594" s="2" t="s">
        <v>38</v>
      </c>
      <c r="M594" s="2" t="s">
        <v>38</v>
      </c>
      <c r="N594" s="2" t="s">
        <v>38</v>
      </c>
      <c r="O594" s="2" t="s">
        <v>38</v>
      </c>
      <c r="P594" s="2" t="s">
        <v>38</v>
      </c>
      <c r="Q594" s="2" t="s">
        <v>38</v>
      </c>
      <c r="R594" s="2" t="s">
        <v>38</v>
      </c>
      <c r="S594" s="2" t="s">
        <v>38</v>
      </c>
      <c r="T594" s="2" t="s">
        <v>39</v>
      </c>
      <c r="U594" s="2" t="s">
        <v>38</v>
      </c>
      <c r="V594" s="2" t="s">
        <v>38</v>
      </c>
      <c r="W594" s="2" t="s">
        <v>38</v>
      </c>
      <c r="X594" s="2" t="s">
        <v>39</v>
      </c>
      <c r="Y594" s="2" t="s">
        <v>38</v>
      </c>
      <c r="Z594" s="2" t="s">
        <v>38</v>
      </c>
      <c r="AA594" s="2" t="s">
        <v>38</v>
      </c>
      <c r="AB594" s="2" t="s">
        <v>39</v>
      </c>
      <c r="AC594" s="2" t="s">
        <v>38</v>
      </c>
      <c r="AD594" s="2" t="s">
        <v>38</v>
      </c>
      <c r="AE594" s="2" t="s">
        <v>38</v>
      </c>
    </row>
    <row r="595" spans="1:31" ht="409.5">
      <c r="A595" s="2">
        <v>2691756</v>
      </c>
      <c r="B595" s="2">
        <f>HYPERLINK("https://platform.v2.vetology.net/cases/2691756/screening-report/18?type=pdf&amp;v=v6&amp;scorecard=1&amp;secret_key=BX%25IJ%24%2F65ieZ%29f6", 2691756)</f>
        <v>2691756</v>
      </c>
      <c r="C595" s="2">
        <f>HYPERLINK("https://platform.v2.vetology.net/report/v/final/"&amp;2691756, 2691756)</f>
        <v>2691756</v>
      </c>
      <c r="D595" s="2" t="s">
        <v>1923</v>
      </c>
      <c r="E595" s="2" t="s">
        <v>617</v>
      </c>
      <c r="F595" s="2" t="s">
        <v>1924</v>
      </c>
      <c r="G595" s="2" t="s">
        <v>135</v>
      </c>
      <c r="H595" s="2" t="s">
        <v>1925</v>
      </c>
      <c r="I595" s="2" t="s">
        <v>1926</v>
      </c>
      <c r="J595" s="2" t="s">
        <v>185</v>
      </c>
      <c r="K595" s="2" t="s">
        <v>38</v>
      </c>
      <c r="L595" s="2" t="s">
        <v>39</v>
      </c>
      <c r="M595" s="2" t="s">
        <v>39</v>
      </c>
      <c r="N595" s="2" t="s">
        <v>39</v>
      </c>
      <c r="O595" s="2" t="s">
        <v>39</v>
      </c>
      <c r="P595" s="2" t="s">
        <v>39</v>
      </c>
      <c r="Q595" s="2" t="s">
        <v>39</v>
      </c>
      <c r="R595" s="2" t="s">
        <v>39</v>
      </c>
      <c r="S595" s="2" t="s">
        <v>38</v>
      </c>
      <c r="T595" s="2" t="s">
        <v>39</v>
      </c>
      <c r="U595" s="2" t="s">
        <v>39</v>
      </c>
      <c r="V595" s="2" t="s">
        <v>39</v>
      </c>
      <c r="W595" s="2" t="s">
        <v>39</v>
      </c>
      <c r="X595" s="2" t="s">
        <v>39</v>
      </c>
      <c r="Y595" s="2" t="s">
        <v>38</v>
      </c>
      <c r="Z595" s="2" t="s">
        <v>38</v>
      </c>
      <c r="AA595" s="2" t="s">
        <v>38</v>
      </c>
      <c r="AB595" s="2" t="s">
        <v>39</v>
      </c>
      <c r="AC595" s="2" t="s">
        <v>39</v>
      </c>
      <c r="AD595" s="2" t="s">
        <v>38</v>
      </c>
      <c r="AE595" s="2" t="s">
        <v>39</v>
      </c>
    </row>
    <row r="596" spans="1:31" ht="409.5">
      <c r="A596" s="2">
        <v>2691506</v>
      </c>
      <c r="B596" s="2">
        <f>HYPERLINK("https://platform.v2.vetology.net/cases/2691506/screening-report/18?type=pdf&amp;v=v6&amp;scorecard=1&amp;secret_key=BX%25IJ%24%2F65ieZ%29f6", 2691506)</f>
        <v>2691506</v>
      </c>
      <c r="C596" s="2">
        <f>HYPERLINK("https://platform.v2.vetology.net/report/v/final/"&amp;2691506, 2691506)</f>
        <v>2691506</v>
      </c>
      <c r="D596" s="2" t="s">
        <v>1927</v>
      </c>
      <c r="E596" s="2" t="s">
        <v>1928</v>
      </c>
      <c r="F596" s="2" t="s">
        <v>149</v>
      </c>
      <c r="G596" s="2" t="s">
        <v>150</v>
      </c>
      <c r="H596" s="2" t="s">
        <v>1929</v>
      </c>
      <c r="I596" s="2" t="s">
        <v>245</v>
      </c>
      <c r="J596" s="2" t="s">
        <v>246</v>
      </c>
      <c r="K596" s="2" t="s">
        <v>38</v>
      </c>
      <c r="L596" s="2" t="s">
        <v>39</v>
      </c>
      <c r="M596" s="2" t="s">
        <v>39</v>
      </c>
      <c r="N596" s="2" t="s">
        <v>39</v>
      </c>
      <c r="O596" s="2" t="s">
        <v>39</v>
      </c>
      <c r="P596" s="2" t="s">
        <v>39</v>
      </c>
      <c r="Q596" s="2" t="s">
        <v>38</v>
      </c>
      <c r="R596" s="2" t="s">
        <v>38</v>
      </c>
      <c r="S596" s="2" t="s">
        <v>38</v>
      </c>
      <c r="T596" s="2" t="s">
        <v>39</v>
      </c>
      <c r="U596" s="2" t="s">
        <v>38</v>
      </c>
      <c r="V596" s="2" t="s">
        <v>39</v>
      </c>
      <c r="W596" s="2" t="s">
        <v>38</v>
      </c>
      <c r="X596" s="2" t="s">
        <v>39</v>
      </c>
      <c r="Y596" s="2" t="s">
        <v>38</v>
      </c>
      <c r="Z596" s="2" t="s">
        <v>39</v>
      </c>
      <c r="AA596" s="2" t="s">
        <v>38</v>
      </c>
      <c r="AB596" s="2" t="s">
        <v>39</v>
      </c>
      <c r="AC596" s="2" t="s">
        <v>39</v>
      </c>
      <c r="AD596" s="2" t="s">
        <v>38</v>
      </c>
      <c r="AE596" s="2" t="s">
        <v>38</v>
      </c>
    </row>
    <row r="597" spans="1:31" ht="409.5">
      <c r="A597" s="2">
        <v>2691376</v>
      </c>
      <c r="B597" s="2">
        <f>HYPERLINK("https://platform.v2.vetology.net/cases/2691376/screening-report/18?type=pdf&amp;v=v6&amp;scorecard=1&amp;secret_key=BX%25IJ%24%2F65ieZ%29f6", 2691376)</f>
        <v>2691376</v>
      </c>
      <c r="C597" s="2">
        <f>HYPERLINK("https://platform.v2.vetology.net/report/v/final/"&amp;2691376, 2691376)</f>
        <v>2691376</v>
      </c>
      <c r="D597" s="2" t="s">
        <v>1930</v>
      </c>
      <c r="E597" s="2" t="s">
        <v>1931</v>
      </c>
      <c r="F597" s="2" t="s">
        <v>1932</v>
      </c>
      <c r="G597" s="2" t="s">
        <v>82</v>
      </c>
      <c r="H597" s="2" t="s">
        <v>1505</v>
      </c>
      <c r="I597" s="2" t="s">
        <v>214</v>
      </c>
      <c r="J597" s="2" t="s">
        <v>50</v>
      </c>
      <c r="K597" s="2" t="s">
        <v>38</v>
      </c>
      <c r="L597" s="2" t="s">
        <v>39</v>
      </c>
      <c r="M597" s="2" t="s">
        <v>39</v>
      </c>
      <c r="N597" s="2" t="s">
        <v>38</v>
      </c>
      <c r="O597" s="2" t="s">
        <v>38</v>
      </c>
      <c r="P597" s="2" t="s">
        <v>39</v>
      </c>
      <c r="Q597" s="2" t="s">
        <v>39</v>
      </c>
      <c r="R597" s="2" t="s">
        <v>38</v>
      </c>
      <c r="S597" s="2" t="s">
        <v>38</v>
      </c>
      <c r="T597" s="2" t="s">
        <v>38</v>
      </c>
      <c r="U597" s="2" t="s">
        <v>38</v>
      </c>
      <c r="V597" s="2" t="s">
        <v>38</v>
      </c>
      <c r="W597" s="2" t="s">
        <v>38</v>
      </c>
      <c r="X597" s="2" t="s">
        <v>39</v>
      </c>
      <c r="Y597" s="2" t="s">
        <v>38</v>
      </c>
      <c r="Z597" s="2" t="s">
        <v>39</v>
      </c>
      <c r="AA597" s="2" t="s">
        <v>38</v>
      </c>
      <c r="AB597" s="2" t="s">
        <v>39</v>
      </c>
      <c r="AC597" s="2" t="s">
        <v>38</v>
      </c>
      <c r="AD597" s="2" t="s">
        <v>38</v>
      </c>
      <c r="AE597" s="2" t="s">
        <v>39</v>
      </c>
    </row>
    <row r="598" spans="1:31" ht="409.5">
      <c r="A598" s="2">
        <v>2691330</v>
      </c>
      <c r="B598" s="2">
        <f>HYPERLINK("https://platform.v2.vetology.net/cases/2691330/screening-report/18?type=pdf&amp;v=v6&amp;scorecard=1&amp;secret_key=BX%25IJ%24%2F65ieZ%29f6", 2691330)</f>
        <v>2691330</v>
      </c>
      <c r="C598" s="2">
        <f>HYPERLINK("https://platform.v2.vetology.net/report/v/final/"&amp;2691330, 2691330)</f>
        <v>2691330</v>
      </c>
      <c r="D598" s="2" t="s">
        <v>1933</v>
      </c>
      <c r="E598" s="2" t="s">
        <v>1934</v>
      </c>
      <c r="F598" s="2" t="s">
        <v>1935</v>
      </c>
      <c r="G598" s="2" t="s">
        <v>34</v>
      </c>
      <c r="H598" s="2" t="s">
        <v>1936</v>
      </c>
      <c r="I598" s="2" t="s">
        <v>49</v>
      </c>
      <c r="J598" s="2" t="s">
        <v>50</v>
      </c>
      <c r="K598" s="2" t="s">
        <v>38</v>
      </c>
      <c r="L598" s="2" t="s">
        <v>39</v>
      </c>
      <c r="M598" s="2" t="s">
        <v>39</v>
      </c>
      <c r="N598" s="2" t="s">
        <v>38</v>
      </c>
      <c r="O598" s="2" t="s">
        <v>39</v>
      </c>
      <c r="P598" s="2" t="s">
        <v>39</v>
      </c>
      <c r="Q598" s="2" t="s">
        <v>38</v>
      </c>
      <c r="R598" s="2" t="s">
        <v>38</v>
      </c>
      <c r="S598" s="2" t="s">
        <v>38</v>
      </c>
      <c r="T598" s="2" t="s">
        <v>39</v>
      </c>
      <c r="U598" s="2" t="s">
        <v>38</v>
      </c>
      <c r="V598" s="2" t="s">
        <v>39</v>
      </c>
      <c r="W598" s="2" t="s">
        <v>38</v>
      </c>
      <c r="X598" s="2" t="s">
        <v>39</v>
      </c>
      <c r="Y598" s="2" t="s">
        <v>38</v>
      </c>
      <c r="Z598" s="2" t="s">
        <v>39</v>
      </c>
      <c r="AA598" s="2" t="s">
        <v>38</v>
      </c>
      <c r="AB598" s="2" t="s">
        <v>39</v>
      </c>
      <c r="AC598" s="2" t="s">
        <v>39</v>
      </c>
      <c r="AD598" s="2" t="s">
        <v>38</v>
      </c>
      <c r="AE598" s="2" t="s">
        <v>38</v>
      </c>
    </row>
    <row r="599" spans="1:31" ht="409.5">
      <c r="A599" s="2">
        <v>2691297</v>
      </c>
      <c r="B599" s="2">
        <f>HYPERLINK("https://platform.v2.vetology.net/cases/2691297/screening-report/18?type=pdf&amp;v=v6&amp;scorecard=1&amp;secret_key=BX%25IJ%24%2F65ieZ%29f6", 2691297)</f>
        <v>2691297</v>
      </c>
      <c r="C599" s="2">
        <f>HYPERLINK("https://platform.v2.vetology.net/report/v/final/"&amp;2691297, 2691297)</f>
        <v>2691297</v>
      </c>
      <c r="D599" s="2" t="s">
        <v>1937</v>
      </c>
      <c r="E599" s="2" t="s">
        <v>1938</v>
      </c>
      <c r="F599" s="2" t="s">
        <v>1939</v>
      </c>
      <c r="G599" s="2" t="s">
        <v>93</v>
      </c>
      <c r="H599" s="2" t="s">
        <v>1110</v>
      </c>
      <c r="I599" s="2" t="s">
        <v>214</v>
      </c>
      <c r="J599" s="2" t="s">
        <v>50</v>
      </c>
      <c r="K599" s="2" t="s">
        <v>38</v>
      </c>
      <c r="L599" s="2" t="s">
        <v>38</v>
      </c>
      <c r="M599" s="2" t="s">
        <v>39</v>
      </c>
      <c r="N599" s="2" t="s">
        <v>38</v>
      </c>
      <c r="O599" s="2" t="s">
        <v>39</v>
      </c>
      <c r="P599" s="2" t="s">
        <v>38</v>
      </c>
      <c r="Q599" s="2" t="s">
        <v>38</v>
      </c>
      <c r="R599" s="2" t="s">
        <v>38</v>
      </c>
      <c r="S599" s="2" t="s">
        <v>39</v>
      </c>
      <c r="T599" s="2" t="s">
        <v>39</v>
      </c>
      <c r="U599" s="2" t="s">
        <v>38</v>
      </c>
      <c r="V599" s="2" t="s">
        <v>39</v>
      </c>
      <c r="W599" s="2" t="s">
        <v>38</v>
      </c>
      <c r="X599" s="2" t="s">
        <v>39</v>
      </c>
      <c r="Y599" s="2" t="s">
        <v>38</v>
      </c>
      <c r="Z599" s="2" t="s">
        <v>38</v>
      </c>
      <c r="AA599" s="2" t="s">
        <v>38</v>
      </c>
      <c r="AB599" s="2" t="s">
        <v>38</v>
      </c>
      <c r="AC599" s="2" t="s">
        <v>38</v>
      </c>
      <c r="AD599" s="2" t="s">
        <v>38</v>
      </c>
      <c r="AE599" s="2" t="s">
        <v>38</v>
      </c>
    </row>
    <row r="600" spans="1:31" ht="409.5">
      <c r="A600" s="2">
        <v>2691243</v>
      </c>
      <c r="B600" s="2">
        <f>HYPERLINK("https://platform.v2.vetology.net/cases/2691243/screening-report/18?type=pdf&amp;v=v6&amp;scorecard=1&amp;secret_key=BX%25IJ%24%2F65ieZ%29f6", 2691243)</f>
        <v>2691243</v>
      </c>
      <c r="C600" s="2">
        <f>HYPERLINK("https://platform.v2.vetology.net/report/v/final/"&amp;2691243, 2691243)</f>
        <v>2691243</v>
      </c>
      <c r="D600" s="2" t="s">
        <v>1940</v>
      </c>
      <c r="E600" s="2" t="s">
        <v>1941</v>
      </c>
      <c r="F600" s="2" t="s">
        <v>1942</v>
      </c>
      <c r="G600" s="2" t="s">
        <v>93</v>
      </c>
      <c r="H600" s="2" t="s">
        <v>78</v>
      </c>
      <c r="I600" s="2" t="s">
        <v>44</v>
      </c>
      <c r="J600" s="2"/>
      <c r="K600" s="2" t="s">
        <v>38</v>
      </c>
      <c r="L600" s="2" t="s">
        <v>38</v>
      </c>
      <c r="M600" s="2" t="s">
        <v>38</v>
      </c>
      <c r="N600" s="2" t="s">
        <v>38</v>
      </c>
      <c r="O600" s="2" t="s">
        <v>38</v>
      </c>
      <c r="P600" s="2" t="s">
        <v>38</v>
      </c>
      <c r="Q600" s="2" t="s">
        <v>38</v>
      </c>
      <c r="R600" s="2" t="s">
        <v>38</v>
      </c>
      <c r="S600" s="2" t="s">
        <v>38</v>
      </c>
      <c r="T600" s="2" t="s">
        <v>38</v>
      </c>
      <c r="U600" s="2" t="s">
        <v>38</v>
      </c>
      <c r="V600" s="2" t="s">
        <v>39</v>
      </c>
      <c r="W600" s="2" t="s">
        <v>38</v>
      </c>
      <c r="X600" s="2" t="s">
        <v>39</v>
      </c>
      <c r="Y600" s="2" t="s">
        <v>38</v>
      </c>
      <c r="Z600" s="2" t="s">
        <v>38</v>
      </c>
      <c r="AA600" s="2" t="s">
        <v>38</v>
      </c>
      <c r="AB600" s="2" t="s">
        <v>38</v>
      </c>
      <c r="AC600" s="2" t="s">
        <v>38</v>
      </c>
      <c r="AD600" s="2" t="s">
        <v>38</v>
      </c>
      <c r="AE600" s="2" t="s">
        <v>38</v>
      </c>
    </row>
    <row r="601" spans="1:31" ht="409.5">
      <c r="A601" s="2">
        <v>2691219</v>
      </c>
      <c r="B601" s="2">
        <f>HYPERLINK("https://platform.v2.vetology.net/cases/2691219/screening-report/18?type=pdf&amp;v=v6&amp;scorecard=1&amp;secret_key=BX%25IJ%24%2F65ieZ%29f6", 2691219)</f>
        <v>2691219</v>
      </c>
      <c r="C601" s="2">
        <f>HYPERLINK("https://platform.v2.vetology.net/report/v/final/"&amp;2691219, 2691219)</f>
        <v>2691219</v>
      </c>
      <c r="D601" s="2" t="s">
        <v>1943</v>
      </c>
      <c r="E601" s="2" t="s">
        <v>1944</v>
      </c>
      <c r="F601" s="2" t="s">
        <v>455</v>
      </c>
      <c r="G601" s="2" t="s">
        <v>58</v>
      </c>
      <c r="H601" s="2" t="s">
        <v>360</v>
      </c>
      <c r="I601" s="2" t="s">
        <v>284</v>
      </c>
      <c r="J601" s="2" t="s">
        <v>285</v>
      </c>
      <c r="K601" s="2" t="s">
        <v>38</v>
      </c>
      <c r="L601" s="2" t="s">
        <v>38</v>
      </c>
      <c r="M601" s="2" t="s">
        <v>39</v>
      </c>
      <c r="N601" s="2" t="s">
        <v>38</v>
      </c>
      <c r="O601" s="2" t="s">
        <v>38</v>
      </c>
      <c r="P601" s="2" t="s">
        <v>38</v>
      </c>
      <c r="Q601" s="2" t="s">
        <v>38</v>
      </c>
      <c r="R601" s="2" t="s">
        <v>38</v>
      </c>
      <c r="S601" s="2" t="s">
        <v>38</v>
      </c>
      <c r="T601" s="2" t="s">
        <v>39</v>
      </c>
      <c r="U601" s="2" t="s">
        <v>38</v>
      </c>
      <c r="V601" s="2" t="s">
        <v>39</v>
      </c>
      <c r="W601" s="2" t="s">
        <v>38</v>
      </c>
      <c r="X601" s="2" t="s">
        <v>39</v>
      </c>
      <c r="Y601" s="2" t="s">
        <v>38</v>
      </c>
      <c r="Z601" s="2" t="s">
        <v>38</v>
      </c>
      <c r="AA601" s="2" t="s">
        <v>38</v>
      </c>
      <c r="AB601" s="2" t="s">
        <v>38</v>
      </c>
      <c r="AC601" s="2" t="s">
        <v>38</v>
      </c>
      <c r="AD601" s="2" t="s">
        <v>38</v>
      </c>
      <c r="AE601" s="2" t="s">
        <v>38</v>
      </c>
    </row>
    <row r="602" spans="1:31" ht="409.5">
      <c r="A602" s="2">
        <v>2691218</v>
      </c>
      <c r="B602" s="2">
        <f>HYPERLINK("https://platform.v2.vetology.net/cases/2691218/screening-report/18?type=pdf&amp;v=v6&amp;scorecard=1&amp;secret_key=BX%25IJ%24%2F65ieZ%29f6", 2691218)</f>
        <v>2691218</v>
      </c>
      <c r="C602" s="2">
        <f>HYPERLINK("https://platform.v2.vetology.net/report/v/final/"&amp;2691218, 2691218)</f>
        <v>2691218</v>
      </c>
      <c r="D602" s="2" t="s">
        <v>1945</v>
      </c>
      <c r="E602" s="2" t="s">
        <v>1946</v>
      </c>
      <c r="F602" s="2" t="s">
        <v>81</v>
      </c>
      <c r="G602" s="2" t="s">
        <v>150</v>
      </c>
      <c r="H602" s="2" t="s">
        <v>1947</v>
      </c>
      <c r="I602" s="2" t="s">
        <v>49</v>
      </c>
      <c r="J602" s="2" t="s">
        <v>50</v>
      </c>
      <c r="K602" s="2" t="s">
        <v>38</v>
      </c>
      <c r="L602" s="2" t="s">
        <v>39</v>
      </c>
      <c r="M602" s="2" t="s">
        <v>38</v>
      </c>
      <c r="N602" s="2" t="s">
        <v>38</v>
      </c>
      <c r="O602" s="2" t="s">
        <v>39</v>
      </c>
      <c r="P602" s="2" t="s">
        <v>38</v>
      </c>
      <c r="Q602" s="2" t="s">
        <v>38</v>
      </c>
      <c r="R602" s="2" t="s">
        <v>38</v>
      </c>
      <c r="S602" s="2" t="s">
        <v>39</v>
      </c>
      <c r="T602" s="2" t="s">
        <v>39</v>
      </c>
      <c r="U602" s="2" t="s">
        <v>39</v>
      </c>
      <c r="V602" s="2" t="s">
        <v>38</v>
      </c>
      <c r="W602" s="2" t="s">
        <v>38</v>
      </c>
      <c r="X602" s="2" t="s">
        <v>39</v>
      </c>
      <c r="Y602" s="2" t="s">
        <v>38</v>
      </c>
      <c r="Z602" s="2" t="s">
        <v>38</v>
      </c>
      <c r="AA602" s="2" t="s">
        <v>38</v>
      </c>
      <c r="AB602" s="2" t="s">
        <v>39</v>
      </c>
      <c r="AC602" s="2" t="s">
        <v>39</v>
      </c>
      <c r="AD602" s="2" t="s">
        <v>38</v>
      </c>
      <c r="AE602" s="2" t="s">
        <v>38</v>
      </c>
    </row>
    <row r="603" spans="1:31" ht="409.5">
      <c r="A603" s="2">
        <v>2691189</v>
      </c>
      <c r="B603" s="2">
        <f>HYPERLINK("https://platform.v2.vetology.net/cases/2691189/screening-report/18?type=pdf&amp;v=v6&amp;scorecard=1&amp;secret_key=BX%25IJ%24%2F65ieZ%29f6", 2691189)</f>
        <v>2691189</v>
      </c>
      <c r="C603" s="2">
        <f>HYPERLINK("https://platform.v2.vetology.net/report/v/final/"&amp;2691189, 2691189)</f>
        <v>2691189</v>
      </c>
      <c r="D603" s="2" t="s">
        <v>1948</v>
      </c>
      <c r="E603" s="2" t="s">
        <v>1949</v>
      </c>
      <c r="F603" s="2" t="s">
        <v>81</v>
      </c>
      <c r="G603" s="2" t="s">
        <v>82</v>
      </c>
      <c r="H603" s="2" t="s">
        <v>54</v>
      </c>
      <c r="I603" s="2" t="s">
        <v>44</v>
      </c>
      <c r="J603" s="2"/>
      <c r="K603" s="2" t="s">
        <v>38</v>
      </c>
      <c r="L603" s="2" t="s">
        <v>38</v>
      </c>
      <c r="M603" s="2" t="s">
        <v>39</v>
      </c>
      <c r="N603" s="2" t="s">
        <v>38</v>
      </c>
      <c r="O603" s="2" t="s">
        <v>38</v>
      </c>
      <c r="P603" s="2" t="s">
        <v>38</v>
      </c>
      <c r="Q603" s="2" t="s">
        <v>38</v>
      </c>
      <c r="R603" s="2" t="s">
        <v>38</v>
      </c>
      <c r="S603" s="2" t="s">
        <v>39</v>
      </c>
      <c r="T603" s="2" t="s">
        <v>39</v>
      </c>
      <c r="U603" s="2" t="s">
        <v>38</v>
      </c>
      <c r="V603" s="2" t="s">
        <v>39</v>
      </c>
      <c r="W603" s="2" t="s">
        <v>38</v>
      </c>
      <c r="X603" s="2" t="s">
        <v>39</v>
      </c>
      <c r="Y603" s="2" t="s">
        <v>38</v>
      </c>
      <c r="Z603" s="2" t="s">
        <v>38</v>
      </c>
      <c r="AA603" s="2" t="s">
        <v>38</v>
      </c>
      <c r="AB603" s="2" t="s">
        <v>38</v>
      </c>
      <c r="AC603" s="2" t="s">
        <v>38</v>
      </c>
      <c r="AD603" s="2" t="s">
        <v>38</v>
      </c>
      <c r="AE603" s="2" t="s">
        <v>38</v>
      </c>
    </row>
    <row r="604" spans="1:31" ht="409.5">
      <c r="A604" s="2">
        <v>2691167</v>
      </c>
      <c r="B604" s="2">
        <f>HYPERLINK("https://platform.v2.vetology.net/cases/2691167/screening-report/18?type=pdf&amp;v=v6&amp;scorecard=1&amp;secret_key=BX%25IJ%24%2F65ieZ%29f6", 2691167)</f>
        <v>2691167</v>
      </c>
      <c r="C604" s="2">
        <f>HYPERLINK("https://platform.v2.vetology.net/report/v/final/"&amp;2691167, 2691167)</f>
        <v>2691167</v>
      </c>
      <c r="D604" s="2" t="s">
        <v>1950</v>
      </c>
      <c r="E604" s="2" t="s">
        <v>1951</v>
      </c>
      <c r="F604" s="2"/>
      <c r="G604" s="2" t="s">
        <v>141</v>
      </c>
      <c r="H604" s="2" t="s">
        <v>48</v>
      </c>
      <c r="I604" s="2" t="s">
        <v>49</v>
      </c>
      <c r="J604" s="2" t="s">
        <v>50</v>
      </c>
      <c r="K604" s="2" t="s">
        <v>38</v>
      </c>
      <c r="L604" s="2" t="s">
        <v>38</v>
      </c>
      <c r="M604" s="2" t="s">
        <v>38</v>
      </c>
      <c r="N604" s="2" t="s">
        <v>38</v>
      </c>
      <c r="O604" s="2" t="s">
        <v>38</v>
      </c>
      <c r="P604" s="2" t="s">
        <v>38</v>
      </c>
      <c r="Q604" s="2" t="s">
        <v>38</v>
      </c>
      <c r="R604" s="2" t="s">
        <v>38</v>
      </c>
      <c r="S604" s="2" t="s">
        <v>38</v>
      </c>
      <c r="T604" s="2" t="s">
        <v>39</v>
      </c>
      <c r="U604" s="2" t="s">
        <v>38</v>
      </c>
      <c r="V604" s="2" t="s">
        <v>39</v>
      </c>
      <c r="W604" s="2" t="s">
        <v>38</v>
      </c>
      <c r="X604" s="2" t="s">
        <v>39</v>
      </c>
      <c r="Y604" s="2" t="s">
        <v>38</v>
      </c>
      <c r="Z604" s="2" t="s">
        <v>38</v>
      </c>
      <c r="AA604" s="2" t="s">
        <v>38</v>
      </c>
      <c r="AB604" s="2" t="s">
        <v>38</v>
      </c>
      <c r="AC604" s="2" t="s">
        <v>39</v>
      </c>
      <c r="AD604" s="2" t="s">
        <v>38</v>
      </c>
      <c r="AE604" s="2" t="s">
        <v>38</v>
      </c>
    </row>
    <row r="605" spans="1:31" ht="409.5">
      <c r="A605" s="2">
        <v>2691161</v>
      </c>
      <c r="B605" s="2">
        <f>HYPERLINK("https://platform.v2.vetology.net/cases/2691161/screening-report/18?type=pdf&amp;v=v6&amp;scorecard=1&amp;secret_key=BX%25IJ%24%2F65ieZ%29f6", 2691161)</f>
        <v>2691161</v>
      </c>
      <c r="C605" s="2">
        <f>HYPERLINK("https://platform.v2.vetology.net/report/v/final/"&amp;2691161, 2691161)</f>
        <v>2691161</v>
      </c>
      <c r="D605" s="2" t="s">
        <v>1952</v>
      </c>
      <c r="E605" s="2" t="s">
        <v>1953</v>
      </c>
      <c r="F605" s="2" t="s">
        <v>1954</v>
      </c>
      <c r="G605" s="2" t="s">
        <v>34</v>
      </c>
      <c r="H605" s="2" t="s">
        <v>94</v>
      </c>
      <c r="I605" s="2" t="s">
        <v>89</v>
      </c>
      <c r="J605" s="2" t="s">
        <v>66</v>
      </c>
      <c r="K605" s="2" t="s">
        <v>38</v>
      </c>
      <c r="L605" s="2" t="s">
        <v>39</v>
      </c>
      <c r="M605" s="2" t="s">
        <v>38</v>
      </c>
      <c r="N605" s="2" t="s">
        <v>38</v>
      </c>
      <c r="O605" s="2" t="s">
        <v>38</v>
      </c>
      <c r="P605" s="2" t="s">
        <v>38</v>
      </c>
      <c r="Q605" s="2" t="s">
        <v>38</v>
      </c>
      <c r="R605" s="2" t="s">
        <v>38</v>
      </c>
      <c r="S605" s="2" t="s">
        <v>38</v>
      </c>
      <c r="T605" s="2" t="s">
        <v>39</v>
      </c>
      <c r="U605" s="2" t="s">
        <v>38</v>
      </c>
      <c r="V605" s="2" t="s">
        <v>38</v>
      </c>
      <c r="W605" s="2" t="s">
        <v>38</v>
      </c>
      <c r="X605" s="2" t="s">
        <v>39</v>
      </c>
      <c r="Y605" s="2" t="s">
        <v>38</v>
      </c>
      <c r="Z605" s="2" t="s">
        <v>38</v>
      </c>
      <c r="AA605" s="2" t="s">
        <v>38</v>
      </c>
      <c r="AB605" s="2" t="s">
        <v>38</v>
      </c>
      <c r="AC605" s="2" t="s">
        <v>38</v>
      </c>
      <c r="AD605" s="2" t="s">
        <v>38</v>
      </c>
      <c r="AE605" s="2" t="s">
        <v>39</v>
      </c>
    </row>
    <row r="606" spans="1:31" ht="409.5">
      <c r="A606" s="2">
        <v>2691156</v>
      </c>
      <c r="B606" s="2">
        <f>HYPERLINK("https://platform.v2.vetology.net/cases/2691156/screening-report/18?type=pdf&amp;v=v6&amp;scorecard=1&amp;secret_key=BX%25IJ%24%2F65ieZ%29f6", 2691156)</f>
        <v>2691156</v>
      </c>
      <c r="C606" s="2">
        <f>HYPERLINK("https://platform.v2.vetology.net/report/v/final/"&amp;2691156, 2691156)</f>
        <v>2691156</v>
      </c>
      <c r="D606" s="2" t="s">
        <v>1955</v>
      </c>
      <c r="E606" s="2" t="s">
        <v>1956</v>
      </c>
      <c r="F606" s="2" t="s">
        <v>1957</v>
      </c>
      <c r="G606" s="2" t="s">
        <v>58</v>
      </c>
      <c r="H606" s="2" t="s">
        <v>94</v>
      </c>
      <c r="I606" s="2" t="s">
        <v>89</v>
      </c>
      <c r="J606" s="2" t="s">
        <v>66</v>
      </c>
      <c r="K606" s="2" t="s">
        <v>38</v>
      </c>
      <c r="L606" s="2" t="s">
        <v>38</v>
      </c>
      <c r="M606" s="2" t="s">
        <v>38</v>
      </c>
      <c r="N606" s="2" t="s">
        <v>38</v>
      </c>
      <c r="O606" s="2" t="s">
        <v>38</v>
      </c>
      <c r="P606" s="2" t="s">
        <v>38</v>
      </c>
      <c r="Q606" s="2" t="s">
        <v>38</v>
      </c>
      <c r="R606" s="2" t="s">
        <v>38</v>
      </c>
      <c r="S606" s="2" t="s">
        <v>38</v>
      </c>
      <c r="T606" s="2" t="s">
        <v>39</v>
      </c>
      <c r="U606" s="2" t="s">
        <v>38</v>
      </c>
      <c r="V606" s="2" t="s">
        <v>39</v>
      </c>
      <c r="W606" s="2" t="s">
        <v>38</v>
      </c>
      <c r="X606" s="2" t="s">
        <v>39</v>
      </c>
      <c r="Y606" s="2" t="s">
        <v>38</v>
      </c>
      <c r="Z606" s="2" t="s">
        <v>38</v>
      </c>
      <c r="AA606" s="2" t="s">
        <v>38</v>
      </c>
      <c r="AB606" s="2" t="s">
        <v>38</v>
      </c>
      <c r="AC606" s="2" t="s">
        <v>38</v>
      </c>
      <c r="AD606" s="2" t="s">
        <v>38</v>
      </c>
      <c r="AE606" s="2" t="s">
        <v>39</v>
      </c>
    </row>
    <row r="607" spans="1:31" ht="409.5">
      <c r="A607" s="2">
        <v>2690942</v>
      </c>
      <c r="B607" s="2">
        <f>HYPERLINK("https://platform.v2.vetology.net/cases/2690942/screening-report/18?type=pdf&amp;v=v6&amp;scorecard=1&amp;secret_key=BX%25IJ%24%2F65ieZ%29f6", 2690942)</f>
        <v>2690942</v>
      </c>
      <c r="C607" s="2">
        <f>HYPERLINK("https://platform.v2.vetology.net/report/v/final/"&amp;2690942, 2690942)</f>
        <v>2690942</v>
      </c>
      <c r="D607" s="2" t="s">
        <v>1958</v>
      </c>
      <c r="E607" s="2" t="s">
        <v>1959</v>
      </c>
      <c r="F607" s="2" t="s">
        <v>1960</v>
      </c>
      <c r="G607" s="2" t="s">
        <v>464</v>
      </c>
      <c r="H607" s="2" t="s">
        <v>978</v>
      </c>
      <c r="I607" s="2" t="s">
        <v>284</v>
      </c>
      <c r="J607" s="2" t="s">
        <v>285</v>
      </c>
      <c r="K607" s="2" t="s">
        <v>38</v>
      </c>
      <c r="L607" s="2" t="s">
        <v>38</v>
      </c>
      <c r="M607" s="2" t="s">
        <v>38</v>
      </c>
      <c r="N607" s="2" t="s">
        <v>38</v>
      </c>
      <c r="O607" s="2" t="s">
        <v>38</v>
      </c>
      <c r="P607" s="2" t="s">
        <v>38</v>
      </c>
      <c r="Q607" s="2" t="s">
        <v>38</v>
      </c>
      <c r="R607" s="2" t="s">
        <v>38</v>
      </c>
      <c r="S607" s="2" t="s">
        <v>38</v>
      </c>
      <c r="T607" s="2" t="s">
        <v>38</v>
      </c>
      <c r="U607" s="2" t="s">
        <v>38</v>
      </c>
      <c r="V607" s="2" t="s">
        <v>38</v>
      </c>
      <c r="W607" s="2" t="s">
        <v>38</v>
      </c>
      <c r="X607" s="2" t="s">
        <v>38</v>
      </c>
      <c r="Y607" s="2" t="s">
        <v>38</v>
      </c>
      <c r="Z607" s="2" t="s">
        <v>38</v>
      </c>
      <c r="AA607" s="2" t="s">
        <v>38</v>
      </c>
      <c r="AB607" s="2" t="s">
        <v>38</v>
      </c>
      <c r="AC607" s="2" t="s">
        <v>38</v>
      </c>
      <c r="AD607" s="2" t="s">
        <v>38</v>
      </c>
      <c r="AE607" s="2" t="s">
        <v>38</v>
      </c>
    </row>
    <row r="608" spans="1:31" ht="409.5">
      <c r="A608" s="2">
        <v>2690586</v>
      </c>
      <c r="B608" s="2">
        <f>HYPERLINK("https://platform.v2.vetology.net/cases/2690586/screening-report/18?type=pdf&amp;v=v6&amp;scorecard=1&amp;secret_key=BX%25IJ%24%2F65ieZ%29f6", 2690586)</f>
        <v>2690586</v>
      </c>
      <c r="C608" s="2">
        <f>HYPERLINK("https://platform.v2.vetology.net/report/v/final/"&amp;2690586, 2690586)</f>
        <v>2690586</v>
      </c>
      <c r="D608" s="2" t="s">
        <v>1961</v>
      </c>
      <c r="E608" s="2" t="s">
        <v>1962</v>
      </c>
      <c r="F608" s="2" t="s">
        <v>1963</v>
      </c>
      <c r="G608" s="2" t="s">
        <v>212</v>
      </c>
      <c r="H608" s="2" t="s">
        <v>1575</v>
      </c>
      <c r="I608" s="2" t="s">
        <v>1468</v>
      </c>
      <c r="J608" s="2" t="s">
        <v>1469</v>
      </c>
      <c r="K608" s="2" t="s">
        <v>38</v>
      </c>
      <c r="L608" s="2" t="s">
        <v>39</v>
      </c>
      <c r="M608" s="2" t="s">
        <v>39</v>
      </c>
      <c r="N608" s="2" t="s">
        <v>38</v>
      </c>
      <c r="O608" s="2" t="s">
        <v>38</v>
      </c>
      <c r="P608" s="2" t="s">
        <v>39</v>
      </c>
      <c r="Q608" s="2" t="s">
        <v>38</v>
      </c>
      <c r="R608" s="2" t="s">
        <v>38</v>
      </c>
      <c r="S608" s="2" t="s">
        <v>38</v>
      </c>
      <c r="T608" s="2" t="s">
        <v>38</v>
      </c>
      <c r="U608" s="2" t="s">
        <v>38</v>
      </c>
      <c r="V608" s="2" t="s">
        <v>38</v>
      </c>
      <c r="W608" s="2" t="s">
        <v>38</v>
      </c>
      <c r="X608" s="2" t="s">
        <v>39</v>
      </c>
      <c r="Y608" s="2" t="s">
        <v>38</v>
      </c>
      <c r="Z608" s="2" t="s">
        <v>39</v>
      </c>
      <c r="AA608" s="2" t="s">
        <v>38</v>
      </c>
      <c r="AB608" s="2" t="s">
        <v>39</v>
      </c>
      <c r="AC608" s="2" t="s">
        <v>39</v>
      </c>
      <c r="AD608" s="2" t="s">
        <v>38</v>
      </c>
      <c r="AE608" s="2" t="s">
        <v>38</v>
      </c>
    </row>
    <row r="609" spans="1:31" ht="409.5">
      <c r="A609" s="2">
        <v>2690400</v>
      </c>
      <c r="B609" s="2">
        <f>HYPERLINK("https://platform.v2.vetology.net/cases/2690400/screening-report/18?type=pdf&amp;v=v6&amp;scorecard=1&amp;secret_key=BX%25IJ%24%2F65ieZ%29f6", 2690400)</f>
        <v>2690400</v>
      </c>
      <c r="C609" s="2">
        <f>HYPERLINK("https://platform.v2.vetology.net/report/v/final/"&amp;2690400, 2690400)</f>
        <v>2690400</v>
      </c>
      <c r="D609" s="2" t="s">
        <v>1964</v>
      </c>
      <c r="E609" s="2" t="s">
        <v>415</v>
      </c>
      <c r="F609" s="2" t="s">
        <v>1965</v>
      </c>
      <c r="G609" s="2" t="s">
        <v>135</v>
      </c>
      <c r="H609" s="2" t="s">
        <v>1966</v>
      </c>
      <c r="I609" s="2" t="s">
        <v>124</v>
      </c>
      <c r="J609" s="2" t="s">
        <v>125</v>
      </c>
      <c r="K609" s="2" t="s">
        <v>38</v>
      </c>
      <c r="L609" s="2" t="s">
        <v>39</v>
      </c>
      <c r="M609" s="2" t="s">
        <v>39</v>
      </c>
      <c r="N609" s="2" t="s">
        <v>38</v>
      </c>
      <c r="O609" s="2" t="s">
        <v>38</v>
      </c>
      <c r="P609" s="2" t="s">
        <v>38</v>
      </c>
      <c r="Q609" s="2" t="s">
        <v>38</v>
      </c>
      <c r="R609" s="2" t="s">
        <v>38</v>
      </c>
      <c r="S609" s="2" t="s">
        <v>38</v>
      </c>
      <c r="T609" s="2" t="s">
        <v>38</v>
      </c>
      <c r="U609" s="2" t="s">
        <v>38</v>
      </c>
      <c r="V609" s="2" t="s">
        <v>38</v>
      </c>
      <c r="W609" s="2" t="s">
        <v>38</v>
      </c>
      <c r="X609" s="2" t="s">
        <v>38</v>
      </c>
      <c r="Y609" s="2" t="s">
        <v>38</v>
      </c>
      <c r="Z609" s="2" t="s">
        <v>38</v>
      </c>
      <c r="AA609" s="2" t="s">
        <v>38</v>
      </c>
      <c r="AB609" s="2" t="s">
        <v>38</v>
      </c>
      <c r="AC609" s="2" t="s">
        <v>38</v>
      </c>
      <c r="AD609" s="2" t="s">
        <v>38</v>
      </c>
      <c r="AE609" s="2" t="s">
        <v>38</v>
      </c>
    </row>
    <row r="610" spans="1:31" ht="409.5">
      <c r="A610" s="2">
        <v>2690397</v>
      </c>
      <c r="B610" s="2">
        <f>HYPERLINK("https://platform.v2.vetology.net/cases/2690397/screening-report/18?type=pdf&amp;v=v6&amp;scorecard=1&amp;secret_key=BX%25IJ%24%2F65ieZ%29f6", 2690397)</f>
        <v>2690397</v>
      </c>
      <c r="C610" s="2">
        <f>HYPERLINK("https://platform.v2.vetology.net/report/v/final/"&amp;2690397, 2690397)</f>
        <v>2690397</v>
      </c>
      <c r="D610" s="2" t="s">
        <v>1967</v>
      </c>
      <c r="E610" s="2" t="s">
        <v>1968</v>
      </c>
      <c r="F610" s="2" t="s">
        <v>1969</v>
      </c>
      <c r="G610" s="2" t="s">
        <v>575</v>
      </c>
      <c r="H610" s="2" t="s">
        <v>1970</v>
      </c>
      <c r="I610" s="2" t="s">
        <v>517</v>
      </c>
      <c r="J610" s="2" t="s">
        <v>518</v>
      </c>
      <c r="K610" s="2" t="s">
        <v>39</v>
      </c>
      <c r="L610" s="2" t="s">
        <v>39</v>
      </c>
      <c r="M610" s="2" t="s">
        <v>39</v>
      </c>
      <c r="N610" s="2" t="s">
        <v>39</v>
      </c>
      <c r="O610" s="2" t="s">
        <v>39</v>
      </c>
      <c r="P610" s="2" t="s">
        <v>39</v>
      </c>
      <c r="Q610" s="2" t="s">
        <v>39</v>
      </c>
      <c r="R610" s="2" t="s">
        <v>39</v>
      </c>
      <c r="S610" s="2" t="s">
        <v>39</v>
      </c>
      <c r="T610" s="2" t="s">
        <v>39</v>
      </c>
      <c r="U610" s="2" t="s">
        <v>39</v>
      </c>
      <c r="V610" s="2" t="s">
        <v>39</v>
      </c>
      <c r="W610" s="2" t="s">
        <v>38</v>
      </c>
      <c r="X610" s="2" t="s">
        <v>39</v>
      </c>
      <c r="Y610" s="2" t="s">
        <v>38</v>
      </c>
      <c r="Z610" s="2" t="s">
        <v>39</v>
      </c>
      <c r="AA610" s="2" t="s">
        <v>39</v>
      </c>
      <c r="AB610" s="2" t="s">
        <v>39</v>
      </c>
      <c r="AC610" s="2" t="s">
        <v>39</v>
      </c>
      <c r="AD610" s="2" t="s">
        <v>38</v>
      </c>
      <c r="AE610" s="2" t="s">
        <v>39</v>
      </c>
    </row>
    <row r="611" spans="1:31" ht="409.5">
      <c r="A611" s="2">
        <v>2690261</v>
      </c>
      <c r="B611" s="2">
        <f>HYPERLINK("https://platform.v2.vetology.net/cases/2690261/screening-report/18?type=pdf&amp;v=v6&amp;scorecard=1&amp;secret_key=BX%25IJ%24%2F65ieZ%29f6", 2690261)</f>
        <v>2690261</v>
      </c>
      <c r="C611" s="2">
        <f>HYPERLINK("https://platform.v2.vetology.net/report/v/final/"&amp;2690261, 2690261)</f>
        <v>2690261</v>
      </c>
      <c r="D611" s="2" t="s">
        <v>229</v>
      </c>
      <c r="E611" s="2" t="s">
        <v>148</v>
      </c>
      <c r="F611" s="2" t="s">
        <v>149</v>
      </c>
      <c r="G611" s="2" t="s">
        <v>150</v>
      </c>
      <c r="H611" s="2" t="s">
        <v>94</v>
      </c>
      <c r="I611" s="2" t="s">
        <v>89</v>
      </c>
      <c r="J611" s="2" t="s">
        <v>66</v>
      </c>
      <c r="K611" s="2" t="s">
        <v>38</v>
      </c>
      <c r="L611" s="2" t="s">
        <v>39</v>
      </c>
      <c r="M611" s="2" t="s">
        <v>38</v>
      </c>
      <c r="N611" s="2" t="s">
        <v>38</v>
      </c>
      <c r="O611" s="2" t="s">
        <v>38</v>
      </c>
      <c r="P611" s="2" t="s">
        <v>38</v>
      </c>
      <c r="Q611" s="2" t="s">
        <v>38</v>
      </c>
      <c r="R611" s="2" t="s">
        <v>38</v>
      </c>
      <c r="S611" s="2" t="s">
        <v>38</v>
      </c>
      <c r="T611" s="2" t="s">
        <v>39</v>
      </c>
      <c r="U611" s="2" t="s">
        <v>38</v>
      </c>
      <c r="V611" s="2" t="s">
        <v>39</v>
      </c>
      <c r="W611" s="2" t="s">
        <v>38</v>
      </c>
      <c r="X611" s="2" t="s">
        <v>39</v>
      </c>
      <c r="Y611" s="2" t="s">
        <v>38</v>
      </c>
      <c r="Z611" s="2" t="s">
        <v>38</v>
      </c>
      <c r="AA611" s="2" t="s">
        <v>38</v>
      </c>
      <c r="AB611" s="2" t="s">
        <v>38</v>
      </c>
      <c r="AC611" s="2" t="s">
        <v>38</v>
      </c>
      <c r="AD611" s="2" t="s">
        <v>38</v>
      </c>
      <c r="AE611" s="2" t="s">
        <v>39</v>
      </c>
    </row>
    <row r="612" spans="1:31" ht="409.5">
      <c r="A612" s="2">
        <v>2690193</v>
      </c>
      <c r="B612" s="2">
        <f>HYPERLINK("https://platform.v2.vetology.net/cases/2690193/screening-report/18?type=pdf&amp;v=v6&amp;scorecard=1&amp;secret_key=BX%25IJ%24%2F65ieZ%29f6", 2690193)</f>
        <v>2690193</v>
      </c>
      <c r="C612" s="2">
        <f>HYPERLINK("https://platform.v2.vetology.net/report/v/final/"&amp;2690193, 2690193)</f>
        <v>2690193</v>
      </c>
      <c r="D612" s="2" t="s">
        <v>1971</v>
      </c>
      <c r="E612" s="2" t="s">
        <v>1972</v>
      </c>
      <c r="F612" s="2" t="s">
        <v>81</v>
      </c>
      <c r="G612" s="2" t="s">
        <v>150</v>
      </c>
      <c r="H612" s="2" t="s">
        <v>1825</v>
      </c>
      <c r="I612" s="2" t="s">
        <v>700</v>
      </c>
      <c r="J612" s="2" t="s">
        <v>701</v>
      </c>
      <c r="K612" s="2" t="s">
        <v>38</v>
      </c>
      <c r="L612" s="2" t="s">
        <v>38</v>
      </c>
      <c r="M612" s="2" t="s">
        <v>38</v>
      </c>
      <c r="N612" s="2" t="s">
        <v>38</v>
      </c>
      <c r="O612" s="2" t="s">
        <v>38</v>
      </c>
      <c r="P612" s="2" t="s">
        <v>39</v>
      </c>
      <c r="Q612" s="2" t="s">
        <v>38</v>
      </c>
      <c r="R612" s="2" t="s">
        <v>38</v>
      </c>
      <c r="S612" s="2" t="s">
        <v>38</v>
      </c>
      <c r="T612" s="2" t="s">
        <v>38</v>
      </c>
      <c r="U612" s="2" t="s">
        <v>38</v>
      </c>
      <c r="V612" s="2" t="s">
        <v>38</v>
      </c>
      <c r="W612" s="2" t="s">
        <v>38</v>
      </c>
      <c r="X612" s="2" t="s">
        <v>38</v>
      </c>
      <c r="Y612" s="2" t="s">
        <v>38</v>
      </c>
      <c r="Z612" s="2" t="s">
        <v>38</v>
      </c>
      <c r="AA612" s="2" t="s">
        <v>38</v>
      </c>
      <c r="AB612" s="2" t="s">
        <v>38</v>
      </c>
      <c r="AC612" s="2" t="s">
        <v>38</v>
      </c>
      <c r="AD612" s="2" t="s">
        <v>38</v>
      </c>
      <c r="AE612" s="2" t="s">
        <v>38</v>
      </c>
    </row>
    <row r="613" spans="1:31" ht="409.5">
      <c r="A613" s="2">
        <v>2690179</v>
      </c>
      <c r="B613" s="2">
        <f>HYPERLINK("https://platform.v2.vetology.net/cases/2690179/screening-report/18?type=pdf&amp;v=v6&amp;scorecard=1&amp;secret_key=BX%25IJ%24%2F65ieZ%29f6", 2690179)</f>
        <v>2690179</v>
      </c>
      <c r="C613" s="2">
        <f>HYPERLINK("https://platform.v2.vetology.net/report/v/final/"&amp;2690179, 2690179)</f>
        <v>2690179</v>
      </c>
      <c r="D613" s="2" t="s">
        <v>1973</v>
      </c>
      <c r="E613" s="2" t="s">
        <v>850</v>
      </c>
      <c r="F613" s="2"/>
      <c r="G613" s="2" t="s">
        <v>150</v>
      </c>
      <c r="H613" s="2" t="s">
        <v>1180</v>
      </c>
      <c r="I613" s="2" t="s">
        <v>158</v>
      </c>
      <c r="J613" s="2" t="s">
        <v>50</v>
      </c>
      <c r="K613" s="2" t="s">
        <v>38</v>
      </c>
      <c r="L613" s="2" t="s">
        <v>39</v>
      </c>
      <c r="M613" s="2" t="s">
        <v>38</v>
      </c>
      <c r="N613" s="2" t="s">
        <v>38</v>
      </c>
      <c r="O613" s="2" t="s">
        <v>38</v>
      </c>
      <c r="P613" s="2" t="s">
        <v>39</v>
      </c>
      <c r="Q613" s="2" t="s">
        <v>38</v>
      </c>
      <c r="R613" s="2" t="s">
        <v>38</v>
      </c>
      <c r="S613" s="2" t="s">
        <v>38</v>
      </c>
      <c r="T613" s="2" t="s">
        <v>38</v>
      </c>
      <c r="U613" s="2" t="s">
        <v>38</v>
      </c>
      <c r="V613" s="2" t="s">
        <v>38</v>
      </c>
      <c r="W613" s="2" t="s">
        <v>38</v>
      </c>
      <c r="X613" s="2" t="s">
        <v>38</v>
      </c>
      <c r="Y613" s="2" t="s">
        <v>38</v>
      </c>
      <c r="Z613" s="2" t="s">
        <v>39</v>
      </c>
      <c r="AA613" s="2" t="s">
        <v>38</v>
      </c>
      <c r="AB613" s="2" t="s">
        <v>39</v>
      </c>
      <c r="AC613" s="2" t="s">
        <v>39</v>
      </c>
      <c r="AD613" s="2" t="s">
        <v>38</v>
      </c>
      <c r="AE613" s="2" t="s">
        <v>39</v>
      </c>
    </row>
    <row r="614" spans="1:31" ht="409.5">
      <c r="A614" s="2">
        <v>2690170</v>
      </c>
      <c r="B614" s="2">
        <f>HYPERLINK("https://platform.v2.vetology.net/cases/2690170/screening-report/18?type=pdf&amp;v=v6&amp;scorecard=1&amp;secret_key=BX%25IJ%24%2F65ieZ%29f6", 2690170)</f>
        <v>2690170</v>
      </c>
      <c r="C614" s="2">
        <f>HYPERLINK("https://platform.v2.vetology.net/report/v/final/"&amp;2690170, 2690170)</f>
        <v>2690170</v>
      </c>
      <c r="D614" s="2" t="s">
        <v>1974</v>
      </c>
      <c r="E614" s="2" t="s">
        <v>1590</v>
      </c>
      <c r="F614" s="2" t="s">
        <v>149</v>
      </c>
      <c r="G614" s="2" t="s">
        <v>150</v>
      </c>
      <c r="H614" s="2" t="s">
        <v>1975</v>
      </c>
      <c r="I614" s="2" t="s">
        <v>1516</v>
      </c>
      <c r="J614" s="2" t="s">
        <v>518</v>
      </c>
      <c r="K614" s="2" t="s">
        <v>38</v>
      </c>
      <c r="L614" s="2" t="s">
        <v>39</v>
      </c>
      <c r="M614" s="2" t="s">
        <v>39</v>
      </c>
      <c r="N614" s="2" t="s">
        <v>39</v>
      </c>
      <c r="O614" s="2" t="s">
        <v>39</v>
      </c>
      <c r="P614" s="2" t="s">
        <v>39</v>
      </c>
      <c r="Q614" s="2" t="s">
        <v>39</v>
      </c>
      <c r="R614" s="2" t="s">
        <v>38</v>
      </c>
      <c r="S614" s="2" t="s">
        <v>39</v>
      </c>
      <c r="T614" s="2" t="s">
        <v>39</v>
      </c>
      <c r="U614" s="2" t="s">
        <v>38</v>
      </c>
      <c r="V614" s="2" t="s">
        <v>39</v>
      </c>
      <c r="W614" s="2" t="s">
        <v>38</v>
      </c>
      <c r="X614" s="2" t="s">
        <v>39</v>
      </c>
      <c r="Y614" s="2" t="s">
        <v>38</v>
      </c>
      <c r="Z614" s="2" t="s">
        <v>39</v>
      </c>
      <c r="AA614" s="2" t="s">
        <v>39</v>
      </c>
      <c r="AB614" s="2" t="s">
        <v>39</v>
      </c>
      <c r="AC614" s="2" t="s">
        <v>39</v>
      </c>
      <c r="AD614" s="2" t="s">
        <v>38</v>
      </c>
      <c r="AE614" s="2" t="s">
        <v>38</v>
      </c>
    </row>
    <row r="615" spans="1:31" ht="409.5">
      <c r="A615" s="2">
        <v>2690098</v>
      </c>
      <c r="B615" s="2">
        <f>HYPERLINK("https://platform.v2.vetology.net/cases/2690098/screening-report/18?type=pdf&amp;v=v6&amp;scorecard=1&amp;secret_key=BX%25IJ%24%2F65ieZ%29f6", 2690098)</f>
        <v>2690098</v>
      </c>
      <c r="C615" s="2">
        <f>HYPERLINK("https://platform.v2.vetology.net/report/v/final/"&amp;2690098, 2690098)</f>
        <v>2690098</v>
      </c>
      <c r="D615" s="2" t="s">
        <v>1976</v>
      </c>
      <c r="E615" s="2" t="s">
        <v>1977</v>
      </c>
      <c r="F615" s="2" t="s">
        <v>1978</v>
      </c>
      <c r="G615" s="2" t="s">
        <v>34</v>
      </c>
      <c r="H615" s="2" t="s">
        <v>1979</v>
      </c>
      <c r="I615" s="2" t="s">
        <v>124</v>
      </c>
      <c r="J615" s="2" t="s">
        <v>125</v>
      </c>
      <c r="K615" s="2" t="s">
        <v>38</v>
      </c>
      <c r="L615" s="2" t="s">
        <v>39</v>
      </c>
      <c r="M615" s="2" t="s">
        <v>39</v>
      </c>
      <c r="N615" s="2" t="s">
        <v>38</v>
      </c>
      <c r="O615" s="2" t="s">
        <v>38</v>
      </c>
      <c r="P615" s="2" t="s">
        <v>38</v>
      </c>
      <c r="Q615" s="2" t="s">
        <v>38</v>
      </c>
      <c r="R615" s="2" t="s">
        <v>38</v>
      </c>
      <c r="S615" s="2" t="s">
        <v>38</v>
      </c>
      <c r="T615" s="2" t="s">
        <v>38</v>
      </c>
      <c r="U615" s="2" t="s">
        <v>38</v>
      </c>
      <c r="V615" s="2" t="s">
        <v>38</v>
      </c>
      <c r="W615" s="2" t="s">
        <v>38</v>
      </c>
      <c r="X615" s="2" t="s">
        <v>38</v>
      </c>
      <c r="Y615" s="2" t="s">
        <v>38</v>
      </c>
      <c r="Z615" s="2" t="s">
        <v>38</v>
      </c>
      <c r="AA615" s="2" t="s">
        <v>38</v>
      </c>
      <c r="AB615" s="2" t="s">
        <v>39</v>
      </c>
      <c r="AC615" s="2" t="s">
        <v>39</v>
      </c>
      <c r="AD615" s="2" t="s">
        <v>38</v>
      </c>
      <c r="AE615" s="2" t="s">
        <v>39</v>
      </c>
    </row>
    <row r="616" spans="1:31" ht="409.5">
      <c r="A616" s="2">
        <v>2690015</v>
      </c>
      <c r="B616" s="2">
        <f>HYPERLINK("https://platform.v2.vetology.net/cases/2690015/screening-report/18?type=pdf&amp;v=v6&amp;scorecard=1&amp;secret_key=BX%25IJ%24%2F65ieZ%29f6", 2690015)</f>
        <v>2690015</v>
      </c>
      <c r="C616" s="2">
        <f>HYPERLINK("https://platform.v2.vetology.net/report/v/final/"&amp;2690015, 2690015)</f>
        <v>2690015</v>
      </c>
      <c r="D616" s="2" t="s">
        <v>1980</v>
      </c>
      <c r="E616" s="2" t="s">
        <v>915</v>
      </c>
      <c r="F616" s="2" t="s">
        <v>149</v>
      </c>
      <c r="G616" s="2" t="s">
        <v>150</v>
      </c>
      <c r="H616" s="2" t="s">
        <v>43</v>
      </c>
      <c r="I616" s="2" t="s">
        <v>44</v>
      </c>
      <c r="J616" s="2" t="s">
        <v>106</v>
      </c>
      <c r="K616" s="2" t="s">
        <v>38</v>
      </c>
      <c r="L616" s="2" t="s">
        <v>38</v>
      </c>
      <c r="M616" s="2" t="s">
        <v>38</v>
      </c>
      <c r="N616" s="2" t="s">
        <v>38</v>
      </c>
      <c r="O616" s="2" t="s">
        <v>38</v>
      </c>
      <c r="P616" s="2" t="s">
        <v>38</v>
      </c>
      <c r="Q616" s="2" t="s">
        <v>38</v>
      </c>
      <c r="R616" s="2" t="s">
        <v>38</v>
      </c>
      <c r="S616" s="2" t="s">
        <v>38</v>
      </c>
      <c r="T616" s="2" t="s">
        <v>38</v>
      </c>
      <c r="U616" s="2" t="s">
        <v>38</v>
      </c>
      <c r="V616" s="2" t="s">
        <v>38</v>
      </c>
      <c r="W616" s="2" t="s">
        <v>38</v>
      </c>
      <c r="X616" s="2" t="s">
        <v>38</v>
      </c>
      <c r="Y616" s="2" t="s">
        <v>38</v>
      </c>
      <c r="Z616" s="2" t="s">
        <v>38</v>
      </c>
      <c r="AA616" s="2" t="s">
        <v>38</v>
      </c>
      <c r="AB616" s="2" t="s">
        <v>38</v>
      </c>
      <c r="AC616" s="2" t="s">
        <v>38</v>
      </c>
      <c r="AD616" s="2" t="s">
        <v>38</v>
      </c>
      <c r="AE616" s="2" t="s">
        <v>38</v>
      </c>
    </row>
    <row r="617" spans="1:31" ht="409.5">
      <c r="A617" s="2">
        <v>2689977</v>
      </c>
      <c r="B617" s="2">
        <f>HYPERLINK("https://platform.v2.vetology.net/cases/2689977/screening-report/18?type=pdf&amp;v=v6&amp;scorecard=1&amp;secret_key=BX%25IJ%24%2F65ieZ%29f6", 2689977)</f>
        <v>2689977</v>
      </c>
      <c r="C617" s="2">
        <f>HYPERLINK("https://platform.v2.vetology.net/report/v/final/"&amp;2689977, 2689977)</f>
        <v>2689977</v>
      </c>
      <c r="D617" s="2" t="s">
        <v>1981</v>
      </c>
      <c r="E617" s="2" t="s">
        <v>1982</v>
      </c>
      <c r="F617" s="2" t="s">
        <v>1983</v>
      </c>
      <c r="G617" s="2" t="s">
        <v>34</v>
      </c>
      <c r="H617" s="2" t="s">
        <v>54</v>
      </c>
      <c r="I617" s="2" t="s">
        <v>44</v>
      </c>
      <c r="J617" s="2"/>
      <c r="K617" s="2" t="s">
        <v>38</v>
      </c>
      <c r="L617" s="2" t="s">
        <v>39</v>
      </c>
      <c r="M617" s="2" t="s">
        <v>38</v>
      </c>
      <c r="N617" s="2" t="s">
        <v>38</v>
      </c>
      <c r="O617" s="2" t="s">
        <v>38</v>
      </c>
      <c r="P617" s="2" t="s">
        <v>38</v>
      </c>
      <c r="Q617" s="2" t="s">
        <v>38</v>
      </c>
      <c r="R617" s="2" t="s">
        <v>38</v>
      </c>
      <c r="S617" s="2" t="s">
        <v>39</v>
      </c>
      <c r="T617" s="2" t="s">
        <v>39</v>
      </c>
      <c r="U617" s="2" t="s">
        <v>38</v>
      </c>
      <c r="V617" s="2" t="s">
        <v>39</v>
      </c>
      <c r="W617" s="2" t="s">
        <v>38</v>
      </c>
      <c r="X617" s="2" t="s">
        <v>38</v>
      </c>
      <c r="Y617" s="2" t="s">
        <v>38</v>
      </c>
      <c r="Z617" s="2" t="s">
        <v>38</v>
      </c>
      <c r="AA617" s="2" t="s">
        <v>38</v>
      </c>
      <c r="AB617" s="2" t="s">
        <v>38</v>
      </c>
      <c r="AC617" s="2" t="s">
        <v>38</v>
      </c>
      <c r="AD617" s="2" t="s">
        <v>38</v>
      </c>
      <c r="AE617" s="2" t="s">
        <v>38</v>
      </c>
    </row>
    <row r="618" spans="1:31" ht="409.5">
      <c r="A618" s="2">
        <v>2689971</v>
      </c>
      <c r="B618" s="2">
        <f>HYPERLINK("https://platform.v2.vetology.net/cases/2689971/screening-report/18?type=pdf&amp;v=v6&amp;scorecard=1&amp;secret_key=BX%25IJ%24%2F65ieZ%29f6", 2689971)</f>
        <v>2689971</v>
      </c>
      <c r="C618" s="2">
        <f>HYPERLINK("https://platform.v2.vetology.net/report/v/final/"&amp;2689971, 2689971)</f>
        <v>2689971</v>
      </c>
      <c r="D618" s="2" t="s">
        <v>1984</v>
      </c>
      <c r="E618" s="2" t="s">
        <v>850</v>
      </c>
      <c r="F618" s="2"/>
      <c r="G618" s="2" t="s">
        <v>150</v>
      </c>
      <c r="H618" s="2" t="s">
        <v>339</v>
      </c>
      <c r="I618" s="2" t="s">
        <v>124</v>
      </c>
      <c r="J618" s="2" t="s">
        <v>125</v>
      </c>
      <c r="K618" s="2" t="s">
        <v>38</v>
      </c>
      <c r="L618" s="2" t="s">
        <v>39</v>
      </c>
      <c r="M618" s="2" t="s">
        <v>39</v>
      </c>
      <c r="N618" s="2" t="s">
        <v>38</v>
      </c>
      <c r="O618" s="2" t="s">
        <v>38</v>
      </c>
      <c r="P618" s="2" t="s">
        <v>38</v>
      </c>
      <c r="Q618" s="2" t="s">
        <v>38</v>
      </c>
      <c r="R618" s="2" t="s">
        <v>38</v>
      </c>
      <c r="S618" s="2" t="s">
        <v>38</v>
      </c>
      <c r="T618" s="2" t="s">
        <v>39</v>
      </c>
      <c r="U618" s="2" t="s">
        <v>38</v>
      </c>
      <c r="V618" s="2" t="s">
        <v>39</v>
      </c>
      <c r="W618" s="2" t="s">
        <v>38</v>
      </c>
      <c r="X618" s="2" t="s">
        <v>39</v>
      </c>
      <c r="Y618" s="2" t="s">
        <v>38</v>
      </c>
      <c r="Z618" s="2" t="s">
        <v>38</v>
      </c>
      <c r="AA618" s="2" t="s">
        <v>38</v>
      </c>
      <c r="AB618" s="2" t="s">
        <v>39</v>
      </c>
      <c r="AC618" s="2" t="s">
        <v>38</v>
      </c>
      <c r="AD618" s="2" t="s">
        <v>38</v>
      </c>
      <c r="AE618" s="2" t="s">
        <v>38</v>
      </c>
    </row>
    <row r="619" spans="1:31" ht="409.5">
      <c r="A619" s="2">
        <v>2689924</v>
      </c>
      <c r="B619" s="2">
        <f>HYPERLINK("https://platform.v2.vetology.net/cases/2689924/screening-report/18?type=pdf&amp;v=v6&amp;scorecard=1&amp;secret_key=BX%25IJ%24%2F65ieZ%29f6", 2689924)</f>
        <v>2689924</v>
      </c>
      <c r="C619" s="2">
        <f>HYPERLINK("https://platform.v2.vetology.net/report/v/final/"&amp;2689924, 2689924)</f>
        <v>2689924</v>
      </c>
      <c r="D619" s="2" t="s">
        <v>1985</v>
      </c>
      <c r="E619" s="2" t="s">
        <v>1986</v>
      </c>
      <c r="F619" s="2" t="s">
        <v>1987</v>
      </c>
      <c r="G619" s="2" t="s">
        <v>70</v>
      </c>
      <c r="H619" s="2" t="s">
        <v>1622</v>
      </c>
      <c r="I619" s="2" t="s">
        <v>158</v>
      </c>
      <c r="J619" s="2" t="s">
        <v>50</v>
      </c>
      <c r="K619" s="2" t="s">
        <v>38</v>
      </c>
      <c r="L619" s="2" t="s">
        <v>39</v>
      </c>
      <c r="M619" s="2" t="s">
        <v>38</v>
      </c>
      <c r="N619" s="2" t="s">
        <v>39</v>
      </c>
      <c r="O619" s="2" t="s">
        <v>38</v>
      </c>
      <c r="P619" s="2" t="s">
        <v>38</v>
      </c>
      <c r="Q619" s="2" t="s">
        <v>38</v>
      </c>
      <c r="R619" s="2" t="s">
        <v>38</v>
      </c>
      <c r="S619" s="2" t="s">
        <v>38</v>
      </c>
      <c r="T619" s="2" t="s">
        <v>38</v>
      </c>
      <c r="U619" s="2" t="s">
        <v>38</v>
      </c>
      <c r="V619" s="2" t="s">
        <v>38</v>
      </c>
      <c r="W619" s="2" t="s">
        <v>38</v>
      </c>
      <c r="X619" s="2" t="s">
        <v>38</v>
      </c>
      <c r="Y619" s="2" t="s">
        <v>38</v>
      </c>
      <c r="Z619" s="2" t="s">
        <v>38</v>
      </c>
      <c r="AA619" s="2" t="s">
        <v>38</v>
      </c>
      <c r="AB619" s="2" t="s">
        <v>38</v>
      </c>
      <c r="AC619" s="2" t="s">
        <v>38</v>
      </c>
      <c r="AD619" s="2" t="s">
        <v>38</v>
      </c>
      <c r="AE619" s="2" t="s">
        <v>39</v>
      </c>
    </row>
    <row r="620" spans="1:31" ht="409.5">
      <c r="A620" s="2">
        <v>2689919</v>
      </c>
      <c r="B620" s="2">
        <f>HYPERLINK("https://platform.v2.vetology.net/cases/2689919/screening-report/18?type=pdf&amp;v=v6&amp;scorecard=1&amp;secret_key=BX%25IJ%24%2F65ieZ%29f6", 2689919)</f>
        <v>2689919</v>
      </c>
      <c r="C620" s="2">
        <f>HYPERLINK("https://platform.v2.vetology.net/report/v/final/"&amp;2689919, 2689919)</f>
        <v>2689919</v>
      </c>
      <c r="D620" s="2" t="s">
        <v>1988</v>
      </c>
      <c r="E620" s="2" t="s">
        <v>1989</v>
      </c>
      <c r="F620" s="2" t="s">
        <v>1990</v>
      </c>
      <c r="G620" s="2" t="s">
        <v>135</v>
      </c>
      <c r="H620" s="2" t="s">
        <v>88</v>
      </c>
      <c r="I620" s="2" t="s">
        <v>89</v>
      </c>
      <c r="J620" s="2" t="s">
        <v>66</v>
      </c>
      <c r="K620" s="2" t="s">
        <v>38</v>
      </c>
      <c r="L620" s="2" t="s">
        <v>39</v>
      </c>
      <c r="M620" s="2" t="s">
        <v>38</v>
      </c>
      <c r="N620" s="2" t="s">
        <v>38</v>
      </c>
      <c r="O620" s="2" t="s">
        <v>38</v>
      </c>
      <c r="P620" s="2" t="s">
        <v>38</v>
      </c>
      <c r="Q620" s="2" t="s">
        <v>38</v>
      </c>
      <c r="R620" s="2" t="s">
        <v>38</v>
      </c>
      <c r="S620" s="2" t="s">
        <v>38</v>
      </c>
      <c r="T620" s="2" t="s">
        <v>39</v>
      </c>
      <c r="U620" s="2" t="s">
        <v>38</v>
      </c>
      <c r="V620" s="2" t="s">
        <v>39</v>
      </c>
      <c r="W620" s="2" t="s">
        <v>38</v>
      </c>
      <c r="X620" s="2" t="s">
        <v>39</v>
      </c>
      <c r="Y620" s="2" t="s">
        <v>38</v>
      </c>
      <c r="Z620" s="2" t="s">
        <v>38</v>
      </c>
      <c r="AA620" s="2" t="s">
        <v>38</v>
      </c>
      <c r="AB620" s="2" t="s">
        <v>38</v>
      </c>
      <c r="AC620" s="2" t="s">
        <v>38</v>
      </c>
      <c r="AD620" s="2" t="s">
        <v>38</v>
      </c>
      <c r="AE620" s="2" t="s">
        <v>39</v>
      </c>
    </row>
    <row r="621" spans="1:31" ht="409.5">
      <c r="A621" s="2">
        <v>2689826</v>
      </c>
      <c r="B621" s="2">
        <f>HYPERLINK("https://platform.v2.vetology.net/cases/2689826/screening-report/18?type=pdf&amp;v=v6&amp;scorecard=1&amp;secret_key=BX%25IJ%24%2F65ieZ%29f6", 2689826)</f>
        <v>2689826</v>
      </c>
      <c r="C621" s="2">
        <f>HYPERLINK("https://platform.v2.vetology.net/report/v/final/"&amp;2689826, 2689826)</f>
        <v>2689826</v>
      </c>
      <c r="D621" s="2" t="s">
        <v>1991</v>
      </c>
      <c r="E621" s="2" t="s">
        <v>1992</v>
      </c>
      <c r="F621" s="2" t="s">
        <v>1993</v>
      </c>
      <c r="G621" s="2" t="s">
        <v>58</v>
      </c>
      <c r="H621" s="2" t="s">
        <v>1994</v>
      </c>
      <c r="I621" s="2" t="s">
        <v>957</v>
      </c>
      <c r="J621" s="2" t="s">
        <v>66</v>
      </c>
      <c r="K621" s="2" t="s">
        <v>38</v>
      </c>
      <c r="L621" s="2" t="s">
        <v>38</v>
      </c>
      <c r="M621" s="2" t="s">
        <v>39</v>
      </c>
      <c r="N621" s="2" t="s">
        <v>38</v>
      </c>
      <c r="O621" s="2" t="s">
        <v>39</v>
      </c>
      <c r="P621" s="2" t="s">
        <v>39</v>
      </c>
      <c r="Q621" s="2" t="s">
        <v>38</v>
      </c>
      <c r="R621" s="2" t="s">
        <v>38</v>
      </c>
      <c r="S621" s="2" t="s">
        <v>38</v>
      </c>
      <c r="T621" s="2" t="s">
        <v>39</v>
      </c>
      <c r="U621" s="2" t="s">
        <v>38</v>
      </c>
      <c r="V621" s="2" t="s">
        <v>38</v>
      </c>
      <c r="W621" s="2" t="s">
        <v>38</v>
      </c>
      <c r="X621" s="2" t="s">
        <v>38</v>
      </c>
      <c r="Y621" s="2" t="s">
        <v>38</v>
      </c>
      <c r="Z621" s="2" t="s">
        <v>39</v>
      </c>
      <c r="AA621" s="2" t="s">
        <v>38</v>
      </c>
      <c r="AB621" s="2" t="s">
        <v>39</v>
      </c>
      <c r="AC621" s="2" t="s">
        <v>39</v>
      </c>
      <c r="AD621" s="2" t="s">
        <v>38</v>
      </c>
      <c r="AE621" s="2" t="s">
        <v>38</v>
      </c>
    </row>
    <row r="622" spans="1:31" ht="409.5">
      <c r="A622" s="2">
        <v>2689801</v>
      </c>
      <c r="B622" s="2">
        <f>HYPERLINK("https://platform.v2.vetology.net/cases/2689801/screening-report/18?type=pdf&amp;v=v6&amp;scorecard=1&amp;secret_key=BX%25IJ%24%2F65ieZ%29f6", 2689801)</f>
        <v>2689801</v>
      </c>
      <c r="C622" s="2">
        <f>HYPERLINK("https://platform.v2.vetology.net/report/v/final/"&amp;2689801, 2689801)</f>
        <v>2689801</v>
      </c>
      <c r="D622" s="2" t="s">
        <v>1995</v>
      </c>
      <c r="E622" s="2" t="s">
        <v>1996</v>
      </c>
      <c r="F622" s="2" t="s">
        <v>687</v>
      </c>
      <c r="G622" s="2" t="s">
        <v>150</v>
      </c>
      <c r="H622" s="2" t="s">
        <v>78</v>
      </c>
      <c r="I622" s="2" t="s">
        <v>44</v>
      </c>
      <c r="J622" s="2"/>
      <c r="K622" s="2" t="s">
        <v>38</v>
      </c>
      <c r="L622" s="2" t="s">
        <v>38</v>
      </c>
      <c r="M622" s="2" t="s">
        <v>38</v>
      </c>
      <c r="N622" s="2" t="s">
        <v>38</v>
      </c>
      <c r="O622" s="2" t="s">
        <v>38</v>
      </c>
      <c r="P622" s="2" t="s">
        <v>38</v>
      </c>
      <c r="Q622" s="2" t="s">
        <v>38</v>
      </c>
      <c r="R622" s="2" t="s">
        <v>38</v>
      </c>
      <c r="S622" s="2" t="s">
        <v>38</v>
      </c>
      <c r="T622" s="2" t="s">
        <v>38</v>
      </c>
      <c r="U622" s="2" t="s">
        <v>38</v>
      </c>
      <c r="V622" s="2" t="s">
        <v>38</v>
      </c>
      <c r="W622" s="2" t="s">
        <v>38</v>
      </c>
      <c r="X622" s="2" t="s">
        <v>38</v>
      </c>
      <c r="Y622" s="2" t="s">
        <v>38</v>
      </c>
      <c r="Z622" s="2" t="s">
        <v>38</v>
      </c>
      <c r="AA622" s="2" t="s">
        <v>38</v>
      </c>
      <c r="AB622" s="2" t="s">
        <v>38</v>
      </c>
      <c r="AC622" s="2" t="s">
        <v>39</v>
      </c>
      <c r="AD622" s="2" t="s">
        <v>38</v>
      </c>
      <c r="AE622" s="2" t="s">
        <v>38</v>
      </c>
    </row>
    <row r="623" spans="1:31" ht="409.5">
      <c r="A623" s="2">
        <v>2689752</v>
      </c>
      <c r="B623" s="2">
        <f>HYPERLINK("https://platform.v2.vetology.net/cases/2689752/screening-report/18?type=pdf&amp;v=v6&amp;scorecard=1&amp;secret_key=BX%25IJ%24%2F65ieZ%29f6", 2689752)</f>
        <v>2689752</v>
      </c>
      <c r="C623" s="2">
        <f>HYPERLINK("https://platform.v2.vetology.net/report/v/final/"&amp;2689752, 2689752)</f>
        <v>2689752</v>
      </c>
      <c r="D623" s="2" t="s">
        <v>1997</v>
      </c>
      <c r="E623" s="2" t="s">
        <v>1998</v>
      </c>
      <c r="F623" s="2" t="s">
        <v>1999</v>
      </c>
      <c r="G623" s="2" t="s">
        <v>135</v>
      </c>
      <c r="H623" s="2" t="s">
        <v>2000</v>
      </c>
      <c r="I623" s="2" t="s">
        <v>65</v>
      </c>
      <c r="J623" s="2" t="s">
        <v>66</v>
      </c>
      <c r="K623" s="2" t="s">
        <v>38</v>
      </c>
      <c r="L623" s="2" t="s">
        <v>38</v>
      </c>
      <c r="M623" s="2" t="s">
        <v>38</v>
      </c>
      <c r="N623" s="2" t="s">
        <v>39</v>
      </c>
      <c r="O623" s="2" t="s">
        <v>39</v>
      </c>
      <c r="P623" s="2" t="s">
        <v>39</v>
      </c>
      <c r="Q623" s="2" t="s">
        <v>38</v>
      </c>
      <c r="R623" s="2" t="s">
        <v>38</v>
      </c>
      <c r="S623" s="2" t="s">
        <v>39</v>
      </c>
      <c r="T623" s="2" t="s">
        <v>38</v>
      </c>
      <c r="U623" s="2" t="s">
        <v>39</v>
      </c>
      <c r="V623" s="2" t="s">
        <v>38</v>
      </c>
      <c r="W623" s="2" t="s">
        <v>38</v>
      </c>
      <c r="X623" s="2" t="s">
        <v>38</v>
      </c>
      <c r="Y623" s="2" t="s">
        <v>38</v>
      </c>
      <c r="Z623" s="2" t="s">
        <v>39</v>
      </c>
      <c r="AA623" s="2" t="s">
        <v>38</v>
      </c>
      <c r="AB623" s="2" t="s">
        <v>39</v>
      </c>
      <c r="AC623" s="2" t="s">
        <v>39</v>
      </c>
      <c r="AD623" s="2" t="s">
        <v>38</v>
      </c>
      <c r="AE623" s="2" t="s">
        <v>38</v>
      </c>
    </row>
    <row r="624" spans="1:31" ht="409.5">
      <c r="A624" s="2">
        <v>2689718</v>
      </c>
      <c r="B624" s="2">
        <f>HYPERLINK("https://platform.v2.vetology.net/cases/2689718/screening-report/18?type=pdf&amp;v=v6&amp;scorecard=1&amp;secret_key=BX%25IJ%24%2F65ieZ%29f6", 2689718)</f>
        <v>2689718</v>
      </c>
      <c r="C624" s="2">
        <f>HYPERLINK("https://platform.v2.vetology.net/report/v/final/"&amp;2689718, 2689718)</f>
        <v>2689718</v>
      </c>
      <c r="D624" s="2" t="s">
        <v>2001</v>
      </c>
      <c r="E624" s="2" t="s">
        <v>2002</v>
      </c>
      <c r="F624" s="2" t="s">
        <v>2003</v>
      </c>
      <c r="G624" s="2" t="s">
        <v>93</v>
      </c>
      <c r="H624" s="2" t="s">
        <v>2004</v>
      </c>
      <c r="I624" s="2" t="s">
        <v>346</v>
      </c>
      <c r="J624" s="2" t="s">
        <v>347</v>
      </c>
      <c r="K624" s="2" t="s">
        <v>38</v>
      </c>
      <c r="L624" s="2" t="s">
        <v>39</v>
      </c>
      <c r="M624" s="2" t="s">
        <v>39</v>
      </c>
      <c r="N624" s="2" t="s">
        <v>39</v>
      </c>
      <c r="O624" s="2" t="s">
        <v>39</v>
      </c>
      <c r="P624" s="2" t="s">
        <v>39</v>
      </c>
      <c r="Q624" s="2" t="s">
        <v>39</v>
      </c>
      <c r="R624" s="2" t="s">
        <v>38</v>
      </c>
      <c r="S624" s="2" t="s">
        <v>39</v>
      </c>
      <c r="T624" s="2" t="s">
        <v>39</v>
      </c>
      <c r="U624" s="2" t="s">
        <v>39</v>
      </c>
      <c r="V624" s="2" t="s">
        <v>39</v>
      </c>
      <c r="W624" s="2" t="s">
        <v>39</v>
      </c>
      <c r="X624" s="2" t="s">
        <v>39</v>
      </c>
      <c r="Y624" s="2" t="s">
        <v>39</v>
      </c>
      <c r="Z624" s="2" t="s">
        <v>39</v>
      </c>
      <c r="AA624" s="2" t="s">
        <v>38</v>
      </c>
      <c r="AB624" s="2" t="s">
        <v>39</v>
      </c>
      <c r="AC624" s="2" t="s">
        <v>39</v>
      </c>
      <c r="AD624" s="2" t="s">
        <v>39</v>
      </c>
      <c r="AE624" s="2" t="s">
        <v>38</v>
      </c>
    </row>
    <row r="625" spans="1:31" ht="409.5">
      <c r="A625" s="2">
        <v>2689717</v>
      </c>
      <c r="B625" s="2">
        <f>HYPERLINK("https://platform.v2.vetology.net/cases/2689717/screening-report/18?type=pdf&amp;v=v6&amp;scorecard=1&amp;secret_key=BX%25IJ%24%2F65ieZ%29f6", 2689717)</f>
        <v>2689717</v>
      </c>
      <c r="C625" s="2">
        <f>HYPERLINK("https://platform.v2.vetology.net/report/v/final/"&amp;2689717, 2689717)</f>
        <v>2689717</v>
      </c>
      <c r="D625" s="2" t="s">
        <v>2005</v>
      </c>
      <c r="E625" s="2" t="s">
        <v>2006</v>
      </c>
      <c r="F625" s="2" t="s">
        <v>2007</v>
      </c>
      <c r="G625" s="2" t="s">
        <v>93</v>
      </c>
      <c r="H625" s="2" t="s">
        <v>751</v>
      </c>
      <c r="I625" s="2" t="s">
        <v>227</v>
      </c>
      <c r="J625" s="2" t="s">
        <v>228</v>
      </c>
      <c r="K625" s="2" t="s">
        <v>38</v>
      </c>
      <c r="L625" s="2" t="s">
        <v>38</v>
      </c>
      <c r="M625" s="2" t="s">
        <v>39</v>
      </c>
      <c r="N625" s="2" t="s">
        <v>38</v>
      </c>
      <c r="O625" s="2" t="s">
        <v>39</v>
      </c>
      <c r="P625" s="2" t="s">
        <v>38</v>
      </c>
      <c r="Q625" s="2" t="s">
        <v>38</v>
      </c>
      <c r="R625" s="2" t="s">
        <v>38</v>
      </c>
      <c r="S625" s="2" t="s">
        <v>38</v>
      </c>
      <c r="T625" s="2" t="s">
        <v>38</v>
      </c>
      <c r="U625" s="2" t="s">
        <v>38</v>
      </c>
      <c r="V625" s="2" t="s">
        <v>38</v>
      </c>
      <c r="W625" s="2" t="s">
        <v>38</v>
      </c>
      <c r="X625" s="2" t="s">
        <v>39</v>
      </c>
      <c r="Y625" s="2" t="s">
        <v>38</v>
      </c>
      <c r="Z625" s="2" t="s">
        <v>38</v>
      </c>
      <c r="AA625" s="2" t="s">
        <v>38</v>
      </c>
      <c r="AB625" s="2" t="s">
        <v>38</v>
      </c>
      <c r="AC625" s="2" t="s">
        <v>39</v>
      </c>
      <c r="AD625" s="2" t="s">
        <v>38</v>
      </c>
      <c r="AE625" s="2" t="s">
        <v>38</v>
      </c>
    </row>
    <row r="626" spans="1:31" ht="409.5">
      <c r="A626" s="2">
        <v>2689677</v>
      </c>
      <c r="B626" s="2">
        <f>HYPERLINK("https://platform.v2.vetology.net/cases/2689677/screening-report/18?type=pdf&amp;v=v6&amp;scorecard=1&amp;secret_key=BX%25IJ%24%2F65ieZ%29f6", 2689677)</f>
        <v>2689677</v>
      </c>
      <c r="C626" s="2">
        <f>HYPERLINK("https://platform.v2.vetology.net/report/v/final/"&amp;2689677, 2689677)</f>
        <v>2689677</v>
      </c>
      <c r="D626" s="2" t="s">
        <v>2008</v>
      </c>
      <c r="E626" s="2" t="s">
        <v>2009</v>
      </c>
      <c r="F626" s="2" t="s">
        <v>2010</v>
      </c>
      <c r="G626" s="2" t="s">
        <v>58</v>
      </c>
      <c r="H626" s="2" t="s">
        <v>43</v>
      </c>
      <c r="I626" s="2" t="s">
        <v>44</v>
      </c>
      <c r="J626" s="2"/>
      <c r="K626" s="2" t="s">
        <v>38</v>
      </c>
      <c r="L626" s="2" t="s">
        <v>38</v>
      </c>
      <c r="M626" s="2" t="s">
        <v>38</v>
      </c>
      <c r="N626" s="2" t="s">
        <v>38</v>
      </c>
      <c r="O626" s="2" t="s">
        <v>38</v>
      </c>
      <c r="P626" s="2" t="s">
        <v>38</v>
      </c>
      <c r="Q626" s="2" t="s">
        <v>38</v>
      </c>
      <c r="R626" s="2" t="s">
        <v>38</v>
      </c>
      <c r="S626" s="2" t="s">
        <v>38</v>
      </c>
      <c r="T626" s="2" t="s">
        <v>38</v>
      </c>
      <c r="U626" s="2" t="s">
        <v>38</v>
      </c>
      <c r="V626" s="2" t="s">
        <v>38</v>
      </c>
      <c r="W626" s="2" t="s">
        <v>38</v>
      </c>
      <c r="X626" s="2" t="s">
        <v>38</v>
      </c>
      <c r="Y626" s="2" t="s">
        <v>38</v>
      </c>
      <c r="Z626" s="2" t="s">
        <v>38</v>
      </c>
      <c r="AA626" s="2" t="s">
        <v>38</v>
      </c>
      <c r="AB626" s="2" t="s">
        <v>38</v>
      </c>
      <c r="AC626" s="2" t="s">
        <v>38</v>
      </c>
      <c r="AD626" s="2" t="s">
        <v>38</v>
      </c>
      <c r="AE626" s="2" t="s">
        <v>38</v>
      </c>
    </row>
    <row r="627" spans="1:31" ht="409.5">
      <c r="A627" s="2">
        <v>2689462</v>
      </c>
      <c r="B627" s="2">
        <f>HYPERLINK("https://platform.v2.vetology.net/cases/2689462/screening-report/18?type=pdf&amp;v=v6&amp;scorecard=1&amp;secret_key=BX%25IJ%24%2F65ieZ%29f6", 2689462)</f>
        <v>2689462</v>
      </c>
      <c r="C627" s="2">
        <f>HYPERLINK("https://platform.v2.vetology.net/report/v/final/"&amp;2689462, 2689462)</f>
        <v>2689462</v>
      </c>
      <c r="D627" s="2" t="s">
        <v>2011</v>
      </c>
      <c r="E627" s="2" t="s">
        <v>2012</v>
      </c>
      <c r="F627" s="2" t="s">
        <v>81</v>
      </c>
      <c r="G627" s="2" t="s">
        <v>82</v>
      </c>
      <c r="H627" s="2" t="s">
        <v>2013</v>
      </c>
      <c r="I627" s="2" t="s">
        <v>36</v>
      </c>
      <c r="J627" s="2" t="s">
        <v>37</v>
      </c>
      <c r="K627" s="2" t="s">
        <v>38</v>
      </c>
      <c r="L627" s="2" t="s">
        <v>39</v>
      </c>
      <c r="M627" s="2" t="s">
        <v>39</v>
      </c>
      <c r="N627" s="2" t="s">
        <v>38</v>
      </c>
      <c r="O627" s="2" t="s">
        <v>38</v>
      </c>
      <c r="P627" s="2" t="s">
        <v>39</v>
      </c>
      <c r="Q627" s="2" t="s">
        <v>38</v>
      </c>
      <c r="R627" s="2" t="s">
        <v>38</v>
      </c>
      <c r="S627" s="2" t="s">
        <v>38</v>
      </c>
      <c r="T627" s="2" t="s">
        <v>39</v>
      </c>
      <c r="U627" s="2" t="s">
        <v>38</v>
      </c>
      <c r="V627" s="2" t="s">
        <v>39</v>
      </c>
      <c r="W627" s="2" t="s">
        <v>38</v>
      </c>
      <c r="X627" s="2" t="s">
        <v>39</v>
      </c>
      <c r="Y627" s="2" t="s">
        <v>38</v>
      </c>
      <c r="Z627" s="2" t="s">
        <v>38</v>
      </c>
      <c r="AA627" s="2" t="s">
        <v>38</v>
      </c>
      <c r="AB627" s="2" t="s">
        <v>39</v>
      </c>
      <c r="AC627" s="2" t="s">
        <v>38</v>
      </c>
      <c r="AD627" s="2" t="s">
        <v>38</v>
      </c>
      <c r="AE627" s="2" t="s">
        <v>38</v>
      </c>
    </row>
    <row r="628" spans="1:31" ht="409.5">
      <c r="A628" s="2">
        <v>2689423</v>
      </c>
      <c r="B628" s="2">
        <f>HYPERLINK("https://platform.v2.vetology.net/cases/2689423/screening-report/18?type=pdf&amp;v=v6&amp;scorecard=1&amp;secret_key=BX%25IJ%24%2F65ieZ%29f6", 2689423)</f>
        <v>2689423</v>
      </c>
      <c r="C628" s="2">
        <f>HYPERLINK("https://platform.v2.vetology.net/report/v/final/"&amp;2689423, 2689423)</f>
        <v>2689423</v>
      </c>
      <c r="D628" s="2" t="s">
        <v>2014</v>
      </c>
      <c r="E628" s="2" t="s">
        <v>2015</v>
      </c>
      <c r="F628" s="2" t="s">
        <v>2016</v>
      </c>
      <c r="G628" s="2" t="s">
        <v>93</v>
      </c>
      <c r="H628" s="2" t="s">
        <v>2017</v>
      </c>
      <c r="I628" s="2" t="s">
        <v>65</v>
      </c>
      <c r="J628" s="2" t="s">
        <v>66</v>
      </c>
      <c r="K628" s="2" t="s">
        <v>38</v>
      </c>
      <c r="L628" s="2" t="s">
        <v>39</v>
      </c>
      <c r="M628" s="2" t="s">
        <v>39</v>
      </c>
      <c r="N628" s="2" t="s">
        <v>39</v>
      </c>
      <c r="O628" s="2" t="s">
        <v>39</v>
      </c>
      <c r="P628" s="2" t="s">
        <v>39</v>
      </c>
      <c r="Q628" s="2" t="s">
        <v>38</v>
      </c>
      <c r="R628" s="2" t="s">
        <v>38</v>
      </c>
      <c r="S628" s="2" t="s">
        <v>39</v>
      </c>
      <c r="T628" s="2" t="s">
        <v>39</v>
      </c>
      <c r="U628" s="2" t="s">
        <v>38</v>
      </c>
      <c r="V628" s="2" t="s">
        <v>39</v>
      </c>
      <c r="W628" s="2" t="s">
        <v>38</v>
      </c>
      <c r="X628" s="2" t="s">
        <v>39</v>
      </c>
      <c r="Y628" s="2" t="s">
        <v>38</v>
      </c>
      <c r="Z628" s="2" t="s">
        <v>39</v>
      </c>
      <c r="AA628" s="2" t="s">
        <v>38</v>
      </c>
      <c r="AB628" s="2" t="s">
        <v>38</v>
      </c>
      <c r="AC628" s="2" t="s">
        <v>38</v>
      </c>
      <c r="AD628" s="2" t="s">
        <v>38</v>
      </c>
      <c r="AE628" s="2" t="s">
        <v>38</v>
      </c>
    </row>
    <row r="629" spans="1:31" ht="409.5">
      <c r="A629" s="2">
        <v>2689407</v>
      </c>
      <c r="B629" s="2">
        <f>HYPERLINK("https://platform.v2.vetology.net/cases/2689407/screening-report/18?type=pdf&amp;v=v6&amp;scorecard=1&amp;secret_key=BX%25IJ%24%2F65ieZ%29f6", 2689407)</f>
        <v>2689407</v>
      </c>
      <c r="C629" s="2">
        <f>HYPERLINK("https://platform.v2.vetology.net/report/v/final/"&amp;2689407, 2689407)</f>
        <v>2689407</v>
      </c>
      <c r="D629" s="2" t="s">
        <v>2018</v>
      </c>
      <c r="E629" s="2" t="s">
        <v>2019</v>
      </c>
      <c r="F629" s="2" t="s">
        <v>2020</v>
      </c>
      <c r="G629" s="2" t="s">
        <v>93</v>
      </c>
      <c r="H629" s="2" t="s">
        <v>54</v>
      </c>
      <c r="I629" s="2" t="s">
        <v>44</v>
      </c>
      <c r="J629" s="2"/>
      <c r="K629" s="2" t="s">
        <v>38</v>
      </c>
      <c r="L629" s="2" t="s">
        <v>39</v>
      </c>
      <c r="M629" s="2" t="s">
        <v>38</v>
      </c>
      <c r="N629" s="2" t="s">
        <v>38</v>
      </c>
      <c r="O629" s="2" t="s">
        <v>38</v>
      </c>
      <c r="P629" s="2" t="s">
        <v>38</v>
      </c>
      <c r="Q629" s="2" t="s">
        <v>38</v>
      </c>
      <c r="R629" s="2" t="s">
        <v>38</v>
      </c>
      <c r="S629" s="2" t="s">
        <v>38</v>
      </c>
      <c r="T629" s="2" t="s">
        <v>38</v>
      </c>
      <c r="U629" s="2" t="s">
        <v>38</v>
      </c>
      <c r="V629" s="2" t="s">
        <v>38</v>
      </c>
      <c r="W629" s="2" t="s">
        <v>38</v>
      </c>
      <c r="X629" s="2" t="s">
        <v>38</v>
      </c>
      <c r="Y629" s="2" t="s">
        <v>38</v>
      </c>
      <c r="Z629" s="2" t="s">
        <v>38</v>
      </c>
      <c r="AA629" s="2" t="s">
        <v>38</v>
      </c>
      <c r="AB629" s="2" t="s">
        <v>38</v>
      </c>
      <c r="AC629" s="2" t="s">
        <v>38</v>
      </c>
      <c r="AD629" s="2" t="s">
        <v>38</v>
      </c>
      <c r="AE629" s="2" t="s">
        <v>38</v>
      </c>
    </row>
    <row r="630" spans="1:31" ht="409.5">
      <c r="A630" s="2">
        <v>2689364</v>
      </c>
      <c r="B630" s="2">
        <f>HYPERLINK("https://platform.v2.vetology.net/cases/2689364/screening-report/18?type=pdf&amp;v=v6&amp;scorecard=1&amp;secret_key=BX%25IJ%24%2F65ieZ%29f6", 2689364)</f>
        <v>2689364</v>
      </c>
      <c r="C630" s="2">
        <f>HYPERLINK("https://platform.v2.vetology.net/report/v/final/"&amp;2689364, 2689364)</f>
        <v>2689364</v>
      </c>
      <c r="D630" s="2" t="s">
        <v>2021</v>
      </c>
      <c r="E630" s="2" t="s">
        <v>2022</v>
      </c>
      <c r="F630" s="2" t="s">
        <v>81</v>
      </c>
      <c r="G630" s="2" t="s">
        <v>82</v>
      </c>
      <c r="H630" s="2" t="s">
        <v>78</v>
      </c>
      <c r="I630" s="2" t="s">
        <v>44</v>
      </c>
      <c r="J630" s="2"/>
      <c r="K630" s="2" t="s">
        <v>38</v>
      </c>
      <c r="L630" s="2" t="s">
        <v>39</v>
      </c>
      <c r="M630" s="2" t="s">
        <v>38</v>
      </c>
      <c r="N630" s="2" t="s">
        <v>38</v>
      </c>
      <c r="O630" s="2" t="s">
        <v>38</v>
      </c>
      <c r="P630" s="2" t="s">
        <v>38</v>
      </c>
      <c r="Q630" s="2" t="s">
        <v>38</v>
      </c>
      <c r="R630" s="2" t="s">
        <v>38</v>
      </c>
      <c r="S630" s="2" t="s">
        <v>38</v>
      </c>
      <c r="T630" s="2" t="s">
        <v>38</v>
      </c>
      <c r="U630" s="2" t="s">
        <v>38</v>
      </c>
      <c r="V630" s="2" t="s">
        <v>38</v>
      </c>
      <c r="W630" s="2" t="s">
        <v>38</v>
      </c>
      <c r="X630" s="2" t="s">
        <v>38</v>
      </c>
      <c r="Y630" s="2" t="s">
        <v>38</v>
      </c>
      <c r="Z630" s="2" t="s">
        <v>38</v>
      </c>
      <c r="AA630" s="2" t="s">
        <v>38</v>
      </c>
      <c r="AB630" s="2" t="s">
        <v>39</v>
      </c>
      <c r="AC630" s="2" t="s">
        <v>38</v>
      </c>
      <c r="AD630" s="2" t="s">
        <v>38</v>
      </c>
      <c r="AE630" s="2" t="s">
        <v>38</v>
      </c>
    </row>
    <row r="631" spans="1:31" ht="409.5">
      <c r="A631" s="2">
        <v>2689305</v>
      </c>
      <c r="B631" s="2">
        <f>HYPERLINK("https://platform.v2.vetology.net/cases/2689305/screening-report/18?type=pdf&amp;v=v6&amp;scorecard=1&amp;secret_key=BX%25IJ%24%2F65ieZ%29f6", 2689305)</f>
        <v>2689305</v>
      </c>
      <c r="C631" s="2">
        <f>HYPERLINK("https://platform.v2.vetology.net/report/v/final/"&amp;2689305, 2689305)</f>
        <v>2689305</v>
      </c>
      <c r="D631" s="2" t="s">
        <v>2023</v>
      </c>
      <c r="E631" s="2" t="s">
        <v>2024</v>
      </c>
      <c r="F631" s="2" t="s">
        <v>2025</v>
      </c>
      <c r="G631" s="2" t="s">
        <v>63</v>
      </c>
      <c r="H631" s="2" t="s">
        <v>71</v>
      </c>
      <c r="I631" s="2" t="s">
        <v>44</v>
      </c>
      <c r="J631" s="2"/>
      <c r="K631" s="2" t="s">
        <v>38</v>
      </c>
      <c r="L631" s="2" t="s">
        <v>38</v>
      </c>
      <c r="M631" s="2" t="s">
        <v>38</v>
      </c>
      <c r="N631" s="2" t="s">
        <v>38</v>
      </c>
      <c r="O631" s="2" t="s">
        <v>38</v>
      </c>
      <c r="P631" s="2" t="s">
        <v>38</v>
      </c>
      <c r="Q631" s="2" t="s">
        <v>38</v>
      </c>
      <c r="R631" s="2" t="s">
        <v>38</v>
      </c>
      <c r="S631" s="2" t="s">
        <v>38</v>
      </c>
      <c r="T631" s="2" t="s">
        <v>38</v>
      </c>
      <c r="U631" s="2" t="s">
        <v>38</v>
      </c>
      <c r="V631" s="2" t="s">
        <v>38</v>
      </c>
      <c r="W631" s="2" t="s">
        <v>38</v>
      </c>
      <c r="X631" s="2" t="s">
        <v>38</v>
      </c>
      <c r="Y631" s="2" t="s">
        <v>38</v>
      </c>
      <c r="Z631" s="2" t="s">
        <v>38</v>
      </c>
      <c r="AA631" s="2" t="s">
        <v>38</v>
      </c>
      <c r="AB631" s="2" t="s">
        <v>38</v>
      </c>
      <c r="AC631" s="2" t="s">
        <v>38</v>
      </c>
      <c r="AD631" s="2" t="s">
        <v>38</v>
      </c>
      <c r="AE631" s="2" t="s">
        <v>38</v>
      </c>
    </row>
    <row r="632" spans="1:31" ht="409.5">
      <c r="A632" s="2">
        <v>2689253</v>
      </c>
      <c r="B632" s="2">
        <f>HYPERLINK("https://platform.v2.vetology.net/cases/2689253/screening-report/18?type=pdf&amp;v=v6&amp;scorecard=1&amp;secret_key=BX%25IJ%24%2F65ieZ%29f6", 2689253)</f>
        <v>2689253</v>
      </c>
      <c r="C632" s="2">
        <f>HYPERLINK("https://platform.v2.vetology.net/report/v/final/"&amp;2689253, 2689253)</f>
        <v>2689253</v>
      </c>
      <c r="D632" s="2" t="s">
        <v>2026</v>
      </c>
      <c r="E632" s="2" t="s">
        <v>2027</v>
      </c>
      <c r="F632" s="2" t="s">
        <v>2028</v>
      </c>
      <c r="G632" s="2" t="s">
        <v>58</v>
      </c>
      <c r="H632" s="2" t="s">
        <v>2029</v>
      </c>
      <c r="I632" s="2" t="s">
        <v>214</v>
      </c>
      <c r="J632" s="2" t="s">
        <v>50</v>
      </c>
      <c r="K632" s="2" t="s">
        <v>38</v>
      </c>
      <c r="L632" s="2" t="s">
        <v>39</v>
      </c>
      <c r="M632" s="2" t="s">
        <v>38</v>
      </c>
      <c r="N632" s="2" t="s">
        <v>38</v>
      </c>
      <c r="O632" s="2" t="s">
        <v>39</v>
      </c>
      <c r="P632" s="2" t="s">
        <v>38</v>
      </c>
      <c r="Q632" s="2" t="s">
        <v>38</v>
      </c>
      <c r="R632" s="2" t="s">
        <v>38</v>
      </c>
      <c r="S632" s="2" t="s">
        <v>38</v>
      </c>
      <c r="T632" s="2" t="s">
        <v>38</v>
      </c>
      <c r="U632" s="2" t="s">
        <v>39</v>
      </c>
      <c r="V632" s="2" t="s">
        <v>38</v>
      </c>
      <c r="W632" s="2" t="s">
        <v>38</v>
      </c>
      <c r="X632" s="2" t="s">
        <v>38</v>
      </c>
      <c r="Y632" s="2" t="s">
        <v>38</v>
      </c>
      <c r="Z632" s="2" t="s">
        <v>39</v>
      </c>
      <c r="AA632" s="2" t="s">
        <v>38</v>
      </c>
      <c r="AB632" s="2" t="s">
        <v>39</v>
      </c>
      <c r="AC632" s="2" t="s">
        <v>38</v>
      </c>
      <c r="AD632" s="2" t="s">
        <v>38</v>
      </c>
      <c r="AE632" s="2" t="s">
        <v>39</v>
      </c>
    </row>
    <row r="633" spans="1:31" ht="409.5">
      <c r="A633" s="2">
        <v>2688978</v>
      </c>
      <c r="B633" s="2">
        <f>HYPERLINK("https://platform.v2.vetology.net/cases/2688978/screening-report/18?type=pdf&amp;v=v6&amp;scorecard=1&amp;secret_key=BX%25IJ%24%2F65ieZ%29f6", 2688978)</f>
        <v>2688978</v>
      </c>
      <c r="C633" s="2">
        <f>HYPERLINK("https://platform.v2.vetology.net/report/v/final/"&amp;2688978, 2688978)</f>
        <v>2688978</v>
      </c>
      <c r="D633" s="2" t="s">
        <v>2030</v>
      </c>
      <c r="E633" s="2" t="s">
        <v>2031</v>
      </c>
      <c r="F633" s="2" t="s">
        <v>2032</v>
      </c>
      <c r="G633" s="2" t="s">
        <v>63</v>
      </c>
      <c r="H633" s="2" t="s">
        <v>157</v>
      </c>
      <c r="I633" s="2" t="s">
        <v>158</v>
      </c>
      <c r="J633" s="2" t="s">
        <v>50</v>
      </c>
      <c r="K633" s="2" t="s">
        <v>38</v>
      </c>
      <c r="L633" s="2" t="s">
        <v>39</v>
      </c>
      <c r="M633" s="2" t="s">
        <v>39</v>
      </c>
      <c r="N633" s="2" t="s">
        <v>38</v>
      </c>
      <c r="O633" s="2" t="s">
        <v>38</v>
      </c>
      <c r="P633" s="2" t="s">
        <v>38</v>
      </c>
      <c r="Q633" s="2" t="s">
        <v>39</v>
      </c>
      <c r="R633" s="2" t="s">
        <v>38</v>
      </c>
      <c r="S633" s="2" t="s">
        <v>38</v>
      </c>
      <c r="T633" s="2" t="s">
        <v>38</v>
      </c>
      <c r="U633" s="2" t="s">
        <v>38</v>
      </c>
      <c r="V633" s="2" t="s">
        <v>38</v>
      </c>
      <c r="W633" s="2" t="s">
        <v>38</v>
      </c>
      <c r="X633" s="2" t="s">
        <v>38</v>
      </c>
      <c r="Y633" s="2" t="s">
        <v>38</v>
      </c>
      <c r="Z633" s="2" t="s">
        <v>38</v>
      </c>
      <c r="AA633" s="2" t="s">
        <v>38</v>
      </c>
      <c r="AB633" s="2" t="s">
        <v>38</v>
      </c>
      <c r="AC633" s="2" t="s">
        <v>38</v>
      </c>
      <c r="AD633" s="2" t="s">
        <v>38</v>
      </c>
      <c r="AE633" s="2" t="s">
        <v>38</v>
      </c>
    </row>
    <row r="634" spans="1:31" ht="409.5">
      <c r="A634" s="2">
        <v>2688910</v>
      </c>
      <c r="B634" s="2">
        <f>HYPERLINK("https://platform.v2.vetology.net/cases/2688910/screening-report/18?type=pdf&amp;v=v6&amp;scorecard=1&amp;secret_key=BX%25IJ%24%2F65ieZ%29f6", 2688910)</f>
        <v>2688910</v>
      </c>
      <c r="C634" s="2">
        <f>HYPERLINK("https://platform.v2.vetology.net/report/v/final/"&amp;2688910, 2688910)</f>
        <v>2688910</v>
      </c>
      <c r="D634" s="2" t="s">
        <v>2033</v>
      </c>
      <c r="E634" s="2" t="s">
        <v>2034</v>
      </c>
      <c r="F634" s="2" t="s">
        <v>2035</v>
      </c>
      <c r="G634" s="2" t="s">
        <v>150</v>
      </c>
      <c r="H634" s="2" t="s">
        <v>2036</v>
      </c>
      <c r="I634" s="2" t="s">
        <v>393</v>
      </c>
      <c r="J634" s="2" t="s">
        <v>347</v>
      </c>
      <c r="K634" s="2" t="s">
        <v>38</v>
      </c>
      <c r="L634" s="2" t="s">
        <v>39</v>
      </c>
      <c r="M634" s="2" t="s">
        <v>38</v>
      </c>
      <c r="N634" s="2" t="s">
        <v>38</v>
      </c>
      <c r="O634" s="2" t="s">
        <v>39</v>
      </c>
      <c r="P634" s="2" t="s">
        <v>39</v>
      </c>
      <c r="Q634" s="2" t="s">
        <v>38</v>
      </c>
      <c r="R634" s="2" t="s">
        <v>38</v>
      </c>
      <c r="S634" s="2" t="s">
        <v>38</v>
      </c>
      <c r="T634" s="2" t="s">
        <v>39</v>
      </c>
      <c r="U634" s="2" t="s">
        <v>38</v>
      </c>
      <c r="V634" s="2" t="s">
        <v>39</v>
      </c>
      <c r="W634" s="2" t="s">
        <v>38</v>
      </c>
      <c r="X634" s="2" t="s">
        <v>39</v>
      </c>
      <c r="Y634" s="2" t="s">
        <v>38</v>
      </c>
      <c r="Z634" s="2" t="s">
        <v>38</v>
      </c>
      <c r="AA634" s="2" t="s">
        <v>38</v>
      </c>
      <c r="AB634" s="2" t="s">
        <v>39</v>
      </c>
      <c r="AC634" s="2" t="s">
        <v>39</v>
      </c>
      <c r="AD634" s="2" t="s">
        <v>38</v>
      </c>
      <c r="AE634" s="2" t="s">
        <v>38</v>
      </c>
    </row>
    <row r="635" spans="1:31" ht="409.5">
      <c r="A635" s="2">
        <v>2688866</v>
      </c>
      <c r="B635" s="2">
        <f>HYPERLINK("https://platform.v2.vetology.net/cases/2688866/screening-report/18?type=pdf&amp;v=v6&amp;scorecard=1&amp;secret_key=BX%25IJ%24%2F65ieZ%29f6", 2688866)</f>
        <v>2688866</v>
      </c>
      <c r="C635" s="2">
        <f>HYPERLINK("https://platform.v2.vetology.net/report/v/final/"&amp;2688866, 2688866)</f>
        <v>2688866</v>
      </c>
      <c r="D635" s="2" t="s">
        <v>2037</v>
      </c>
      <c r="E635" s="2" t="s">
        <v>2012</v>
      </c>
      <c r="F635" s="2" t="s">
        <v>81</v>
      </c>
      <c r="G635" s="2" t="s">
        <v>82</v>
      </c>
      <c r="H635" s="2" t="s">
        <v>78</v>
      </c>
      <c r="I635" s="2" t="s">
        <v>44</v>
      </c>
      <c r="J635" s="2"/>
      <c r="K635" s="2" t="s">
        <v>38</v>
      </c>
      <c r="L635" s="2" t="s">
        <v>39</v>
      </c>
      <c r="M635" s="2" t="s">
        <v>39</v>
      </c>
      <c r="N635" s="2" t="s">
        <v>38</v>
      </c>
      <c r="O635" s="2" t="s">
        <v>38</v>
      </c>
      <c r="P635" s="2" t="s">
        <v>39</v>
      </c>
      <c r="Q635" s="2" t="s">
        <v>38</v>
      </c>
      <c r="R635" s="2" t="s">
        <v>38</v>
      </c>
      <c r="S635" s="2" t="s">
        <v>38</v>
      </c>
      <c r="T635" s="2" t="s">
        <v>38</v>
      </c>
      <c r="U635" s="2" t="s">
        <v>38</v>
      </c>
      <c r="V635" s="2" t="s">
        <v>38</v>
      </c>
      <c r="W635" s="2" t="s">
        <v>38</v>
      </c>
      <c r="X635" s="2" t="s">
        <v>38</v>
      </c>
      <c r="Y635" s="2" t="s">
        <v>38</v>
      </c>
      <c r="Z635" s="2" t="s">
        <v>38</v>
      </c>
      <c r="AA635" s="2" t="s">
        <v>38</v>
      </c>
      <c r="AB635" s="2" t="s">
        <v>39</v>
      </c>
      <c r="AC635" s="2" t="s">
        <v>38</v>
      </c>
      <c r="AD635" s="2" t="s">
        <v>38</v>
      </c>
      <c r="AE635" s="2" t="s">
        <v>38</v>
      </c>
    </row>
    <row r="636" spans="1:31" ht="409.5">
      <c r="A636" s="2">
        <v>2688778</v>
      </c>
      <c r="B636" s="2">
        <f>HYPERLINK("https://platform.v2.vetology.net/cases/2688778/screening-report/18?type=pdf&amp;v=v6&amp;scorecard=1&amp;secret_key=BX%25IJ%24%2F65ieZ%29f6", 2688778)</f>
        <v>2688778</v>
      </c>
      <c r="C636" s="2">
        <f>HYPERLINK("https://platform.v2.vetology.net/report/v/final/"&amp;2688778, 2688778)</f>
        <v>2688778</v>
      </c>
      <c r="D636" s="2" t="s">
        <v>2038</v>
      </c>
      <c r="E636" s="2" t="s">
        <v>2039</v>
      </c>
      <c r="F636" s="2" t="s">
        <v>81</v>
      </c>
      <c r="G636" s="2" t="s">
        <v>82</v>
      </c>
      <c r="H636" s="2" t="s">
        <v>1754</v>
      </c>
      <c r="I636" s="2" t="s">
        <v>988</v>
      </c>
      <c r="J636" s="2" t="s">
        <v>989</v>
      </c>
      <c r="K636" s="2" t="s">
        <v>39</v>
      </c>
      <c r="L636" s="2" t="s">
        <v>39</v>
      </c>
      <c r="M636" s="2" t="s">
        <v>39</v>
      </c>
      <c r="N636" s="2" t="s">
        <v>39</v>
      </c>
      <c r="O636" s="2" t="s">
        <v>39</v>
      </c>
      <c r="P636" s="2" t="s">
        <v>39</v>
      </c>
      <c r="Q636" s="2" t="s">
        <v>39</v>
      </c>
      <c r="R636" s="2" t="s">
        <v>39</v>
      </c>
      <c r="S636" s="2" t="s">
        <v>39</v>
      </c>
      <c r="T636" s="2" t="s">
        <v>39</v>
      </c>
      <c r="U636" s="2" t="s">
        <v>39</v>
      </c>
      <c r="V636" s="2" t="s">
        <v>39</v>
      </c>
      <c r="W636" s="2" t="s">
        <v>39</v>
      </c>
      <c r="X636" s="2" t="s">
        <v>39</v>
      </c>
      <c r="Y636" s="2" t="s">
        <v>39</v>
      </c>
      <c r="Z636" s="2" t="s">
        <v>39</v>
      </c>
      <c r="AA636" s="2" t="s">
        <v>39</v>
      </c>
      <c r="AB636" s="2" t="s">
        <v>39</v>
      </c>
      <c r="AC636" s="2" t="s">
        <v>39</v>
      </c>
      <c r="AD636" s="2" t="s">
        <v>39</v>
      </c>
      <c r="AE636" s="2" t="s">
        <v>39</v>
      </c>
    </row>
    <row r="637" spans="1:31" ht="409.5">
      <c r="A637" s="2">
        <v>2688774</v>
      </c>
      <c r="B637" s="2">
        <f>HYPERLINK("https://platform.v2.vetology.net/cases/2688774/screening-report/18?type=pdf&amp;v=v6&amp;scorecard=1&amp;secret_key=BX%25IJ%24%2F65ieZ%29f6", 2688774)</f>
        <v>2688774</v>
      </c>
      <c r="C637" s="2">
        <f>HYPERLINK("https://platform.v2.vetology.net/report/v/final/"&amp;2688774, 2688774)</f>
        <v>2688774</v>
      </c>
      <c r="D637" s="2" t="s">
        <v>2040</v>
      </c>
      <c r="E637" s="2" t="s">
        <v>2041</v>
      </c>
      <c r="F637" s="2" t="s">
        <v>2042</v>
      </c>
      <c r="G637" s="2" t="s">
        <v>575</v>
      </c>
      <c r="H637" s="2" t="s">
        <v>54</v>
      </c>
      <c r="I637" s="2" t="s">
        <v>44</v>
      </c>
      <c r="J637" s="2"/>
      <c r="K637" s="2" t="s">
        <v>38</v>
      </c>
      <c r="L637" s="2" t="s">
        <v>38</v>
      </c>
      <c r="M637" s="2" t="s">
        <v>39</v>
      </c>
      <c r="N637" s="2" t="s">
        <v>38</v>
      </c>
      <c r="O637" s="2" t="s">
        <v>38</v>
      </c>
      <c r="P637" s="2" t="s">
        <v>38</v>
      </c>
      <c r="Q637" s="2" t="s">
        <v>38</v>
      </c>
      <c r="R637" s="2" t="s">
        <v>38</v>
      </c>
      <c r="S637" s="2" t="s">
        <v>38</v>
      </c>
      <c r="T637" s="2" t="s">
        <v>38</v>
      </c>
      <c r="U637" s="2" t="s">
        <v>38</v>
      </c>
      <c r="V637" s="2" t="s">
        <v>38</v>
      </c>
      <c r="W637" s="2" t="s">
        <v>38</v>
      </c>
      <c r="X637" s="2" t="s">
        <v>38</v>
      </c>
      <c r="Y637" s="2" t="s">
        <v>38</v>
      </c>
      <c r="Z637" s="2" t="s">
        <v>38</v>
      </c>
      <c r="AA637" s="2" t="s">
        <v>38</v>
      </c>
      <c r="AB637" s="2" t="s">
        <v>38</v>
      </c>
      <c r="AC637" s="2" t="s">
        <v>38</v>
      </c>
      <c r="AD637" s="2" t="s">
        <v>38</v>
      </c>
      <c r="AE637" s="2" t="s">
        <v>38</v>
      </c>
    </row>
    <row r="638" spans="1:31" ht="409.5">
      <c r="A638" s="2">
        <v>2688527</v>
      </c>
      <c r="B638" s="2">
        <f>HYPERLINK("https://platform.v2.vetology.net/cases/2688527/screening-report/18?type=pdf&amp;v=v6&amp;scorecard=1&amp;secret_key=BX%25IJ%24%2F65ieZ%29f6", 2688527)</f>
        <v>2688527</v>
      </c>
      <c r="C638" s="2">
        <f>HYPERLINK("https://platform.v2.vetology.net/report/v/final/"&amp;2688527, 2688527)</f>
        <v>2688527</v>
      </c>
      <c r="D638" s="2" t="s">
        <v>2043</v>
      </c>
      <c r="E638" s="2" t="s">
        <v>2044</v>
      </c>
      <c r="F638" s="2" t="s">
        <v>2045</v>
      </c>
      <c r="G638" s="2" t="s">
        <v>58</v>
      </c>
      <c r="H638" s="2" t="s">
        <v>1166</v>
      </c>
      <c r="I638" s="2" t="s">
        <v>1167</v>
      </c>
      <c r="J638" s="2" t="s">
        <v>1168</v>
      </c>
      <c r="K638" s="2" t="s">
        <v>38</v>
      </c>
      <c r="L638" s="2" t="s">
        <v>39</v>
      </c>
      <c r="M638" s="2" t="s">
        <v>39</v>
      </c>
      <c r="N638" s="2" t="s">
        <v>38</v>
      </c>
      <c r="O638" s="2" t="s">
        <v>39</v>
      </c>
      <c r="P638" s="2" t="s">
        <v>39</v>
      </c>
      <c r="Q638" s="2" t="s">
        <v>38</v>
      </c>
      <c r="R638" s="2" t="s">
        <v>38</v>
      </c>
      <c r="S638" s="2" t="s">
        <v>39</v>
      </c>
      <c r="T638" s="2" t="s">
        <v>39</v>
      </c>
      <c r="U638" s="2" t="s">
        <v>39</v>
      </c>
      <c r="V638" s="2" t="s">
        <v>39</v>
      </c>
      <c r="W638" s="2" t="s">
        <v>38</v>
      </c>
      <c r="X638" s="2" t="s">
        <v>39</v>
      </c>
      <c r="Y638" s="2" t="s">
        <v>38</v>
      </c>
      <c r="Z638" s="2" t="s">
        <v>39</v>
      </c>
      <c r="AA638" s="2" t="s">
        <v>38</v>
      </c>
      <c r="AB638" s="2" t="s">
        <v>39</v>
      </c>
      <c r="AC638" s="2" t="s">
        <v>39</v>
      </c>
      <c r="AD638" s="2" t="s">
        <v>38</v>
      </c>
      <c r="AE638" s="2" t="s">
        <v>39</v>
      </c>
    </row>
    <row r="639" spans="1:31" ht="409.5">
      <c r="A639" s="2">
        <v>2688500</v>
      </c>
      <c r="B639" s="2">
        <f>HYPERLINK("https://platform.v2.vetology.net/cases/2688500/screening-report/18?type=pdf&amp;v=v6&amp;scorecard=1&amp;secret_key=BX%25IJ%24%2F65ieZ%29f6", 2688500)</f>
        <v>2688500</v>
      </c>
      <c r="C639" s="2">
        <f>HYPERLINK("https://platform.v2.vetology.net/report/v/final/"&amp;2688500, 2688500)</f>
        <v>2688500</v>
      </c>
      <c r="D639" s="2" t="s">
        <v>2046</v>
      </c>
      <c r="E639" s="2" t="s">
        <v>2047</v>
      </c>
      <c r="F639" s="2" t="s">
        <v>81</v>
      </c>
      <c r="G639" s="2" t="s">
        <v>82</v>
      </c>
      <c r="H639" s="2" t="s">
        <v>2048</v>
      </c>
      <c r="I639" s="2" t="s">
        <v>841</v>
      </c>
      <c r="J639" s="2" t="s">
        <v>518</v>
      </c>
      <c r="K639" s="2" t="s">
        <v>38</v>
      </c>
      <c r="L639" s="2" t="s">
        <v>38</v>
      </c>
      <c r="M639" s="2" t="s">
        <v>38</v>
      </c>
      <c r="N639" s="2" t="s">
        <v>38</v>
      </c>
      <c r="O639" s="2" t="s">
        <v>38</v>
      </c>
      <c r="P639" s="2" t="s">
        <v>38</v>
      </c>
      <c r="Q639" s="2" t="s">
        <v>38</v>
      </c>
      <c r="R639" s="2" t="s">
        <v>38</v>
      </c>
      <c r="S639" s="2" t="s">
        <v>38</v>
      </c>
      <c r="T639" s="2" t="s">
        <v>38</v>
      </c>
      <c r="U639" s="2" t="s">
        <v>38</v>
      </c>
      <c r="V639" s="2" t="s">
        <v>38</v>
      </c>
      <c r="W639" s="2" t="s">
        <v>38</v>
      </c>
      <c r="X639" s="2" t="s">
        <v>38</v>
      </c>
      <c r="Y639" s="2" t="s">
        <v>38</v>
      </c>
      <c r="Z639" s="2" t="s">
        <v>38</v>
      </c>
      <c r="AA639" s="2" t="s">
        <v>38</v>
      </c>
      <c r="AB639" s="2" t="s">
        <v>38</v>
      </c>
      <c r="AC639" s="2" t="s">
        <v>39</v>
      </c>
      <c r="AD639" s="2" t="s">
        <v>38</v>
      </c>
      <c r="AE639" s="2" t="s">
        <v>39</v>
      </c>
    </row>
    <row r="640" spans="1:31" ht="409.5">
      <c r="A640" s="2">
        <v>2688467</v>
      </c>
      <c r="B640" s="2">
        <f>HYPERLINK("https://platform.v2.vetology.net/cases/2688467/screening-report/18?type=pdf&amp;v=v6&amp;scorecard=1&amp;secret_key=BX%25IJ%24%2F65ieZ%29f6", 2688467)</f>
        <v>2688467</v>
      </c>
      <c r="C640" s="2">
        <f>HYPERLINK("https://platform.v2.vetology.net/report/v/final/"&amp;2688467, 2688467)</f>
        <v>2688467</v>
      </c>
      <c r="D640" s="2" t="s">
        <v>2049</v>
      </c>
      <c r="E640" s="2" t="s">
        <v>850</v>
      </c>
      <c r="F640" s="2"/>
      <c r="G640" s="2" t="s">
        <v>150</v>
      </c>
      <c r="H640" s="2" t="s">
        <v>2050</v>
      </c>
      <c r="I640" s="2" t="s">
        <v>270</v>
      </c>
      <c r="J640" s="2" t="s">
        <v>66</v>
      </c>
      <c r="K640" s="2" t="s">
        <v>38</v>
      </c>
      <c r="L640" s="2" t="s">
        <v>38</v>
      </c>
      <c r="M640" s="2" t="s">
        <v>38</v>
      </c>
      <c r="N640" s="2" t="s">
        <v>38</v>
      </c>
      <c r="O640" s="2" t="s">
        <v>39</v>
      </c>
      <c r="P640" s="2" t="s">
        <v>39</v>
      </c>
      <c r="Q640" s="2" t="s">
        <v>38</v>
      </c>
      <c r="R640" s="2" t="s">
        <v>38</v>
      </c>
      <c r="S640" s="2" t="s">
        <v>38</v>
      </c>
      <c r="T640" s="2" t="s">
        <v>38</v>
      </c>
      <c r="U640" s="2" t="s">
        <v>38</v>
      </c>
      <c r="V640" s="2" t="s">
        <v>38</v>
      </c>
      <c r="W640" s="2" t="s">
        <v>38</v>
      </c>
      <c r="X640" s="2" t="s">
        <v>38</v>
      </c>
      <c r="Y640" s="2" t="s">
        <v>38</v>
      </c>
      <c r="Z640" s="2" t="s">
        <v>38</v>
      </c>
      <c r="AA640" s="2" t="s">
        <v>38</v>
      </c>
      <c r="AB640" s="2" t="s">
        <v>38</v>
      </c>
      <c r="AC640" s="2" t="s">
        <v>39</v>
      </c>
      <c r="AD640" s="2" t="s">
        <v>38</v>
      </c>
      <c r="AE640" s="2" t="s">
        <v>38</v>
      </c>
    </row>
    <row r="641" spans="1:31" ht="409.5">
      <c r="A641" s="2">
        <v>2688279</v>
      </c>
      <c r="B641" s="2">
        <f>HYPERLINK("https://platform.v2.vetology.net/cases/2688279/screening-report/18?type=pdf&amp;v=v6&amp;scorecard=1&amp;secret_key=BX%25IJ%24%2F65ieZ%29f6", 2688279)</f>
        <v>2688279</v>
      </c>
      <c r="C641" s="2">
        <f>HYPERLINK("https://platform.v2.vetology.net/report/v/final/"&amp;2688279, 2688279)</f>
        <v>2688279</v>
      </c>
      <c r="D641" s="2" t="s">
        <v>2051</v>
      </c>
      <c r="E641" s="2" t="s">
        <v>2052</v>
      </c>
      <c r="F641" s="2" t="s">
        <v>2053</v>
      </c>
      <c r="G641" s="2" t="s">
        <v>63</v>
      </c>
      <c r="H641" s="2" t="s">
        <v>78</v>
      </c>
      <c r="I641" s="2" t="s">
        <v>199</v>
      </c>
      <c r="J641" s="2"/>
      <c r="K641" s="2" t="s">
        <v>38</v>
      </c>
      <c r="L641" s="2" t="s">
        <v>38</v>
      </c>
      <c r="M641" s="2" t="s">
        <v>38</v>
      </c>
      <c r="N641" s="2" t="s">
        <v>38</v>
      </c>
      <c r="O641" s="2" t="s">
        <v>38</v>
      </c>
      <c r="P641" s="2" t="s">
        <v>38</v>
      </c>
      <c r="Q641" s="2" t="s">
        <v>38</v>
      </c>
      <c r="R641" s="2" t="s">
        <v>38</v>
      </c>
      <c r="S641" s="2" t="s">
        <v>38</v>
      </c>
      <c r="T641" s="2" t="s">
        <v>38</v>
      </c>
      <c r="U641" s="2" t="s">
        <v>38</v>
      </c>
      <c r="V641" s="2" t="s">
        <v>38</v>
      </c>
      <c r="W641" s="2" t="s">
        <v>38</v>
      </c>
      <c r="X641" s="2" t="s">
        <v>38</v>
      </c>
      <c r="Y641" s="2" t="s">
        <v>38</v>
      </c>
      <c r="Z641" s="2" t="s">
        <v>38</v>
      </c>
      <c r="AA641" s="2" t="s">
        <v>38</v>
      </c>
      <c r="AB641" s="2" t="s">
        <v>39</v>
      </c>
      <c r="AC641" s="2" t="s">
        <v>38</v>
      </c>
      <c r="AD641" s="2" t="s">
        <v>38</v>
      </c>
      <c r="AE641" s="2" t="s">
        <v>38</v>
      </c>
    </row>
    <row r="642" spans="1:31" ht="409.5">
      <c r="A642" s="2">
        <v>2688191</v>
      </c>
      <c r="B642" s="2">
        <f>HYPERLINK("https://platform.v2.vetology.net/cases/2688191/screening-report/18?type=pdf&amp;v=v6&amp;scorecard=1&amp;secret_key=BX%25IJ%24%2F65ieZ%29f6", 2688191)</f>
        <v>2688191</v>
      </c>
      <c r="C642" s="2">
        <f>HYPERLINK("https://platform.v2.vetology.net/report/v/final/"&amp;2688191, 2688191)</f>
        <v>2688191</v>
      </c>
      <c r="D642" s="2" t="s">
        <v>2054</v>
      </c>
      <c r="E642" s="2" t="s">
        <v>2055</v>
      </c>
      <c r="F642" s="2" t="s">
        <v>81</v>
      </c>
      <c r="G642" s="2" t="s">
        <v>82</v>
      </c>
      <c r="H642" s="2" t="s">
        <v>2056</v>
      </c>
      <c r="I642" s="2" t="s">
        <v>111</v>
      </c>
      <c r="J642" s="2" t="s">
        <v>112</v>
      </c>
      <c r="K642" s="2" t="s">
        <v>39</v>
      </c>
      <c r="L642" s="2" t="s">
        <v>39</v>
      </c>
      <c r="M642" s="2" t="s">
        <v>39</v>
      </c>
      <c r="N642" s="2" t="s">
        <v>39</v>
      </c>
      <c r="O642" s="2" t="s">
        <v>39</v>
      </c>
      <c r="P642" s="2" t="s">
        <v>39</v>
      </c>
      <c r="Q642" s="2" t="s">
        <v>39</v>
      </c>
      <c r="R642" s="2" t="s">
        <v>39</v>
      </c>
      <c r="S642" s="2" t="s">
        <v>39</v>
      </c>
      <c r="T642" s="2" t="s">
        <v>39</v>
      </c>
      <c r="U642" s="2" t="s">
        <v>39</v>
      </c>
      <c r="V642" s="2" t="s">
        <v>39</v>
      </c>
      <c r="W642" s="2" t="s">
        <v>39</v>
      </c>
      <c r="X642" s="2" t="s">
        <v>39</v>
      </c>
      <c r="Y642" s="2" t="s">
        <v>39</v>
      </c>
      <c r="Z642" s="2" t="s">
        <v>39</v>
      </c>
      <c r="AA642" s="2" t="s">
        <v>39</v>
      </c>
      <c r="AB642" s="2" t="s">
        <v>39</v>
      </c>
      <c r="AC642" s="2" t="s">
        <v>39</v>
      </c>
      <c r="AD642" s="2" t="s">
        <v>39</v>
      </c>
      <c r="AE642" s="2" t="s">
        <v>39</v>
      </c>
    </row>
    <row r="643" spans="1:31" ht="409.5">
      <c r="A643" s="2">
        <v>2688069</v>
      </c>
      <c r="B643" s="2">
        <f>HYPERLINK("https://platform.v2.vetology.net/cases/2688069/screening-report/18?type=pdf&amp;v=v6&amp;scorecard=1&amp;secret_key=BX%25IJ%24%2F65ieZ%29f6", 2688069)</f>
        <v>2688069</v>
      </c>
      <c r="C643" s="2">
        <f>HYPERLINK("https://platform.v2.vetology.net/report/v/final/"&amp;2688069, 2688069)</f>
        <v>2688069</v>
      </c>
      <c r="D643" s="2" t="s">
        <v>2057</v>
      </c>
      <c r="E643" s="2" t="s">
        <v>850</v>
      </c>
      <c r="F643" s="2"/>
      <c r="G643" s="2" t="s">
        <v>150</v>
      </c>
      <c r="H643" s="2" t="s">
        <v>860</v>
      </c>
      <c r="I643" s="2" t="s">
        <v>145</v>
      </c>
      <c r="J643" s="2" t="s">
        <v>146</v>
      </c>
      <c r="K643" s="2" t="s">
        <v>38</v>
      </c>
      <c r="L643" s="2" t="s">
        <v>39</v>
      </c>
      <c r="M643" s="2" t="s">
        <v>39</v>
      </c>
      <c r="N643" s="2" t="s">
        <v>38</v>
      </c>
      <c r="O643" s="2" t="s">
        <v>38</v>
      </c>
      <c r="P643" s="2" t="s">
        <v>38</v>
      </c>
      <c r="Q643" s="2" t="s">
        <v>38</v>
      </c>
      <c r="R643" s="2" t="s">
        <v>38</v>
      </c>
      <c r="S643" s="2" t="s">
        <v>38</v>
      </c>
      <c r="T643" s="2" t="s">
        <v>39</v>
      </c>
      <c r="U643" s="2" t="s">
        <v>38</v>
      </c>
      <c r="V643" s="2" t="s">
        <v>38</v>
      </c>
      <c r="W643" s="2" t="s">
        <v>38</v>
      </c>
      <c r="X643" s="2" t="s">
        <v>39</v>
      </c>
      <c r="Y643" s="2" t="s">
        <v>38</v>
      </c>
      <c r="Z643" s="2" t="s">
        <v>38</v>
      </c>
      <c r="AA643" s="2" t="s">
        <v>38</v>
      </c>
      <c r="AB643" s="2" t="s">
        <v>39</v>
      </c>
      <c r="AC643" s="2" t="s">
        <v>38</v>
      </c>
      <c r="AD643" s="2" t="s">
        <v>38</v>
      </c>
      <c r="AE643" s="2" t="s">
        <v>38</v>
      </c>
    </row>
    <row r="644" spans="1:31" ht="409.5">
      <c r="A644" s="2">
        <v>2688015</v>
      </c>
      <c r="B644" s="2">
        <f>HYPERLINK("https://platform.v2.vetology.net/cases/2688015/screening-report/18?type=pdf&amp;v=v6&amp;scorecard=1&amp;secret_key=BX%25IJ%24%2F65ieZ%29f6", 2688015)</f>
        <v>2688015</v>
      </c>
      <c r="C644" s="2">
        <f>HYPERLINK("https://platform.v2.vetology.net/report/v/final/"&amp;2688015, 2688015)</f>
        <v>2688015</v>
      </c>
      <c r="D644" s="2" t="s">
        <v>2058</v>
      </c>
      <c r="E644" s="2" t="s">
        <v>850</v>
      </c>
      <c r="F644" s="2"/>
      <c r="G644" s="2" t="s">
        <v>150</v>
      </c>
      <c r="H644" s="2" t="s">
        <v>136</v>
      </c>
      <c r="I644" s="2" t="s">
        <v>137</v>
      </c>
      <c r="J644" s="2" t="s">
        <v>66</v>
      </c>
      <c r="K644" s="2" t="s">
        <v>38</v>
      </c>
      <c r="L644" s="2" t="s">
        <v>39</v>
      </c>
      <c r="M644" s="2" t="s">
        <v>38</v>
      </c>
      <c r="N644" s="2" t="s">
        <v>38</v>
      </c>
      <c r="O644" s="2" t="s">
        <v>38</v>
      </c>
      <c r="P644" s="2" t="s">
        <v>38</v>
      </c>
      <c r="Q644" s="2" t="s">
        <v>38</v>
      </c>
      <c r="R644" s="2" t="s">
        <v>38</v>
      </c>
      <c r="S644" s="2" t="s">
        <v>38</v>
      </c>
      <c r="T644" s="2" t="s">
        <v>38</v>
      </c>
      <c r="U644" s="2" t="s">
        <v>38</v>
      </c>
      <c r="V644" s="2" t="s">
        <v>38</v>
      </c>
      <c r="W644" s="2" t="s">
        <v>38</v>
      </c>
      <c r="X644" s="2" t="s">
        <v>38</v>
      </c>
      <c r="Y644" s="2" t="s">
        <v>38</v>
      </c>
      <c r="Z644" s="2" t="s">
        <v>38</v>
      </c>
      <c r="AA644" s="2" t="s">
        <v>38</v>
      </c>
      <c r="AB644" s="2" t="s">
        <v>39</v>
      </c>
      <c r="AC644" s="2" t="s">
        <v>38</v>
      </c>
      <c r="AD644" s="2" t="s">
        <v>38</v>
      </c>
      <c r="AE644" s="2" t="s">
        <v>38</v>
      </c>
    </row>
    <row r="645" spans="1:31" ht="409.5">
      <c r="A645" s="2">
        <v>2687914</v>
      </c>
      <c r="B645" s="2">
        <f>HYPERLINK("https://platform.v2.vetology.net/cases/2687914/screening-report/18?type=pdf&amp;v=v6&amp;scorecard=1&amp;secret_key=BX%25IJ%24%2F65ieZ%29f6", 2687914)</f>
        <v>2687914</v>
      </c>
      <c r="C645" s="2">
        <f>HYPERLINK("https://platform.v2.vetology.net/report/v/final/"&amp;2687914, 2687914)</f>
        <v>2687914</v>
      </c>
      <c r="D645" s="2" t="s">
        <v>2059</v>
      </c>
      <c r="E645" s="2" t="s">
        <v>2060</v>
      </c>
      <c r="F645" s="2" t="s">
        <v>2061</v>
      </c>
      <c r="G645" s="2" t="s">
        <v>63</v>
      </c>
      <c r="H645" s="2" t="s">
        <v>71</v>
      </c>
      <c r="I645" s="2" t="s">
        <v>44</v>
      </c>
      <c r="J645" s="2"/>
      <c r="K645" s="2" t="s">
        <v>38</v>
      </c>
      <c r="L645" s="2" t="s">
        <v>39</v>
      </c>
      <c r="M645" s="2" t="s">
        <v>38</v>
      </c>
      <c r="N645" s="2" t="s">
        <v>38</v>
      </c>
      <c r="O645" s="2" t="s">
        <v>38</v>
      </c>
      <c r="P645" s="2" t="s">
        <v>38</v>
      </c>
      <c r="Q645" s="2" t="s">
        <v>38</v>
      </c>
      <c r="R645" s="2" t="s">
        <v>38</v>
      </c>
      <c r="S645" s="2" t="s">
        <v>38</v>
      </c>
      <c r="T645" s="2" t="s">
        <v>39</v>
      </c>
      <c r="U645" s="2" t="s">
        <v>39</v>
      </c>
      <c r="V645" s="2" t="s">
        <v>39</v>
      </c>
      <c r="W645" s="2" t="s">
        <v>38</v>
      </c>
      <c r="X645" s="2" t="s">
        <v>39</v>
      </c>
      <c r="Y645" s="2" t="s">
        <v>38</v>
      </c>
      <c r="Z645" s="2" t="s">
        <v>38</v>
      </c>
      <c r="AA645" s="2" t="s">
        <v>38</v>
      </c>
      <c r="AB645" s="2" t="s">
        <v>38</v>
      </c>
      <c r="AC645" s="2" t="s">
        <v>38</v>
      </c>
      <c r="AD645" s="2" t="s">
        <v>38</v>
      </c>
      <c r="AE645" s="2" t="s">
        <v>39</v>
      </c>
    </row>
    <row r="646" spans="1:31" ht="409.5">
      <c r="A646" s="2">
        <v>2687860</v>
      </c>
      <c r="B646" s="2">
        <f>HYPERLINK("https://platform.v2.vetology.net/cases/2687860/screening-report/18?type=pdf&amp;v=v6&amp;scorecard=1&amp;secret_key=BX%25IJ%24%2F65ieZ%29f6", 2687860)</f>
        <v>2687860</v>
      </c>
      <c r="C646" s="2">
        <f>HYPERLINK("https://platform.v2.vetology.net/report/v/final/"&amp;2687860, 2687860)</f>
        <v>2687860</v>
      </c>
      <c r="D646" s="2" t="s">
        <v>2062</v>
      </c>
      <c r="E646" s="2" t="s">
        <v>2063</v>
      </c>
      <c r="F646" s="2" t="s">
        <v>81</v>
      </c>
      <c r="G646" s="2" t="s">
        <v>150</v>
      </c>
      <c r="H646" s="2" t="s">
        <v>78</v>
      </c>
      <c r="I646" s="2" t="s">
        <v>44</v>
      </c>
      <c r="J646" s="2" t="s">
        <v>106</v>
      </c>
      <c r="K646" s="2" t="s">
        <v>38</v>
      </c>
      <c r="L646" s="2" t="s">
        <v>39</v>
      </c>
      <c r="M646" s="2" t="s">
        <v>38</v>
      </c>
      <c r="N646" s="2" t="s">
        <v>38</v>
      </c>
      <c r="O646" s="2" t="s">
        <v>38</v>
      </c>
      <c r="P646" s="2" t="s">
        <v>38</v>
      </c>
      <c r="Q646" s="2" t="s">
        <v>38</v>
      </c>
      <c r="R646" s="2" t="s">
        <v>38</v>
      </c>
      <c r="S646" s="2" t="s">
        <v>38</v>
      </c>
      <c r="T646" s="2" t="s">
        <v>38</v>
      </c>
      <c r="U646" s="2" t="s">
        <v>38</v>
      </c>
      <c r="V646" s="2" t="s">
        <v>38</v>
      </c>
      <c r="W646" s="2" t="s">
        <v>38</v>
      </c>
      <c r="X646" s="2" t="s">
        <v>38</v>
      </c>
      <c r="Y646" s="2" t="s">
        <v>38</v>
      </c>
      <c r="Z646" s="2" t="s">
        <v>38</v>
      </c>
      <c r="AA646" s="2" t="s">
        <v>38</v>
      </c>
      <c r="AB646" s="2" t="s">
        <v>38</v>
      </c>
      <c r="AC646" s="2" t="s">
        <v>38</v>
      </c>
      <c r="AD646" s="2" t="s">
        <v>38</v>
      </c>
      <c r="AE646" s="2" t="s">
        <v>38</v>
      </c>
    </row>
    <row r="647" spans="1:31" ht="409.5">
      <c r="A647" s="2">
        <v>2687805</v>
      </c>
      <c r="B647" s="2">
        <f>HYPERLINK("https://platform.v2.vetology.net/cases/2687805/screening-report/18?type=pdf&amp;v=v6&amp;scorecard=1&amp;secret_key=BX%25IJ%24%2F65ieZ%29f6", 2687805)</f>
        <v>2687805</v>
      </c>
      <c r="C647" s="2">
        <f>HYPERLINK("https://platform.v2.vetology.net/report/v/final/"&amp;2687805, 2687805)</f>
        <v>2687805</v>
      </c>
      <c r="D647" s="2" t="s">
        <v>2064</v>
      </c>
      <c r="E647" s="2" t="s">
        <v>2065</v>
      </c>
      <c r="F647" s="2" t="s">
        <v>81</v>
      </c>
      <c r="G647" s="2" t="s">
        <v>150</v>
      </c>
      <c r="H647" s="2" t="s">
        <v>2066</v>
      </c>
      <c r="I647" s="2" t="s">
        <v>2067</v>
      </c>
      <c r="J647" s="2" t="s">
        <v>66</v>
      </c>
      <c r="K647" s="2" t="s">
        <v>38</v>
      </c>
      <c r="L647" s="2" t="s">
        <v>39</v>
      </c>
      <c r="M647" s="2" t="s">
        <v>39</v>
      </c>
      <c r="N647" s="2" t="s">
        <v>39</v>
      </c>
      <c r="O647" s="2" t="s">
        <v>38</v>
      </c>
      <c r="P647" s="2" t="s">
        <v>38</v>
      </c>
      <c r="Q647" s="2" t="s">
        <v>38</v>
      </c>
      <c r="R647" s="2" t="s">
        <v>38</v>
      </c>
      <c r="S647" s="2" t="s">
        <v>38</v>
      </c>
      <c r="T647" s="2" t="s">
        <v>38</v>
      </c>
      <c r="U647" s="2" t="s">
        <v>39</v>
      </c>
      <c r="V647" s="2" t="s">
        <v>38</v>
      </c>
      <c r="W647" s="2" t="s">
        <v>38</v>
      </c>
      <c r="X647" s="2" t="s">
        <v>39</v>
      </c>
      <c r="Y647" s="2" t="s">
        <v>38</v>
      </c>
      <c r="Z647" s="2" t="s">
        <v>38</v>
      </c>
      <c r="AA647" s="2" t="s">
        <v>38</v>
      </c>
      <c r="AB647" s="2" t="s">
        <v>39</v>
      </c>
      <c r="AC647" s="2" t="s">
        <v>39</v>
      </c>
      <c r="AD647" s="2" t="s">
        <v>38</v>
      </c>
      <c r="AE647" s="2" t="s">
        <v>38</v>
      </c>
    </row>
    <row r="648" spans="1:31" ht="409.5">
      <c r="A648" s="2">
        <v>2687695</v>
      </c>
      <c r="B648" s="2">
        <f>HYPERLINK("https://platform.v2.vetology.net/cases/2687695/screening-report/18?type=pdf&amp;v=v6&amp;scorecard=1&amp;secret_key=BX%25IJ%24%2F65ieZ%29f6", 2687695)</f>
        <v>2687695</v>
      </c>
      <c r="C648" s="2">
        <f>HYPERLINK("https://platform.v2.vetology.net/report/v/final/"&amp;2687695, 2687695)</f>
        <v>2687695</v>
      </c>
      <c r="D648" s="2" t="s">
        <v>2068</v>
      </c>
      <c r="E648" s="2" t="s">
        <v>2069</v>
      </c>
      <c r="F648" s="2" t="s">
        <v>2070</v>
      </c>
      <c r="G648" s="2" t="s">
        <v>34</v>
      </c>
      <c r="H648" s="2" t="s">
        <v>129</v>
      </c>
      <c r="I648" s="2" t="s">
        <v>44</v>
      </c>
      <c r="J648" s="2" t="s">
        <v>106</v>
      </c>
      <c r="K648" s="2" t="s">
        <v>38</v>
      </c>
      <c r="L648" s="2" t="s">
        <v>38</v>
      </c>
      <c r="M648" s="2" t="s">
        <v>38</v>
      </c>
      <c r="N648" s="2" t="s">
        <v>38</v>
      </c>
      <c r="O648" s="2" t="s">
        <v>38</v>
      </c>
      <c r="P648" s="2" t="s">
        <v>38</v>
      </c>
      <c r="Q648" s="2" t="s">
        <v>38</v>
      </c>
      <c r="R648" s="2" t="s">
        <v>38</v>
      </c>
      <c r="S648" s="2" t="s">
        <v>38</v>
      </c>
      <c r="T648" s="2" t="s">
        <v>38</v>
      </c>
      <c r="U648" s="2" t="s">
        <v>38</v>
      </c>
      <c r="V648" s="2" t="s">
        <v>38</v>
      </c>
      <c r="W648" s="2" t="s">
        <v>38</v>
      </c>
      <c r="X648" s="2" t="s">
        <v>38</v>
      </c>
      <c r="Y648" s="2" t="s">
        <v>38</v>
      </c>
      <c r="Z648" s="2" t="s">
        <v>38</v>
      </c>
      <c r="AA648" s="2" t="s">
        <v>38</v>
      </c>
      <c r="AB648" s="2" t="s">
        <v>38</v>
      </c>
      <c r="AC648" s="2" t="s">
        <v>38</v>
      </c>
      <c r="AD648" s="2" t="s">
        <v>38</v>
      </c>
      <c r="AE648" s="2" t="s">
        <v>38</v>
      </c>
    </row>
    <row r="649" spans="1:31" ht="409.5">
      <c r="A649" s="2">
        <v>2687692</v>
      </c>
      <c r="B649" s="2">
        <f>HYPERLINK("https://platform.v2.vetology.net/cases/2687692/screening-report/18?type=pdf&amp;v=v6&amp;scorecard=1&amp;secret_key=BX%25IJ%24%2F65ieZ%29f6", 2687692)</f>
        <v>2687692</v>
      </c>
      <c r="C649" s="2">
        <f>HYPERLINK("https://platform.v2.vetology.net/report/v/final/"&amp;2687692, 2687692)</f>
        <v>2687692</v>
      </c>
      <c r="D649" s="2" t="s">
        <v>2071</v>
      </c>
      <c r="E649" s="2" t="s">
        <v>2072</v>
      </c>
      <c r="F649" s="2" t="s">
        <v>81</v>
      </c>
      <c r="G649" s="2" t="s">
        <v>150</v>
      </c>
      <c r="H649" s="2" t="s">
        <v>78</v>
      </c>
      <c r="I649" s="2" t="s">
        <v>44</v>
      </c>
      <c r="J649" s="2"/>
      <c r="K649" s="2" t="s">
        <v>38</v>
      </c>
      <c r="L649" s="2" t="s">
        <v>39</v>
      </c>
      <c r="M649" s="2" t="s">
        <v>39</v>
      </c>
      <c r="N649" s="2" t="s">
        <v>38</v>
      </c>
      <c r="O649" s="2" t="s">
        <v>38</v>
      </c>
      <c r="P649" s="2" t="s">
        <v>38</v>
      </c>
      <c r="Q649" s="2" t="s">
        <v>38</v>
      </c>
      <c r="R649" s="2" t="s">
        <v>38</v>
      </c>
      <c r="S649" s="2" t="s">
        <v>38</v>
      </c>
      <c r="T649" s="2" t="s">
        <v>39</v>
      </c>
      <c r="U649" s="2" t="s">
        <v>38</v>
      </c>
      <c r="V649" s="2" t="s">
        <v>39</v>
      </c>
      <c r="W649" s="2" t="s">
        <v>38</v>
      </c>
      <c r="X649" s="2" t="s">
        <v>38</v>
      </c>
      <c r="Y649" s="2" t="s">
        <v>38</v>
      </c>
      <c r="Z649" s="2" t="s">
        <v>38</v>
      </c>
      <c r="AA649" s="2" t="s">
        <v>38</v>
      </c>
      <c r="AB649" s="2" t="s">
        <v>38</v>
      </c>
      <c r="AC649" s="2" t="s">
        <v>38</v>
      </c>
      <c r="AD649" s="2" t="s">
        <v>38</v>
      </c>
      <c r="AE649" s="2" t="s">
        <v>38</v>
      </c>
    </row>
    <row r="650" spans="1:31" ht="409.5">
      <c r="A650" s="2">
        <v>2687500</v>
      </c>
      <c r="B650" s="2">
        <f>HYPERLINK("https://platform.v2.vetology.net/cases/2687500/screening-report/18?type=pdf&amp;v=v6&amp;scorecard=1&amp;secret_key=BX%25IJ%24%2F65ieZ%29f6", 2687500)</f>
        <v>2687500</v>
      </c>
      <c r="C650" s="2">
        <f>HYPERLINK("https://platform.v2.vetology.net/report/v/final/"&amp;2687500, 2687500)</f>
        <v>2687500</v>
      </c>
      <c r="D650" s="2" t="s">
        <v>2073</v>
      </c>
      <c r="E650" s="2" t="s">
        <v>2074</v>
      </c>
      <c r="F650" s="2" t="s">
        <v>2075</v>
      </c>
      <c r="G650" s="2" t="s">
        <v>575</v>
      </c>
      <c r="H650" s="2" t="s">
        <v>88</v>
      </c>
      <c r="I650" s="2" t="s">
        <v>89</v>
      </c>
      <c r="J650" s="2" t="s">
        <v>66</v>
      </c>
      <c r="K650" s="2" t="s">
        <v>38</v>
      </c>
      <c r="L650" s="2" t="s">
        <v>38</v>
      </c>
      <c r="M650" s="2" t="s">
        <v>39</v>
      </c>
      <c r="N650" s="2" t="s">
        <v>38</v>
      </c>
      <c r="O650" s="2" t="s">
        <v>38</v>
      </c>
      <c r="P650" s="2" t="s">
        <v>38</v>
      </c>
      <c r="Q650" s="2" t="s">
        <v>38</v>
      </c>
      <c r="R650" s="2" t="s">
        <v>38</v>
      </c>
      <c r="S650" s="2" t="s">
        <v>38</v>
      </c>
      <c r="T650" s="2" t="s">
        <v>38</v>
      </c>
      <c r="U650" s="2" t="s">
        <v>38</v>
      </c>
      <c r="V650" s="2" t="s">
        <v>38</v>
      </c>
      <c r="W650" s="2" t="s">
        <v>38</v>
      </c>
      <c r="X650" s="2" t="s">
        <v>38</v>
      </c>
      <c r="Y650" s="2" t="s">
        <v>38</v>
      </c>
      <c r="Z650" s="2" t="s">
        <v>38</v>
      </c>
      <c r="AA650" s="2" t="s">
        <v>38</v>
      </c>
      <c r="AB650" s="2" t="s">
        <v>39</v>
      </c>
      <c r="AC650" s="2" t="s">
        <v>39</v>
      </c>
      <c r="AD650" s="2" t="s">
        <v>38</v>
      </c>
      <c r="AE650" s="2" t="s">
        <v>39</v>
      </c>
    </row>
    <row r="651" spans="1:31" ht="409.5">
      <c r="A651" s="2">
        <v>2687494</v>
      </c>
      <c r="B651" s="2">
        <f>HYPERLINK("https://platform.v2.vetology.net/cases/2687494/screening-report/18?type=pdf&amp;v=v6&amp;scorecard=1&amp;secret_key=BX%25IJ%24%2F65ieZ%29f6", 2687494)</f>
        <v>2687494</v>
      </c>
      <c r="C651" s="2">
        <f>HYPERLINK("https://platform.v2.vetology.net/report/v/final/"&amp;2687494, 2687494)</f>
        <v>2687494</v>
      </c>
      <c r="D651" s="2" t="s">
        <v>2076</v>
      </c>
      <c r="E651" s="2" t="s">
        <v>2077</v>
      </c>
      <c r="F651" s="2" t="s">
        <v>2078</v>
      </c>
      <c r="G651" s="2" t="s">
        <v>34</v>
      </c>
      <c r="H651" s="2" t="s">
        <v>54</v>
      </c>
      <c r="I651" s="2" t="s">
        <v>44</v>
      </c>
      <c r="J651" s="2"/>
      <c r="K651" s="2" t="s">
        <v>38</v>
      </c>
      <c r="L651" s="2" t="s">
        <v>38</v>
      </c>
      <c r="M651" s="2" t="s">
        <v>38</v>
      </c>
      <c r="N651" s="2" t="s">
        <v>38</v>
      </c>
      <c r="O651" s="2" t="s">
        <v>38</v>
      </c>
      <c r="P651" s="2" t="s">
        <v>38</v>
      </c>
      <c r="Q651" s="2" t="s">
        <v>38</v>
      </c>
      <c r="R651" s="2" t="s">
        <v>38</v>
      </c>
      <c r="S651" s="2" t="s">
        <v>38</v>
      </c>
      <c r="T651" s="2" t="s">
        <v>38</v>
      </c>
      <c r="U651" s="2" t="s">
        <v>38</v>
      </c>
      <c r="V651" s="2" t="s">
        <v>38</v>
      </c>
      <c r="W651" s="2" t="s">
        <v>38</v>
      </c>
      <c r="X651" s="2" t="s">
        <v>38</v>
      </c>
      <c r="Y651" s="2" t="s">
        <v>38</v>
      </c>
      <c r="Z651" s="2" t="s">
        <v>38</v>
      </c>
      <c r="AA651" s="2" t="s">
        <v>38</v>
      </c>
      <c r="AB651" s="2" t="s">
        <v>39</v>
      </c>
      <c r="AC651" s="2" t="s">
        <v>38</v>
      </c>
      <c r="AD651" s="2" t="s">
        <v>38</v>
      </c>
      <c r="AE651" s="2" t="s">
        <v>38</v>
      </c>
    </row>
    <row r="652" spans="1:31" ht="409.5">
      <c r="A652" s="2">
        <v>2687452</v>
      </c>
      <c r="B652" s="2">
        <f>HYPERLINK("https://platform.v2.vetology.net/cases/2687452/screening-report/18?type=pdf&amp;v=v6&amp;scorecard=1&amp;secret_key=BX%25IJ%24%2F65ieZ%29f6", 2687452)</f>
        <v>2687452</v>
      </c>
      <c r="C652" s="2">
        <f>HYPERLINK("https://platform.v2.vetology.net/report/v/final/"&amp;2687452, 2687452)</f>
        <v>2687452</v>
      </c>
      <c r="D652" s="2" t="s">
        <v>2079</v>
      </c>
      <c r="E652" s="2" t="s">
        <v>2080</v>
      </c>
      <c r="F652" s="2" t="s">
        <v>81</v>
      </c>
      <c r="G652" s="2" t="s">
        <v>150</v>
      </c>
      <c r="H652" s="2" t="s">
        <v>254</v>
      </c>
      <c r="I652" s="2" t="s">
        <v>89</v>
      </c>
      <c r="J652" s="2" t="s">
        <v>66</v>
      </c>
      <c r="K652" s="2" t="s">
        <v>38</v>
      </c>
      <c r="L652" s="2" t="s">
        <v>39</v>
      </c>
      <c r="M652" s="2" t="s">
        <v>38</v>
      </c>
      <c r="N652" s="2" t="s">
        <v>38</v>
      </c>
      <c r="O652" s="2" t="s">
        <v>38</v>
      </c>
      <c r="P652" s="2" t="s">
        <v>38</v>
      </c>
      <c r="Q652" s="2" t="s">
        <v>38</v>
      </c>
      <c r="R652" s="2" t="s">
        <v>38</v>
      </c>
      <c r="S652" s="2" t="s">
        <v>38</v>
      </c>
      <c r="T652" s="2" t="s">
        <v>38</v>
      </c>
      <c r="U652" s="2" t="s">
        <v>39</v>
      </c>
      <c r="V652" s="2" t="s">
        <v>38</v>
      </c>
      <c r="W652" s="2" t="s">
        <v>38</v>
      </c>
      <c r="X652" s="2" t="s">
        <v>38</v>
      </c>
      <c r="Y652" s="2" t="s">
        <v>38</v>
      </c>
      <c r="Z652" s="2" t="s">
        <v>38</v>
      </c>
      <c r="AA652" s="2" t="s">
        <v>38</v>
      </c>
      <c r="AB652" s="2" t="s">
        <v>39</v>
      </c>
      <c r="AC652" s="2" t="s">
        <v>38</v>
      </c>
      <c r="AD652" s="2" t="s">
        <v>38</v>
      </c>
      <c r="AE652" s="2" t="s">
        <v>38</v>
      </c>
    </row>
    <row r="653" spans="1:31" ht="409.5">
      <c r="A653" s="2">
        <v>2687412</v>
      </c>
      <c r="B653" s="2">
        <f>HYPERLINK("https://platform.v2.vetology.net/cases/2687412/screening-report/18?type=pdf&amp;v=v6&amp;scorecard=1&amp;secret_key=BX%25IJ%24%2F65ieZ%29f6", 2687412)</f>
        <v>2687412</v>
      </c>
      <c r="C653" s="2">
        <f>HYPERLINK("https://platform.v2.vetology.net/report/v/final/"&amp;2687412, 2687412)</f>
        <v>2687412</v>
      </c>
      <c r="D653" s="2" t="s">
        <v>2081</v>
      </c>
      <c r="E653" s="2" t="s">
        <v>2082</v>
      </c>
      <c r="F653" s="2" t="s">
        <v>2083</v>
      </c>
      <c r="G653" s="2" t="s">
        <v>34</v>
      </c>
      <c r="H653" s="2" t="s">
        <v>78</v>
      </c>
      <c r="I653" s="2" t="s">
        <v>44</v>
      </c>
      <c r="J653" s="2"/>
      <c r="K653" s="2" t="s">
        <v>38</v>
      </c>
      <c r="L653" s="2" t="s">
        <v>39</v>
      </c>
      <c r="M653" s="2" t="s">
        <v>38</v>
      </c>
      <c r="N653" s="2" t="s">
        <v>38</v>
      </c>
      <c r="O653" s="2" t="s">
        <v>38</v>
      </c>
      <c r="P653" s="2" t="s">
        <v>39</v>
      </c>
      <c r="Q653" s="2" t="s">
        <v>38</v>
      </c>
      <c r="R653" s="2" t="s">
        <v>38</v>
      </c>
      <c r="S653" s="2" t="s">
        <v>38</v>
      </c>
      <c r="T653" s="2" t="s">
        <v>38</v>
      </c>
      <c r="U653" s="2" t="s">
        <v>38</v>
      </c>
      <c r="V653" s="2" t="s">
        <v>38</v>
      </c>
      <c r="W653" s="2" t="s">
        <v>38</v>
      </c>
      <c r="X653" s="2" t="s">
        <v>38</v>
      </c>
      <c r="Y653" s="2" t="s">
        <v>38</v>
      </c>
      <c r="Z653" s="2" t="s">
        <v>38</v>
      </c>
      <c r="AA653" s="2" t="s">
        <v>38</v>
      </c>
      <c r="AB653" s="2" t="s">
        <v>38</v>
      </c>
      <c r="AC653" s="2" t="s">
        <v>38</v>
      </c>
      <c r="AD653" s="2" t="s">
        <v>38</v>
      </c>
      <c r="AE653" s="2" t="s">
        <v>38</v>
      </c>
    </row>
    <row r="654" spans="1:31" ht="409.5">
      <c r="A654" s="2">
        <v>2687012</v>
      </c>
      <c r="B654" s="2">
        <f>HYPERLINK("https://platform.v2.vetology.net/cases/2687012/screening-report/18?type=pdf&amp;v=v6&amp;scorecard=1&amp;secret_key=BX%25IJ%24%2F65ieZ%29f6", 2687012)</f>
        <v>2687012</v>
      </c>
      <c r="C654" s="2">
        <f>HYPERLINK("https://platform.v2.vetology.net/report/v/final/"&amp;2687012, 2687012)</f>
        <v>2687012</v>
      </c>
      <c r="D654" s="2" t="s">
        <v>229</v>
      </c>
      <c r="E654" s="2" t="s">
        <v>148</v>
      </c>
      <c r="F654" s="2" t="s">
        <v>149</v>
      </c>
      <c r="G654" s="2" t="s">
        <v>150</v>
      </c>
      <c r="H654" s="2" t="s">
        <v>54</v>
      </c>
      <c r="I654" s="2" t="s">
        <v>44</v>
      </c>
      <c r="J654" s="2" t="s">
        <v>106</v>
      </c>
      <c r="K654" s="2" t="s">
        <v>38</v>
      </c>
      <c r="L654" s="2" t="s">
        <v>39</v>
      </c>
      <c r="M654" s="2" t="s">
        <v>39</v>
      </c>
      <c r="N654" s="2" t="s">
        <v>38</v>
      </c>
      <c r="O654" s="2" t="s">
        <v>38</v>
      </c>
      <c r="P654" s="2" t="s">
        <v>38</v>
      </c>
      <c r="Q654" s="2" t="s">
        <v>38</v>
      </c>
      <c r="R654" s="2" t="s">
        <v>38</v>
      </c>
      <c r="S654" s="2" t="s">
        <v>38</v>
      </c>
      <c r="T654" s="2" t="s">
        <v>39</v>
      </c>
      <c r="U654" s="2" t="s">
        <v>38</v>
      </c>
      <c r="V654" s="2" t="s">
        <v>39</v>
      </c>
      <c r="W654" s="2" t="s">
        <v>38</v>
      </c>
      <c r="X654" s="2" t="s">
        <v>39</v>
      </c>
      <c r="Y654" s="2" t="s">
        <v>38</v>
      </c>
      <c r="Z654" s="2" t="s">
        <v>38</v>
      </c>
      <c r="AA654" s="2" t="s">
        <v>38</v>
      </c>
      <c r="AB654" s="2" t="s">
        <v>39</v>
      </c>
      <c r="AC654" s="2" t="s">
        <v>38</v>
      </c>
      <c r="AD654" s="2" t="s">
        <v>38</v>
      </c>
      <c r="AE654" s="2" t="s">
        <v>38</v>
      </c>
    </row>
    <row r="655" spans="1:31" ht="409.5">
      <c r="A655" s="2">
        <v>2686836</v>
      </c>
      <c r="B655" s="2">
        <f>HYPERLINK("https://platform.v2.vetology.net/cases/2686836/screening-report/18?type=pdf&amp;v=v6&amp;scorecard=1&amp;secret_key=BX%25IJ%24%2F65ieZ%29f6", 2686836)</f>
        <v>2686836</v>
      </c>
      <c r="C655" s="2">
        <f>HYPERLINK("https://platform.v2.vetology.net/report/v/final/"&amp;2686836, 2686836)</f>
        <v>2686836</v>
      </c>
      <c r="D655" s="2" t="s">
        <v>1974</v>
      </c>
      <c r="E655" s="2" t="s">
        <v>1590</v>
      </c>
      <c r="F655" s="2" t="s">
        <v>149</v>
      </c>
      <c r="G655" s="2" t="s">
        <v>150</v>
      </c>
      <c r="H655" s="2" t="s">
        <v>177</v>
      </c>
      <c r="I655" s="2" t="s">
        <v>124</v>
      </c>
      <c r="J655" s="2" t="s">
        <v>125</v>
      </c>
      <c r="K655" s="2" t="s">
        <v>38</v>
      </c>
      <c r="L655" s="2" t="s">
        <v>39</v>
      </c>
      <c r="M655" s="2" t="s">
        <v>39</v>
      </c>
      <c r="N655" s="2" t="s">
        <v>38</v>
      </c>
      <c r="O655" s="2" t="s">
        <v>38</v>
      </c>
      <c r="P655" s="2" t="s">
        <v>39</v>
      </c>
      <c r="Q655" s="2" t="s">
        <v>38</v>
      </c>
      <c r="R655" s="2" t="s">
        <v>38</v>
      </c>
      <c r="S655" s="2" t="s">
        <v>39</v>
      </c>
      <c r="T655" s="2" t="s">
        <v>39</v>
      </c>
      <c r="U655" s="2" t="s">
        <v>38</v>
      </c>
      <c r="V655" s="2" t="s">
        <v>39</v>
      </c>
      <c r="W655" s="2" t="s">
        <v>38</v>
      </c>
      <c r="X655" s="2" t="s">
        <v>39</v>
      </c>
      <c r="Y655" s="2" t="s">
        <v>38</v>
      </c>
      <c r="Z655" s="2" t="s">
        <v>39</v>
      </c>
      <c r="AA655" s="2" t="s">
        <v>38</v>
      </c>
      <c r="AB655" s="2" t="s">
        <v>39</v>
      </c>
      <c r="AC655" s="2" t="s">
        <v>38</v>
      </c>
      <c r="AD655" s="2" t="s">
        <v>38</v>
      </c>
      <c r="AE655" s="2" t="s">
        <v>38</v>
      </c>
    </row>
    <row r="656" spans="1:31" ht="409.5">
      <c r="A656" s="2">
        <v>2686726</v>
      </c>
      <c r="B656" s="2">
        <f>HYPERLINK("https://platform.v2.vetology.net/cases/2686726/screening-report/18?type=pdf&amp;v=v6&amp;scorecard=1&amp;secret_key=BX%25IJ%24%2F65ieZ%29f6", 2686726)</f>
        <v>2686726</v>
      </c>
      <c r="C656" s="2">
        <f>HYPERLINK("https://platform.v2.vetology.net/report/v/final/"&amp;2686726, 2686726)</f>
        <v>2686726</v>
      </c>
      <c r="D656" s="2" t="s">
        <v>2084</v>
      </c>
      <c r="E656" s="2" t="s">
        <v>2085</v>
      </c>
      <c r="F656" s="2" t="s">
        <v>293</v>
      </c>
      <c r="G656" s="2" t="s">
        <v>150</v>
      </c>
      <c r="H656" s="2" t="s">
        <v>2086</v>
      </c>
      <c r="I656" s="2" t="s">
        <v>89</v>
      </c>
      <c r="J656" s="2" t="s">
        <v>66</v>
      </c>
      <c r="K656" s="2" t="s">
        <v>38</v>
      </c>
      <c r="L656" s="2" t="s">
        <v>38</v>
      </c>
      <c r="M656" s="2" t="s">
        <v>38</v>
      </c>
      <c r="N656" s="2" t="s">
        <v>38</v>
      </c>
      <c r="O656" s="2" t="s">
        <v>38</v>
      </c>
      <c r="P656" s="2" t="s">
        <v>38</v>
      </c>
      <c r="Q656" s="2" t="s">
        <v>38</v>
      </c>
      <c r="R656" s="2" t="s">
        <v>38</v>
      </c>
      <c r="S656" s="2" t="s">
        <v>38</v>
      </c>
      <c r="T656" s="2" t="s">
        <v>39</v>
      </c>
      <c r="U656" s="2" t="s">
        <v>38</v>
      </c>
      <c r="V656" s="2" t="s">
        <v>39</v>
      </c>
      <c r="W656" s="2" t="s">
        <v>38</v>
      </c>
      <c r="X656" s="2" t="s">
        <v>39</v>
      </c>
      <c r="Y656" s="2" t="s">
        <v>38</v>
      </c>
      <c r="Z656" s="2" t="s">
        <v>38</v>
      </c>
      <c r="AA656" s="2" t="s">
        <v>38</v>
      </c>
      <c r="AB656" s="2" t="s">
        <v>39</v>
      </c>
      <c r="AC656" s="2" t="s">
        <v>38</v>
      </c>
      <c r="AD656" s="2" t="s">
        <v>38</v>
      </c>
      <c r="AE656" s="2" t="s">
        <v>39</v>
      </c>
    </row>
    <row r="657" spans="1:31" ht="409.5">
      <c r="A657" s="2">
        <v>2686675</v>
      </c>
      <c r="B657" s="2">
        <f>HYPERLINK("https://platform.v2.vetology.net/cases/2686675/screening-report/18?type=pdf&amp;v=v6&amp;scorecard=1&amp;secret_key=BX%25IJ%24%2F65ieZ%29f6", 2686675)</f>
        <v>2686675</v>
      </c>
      <c r="C657" s="2">
        <f>HYPERLINK("https://platform.v2.vetology.net/report/v/final/"&amp;2686675, 2686675)</f>
        <v>2686675</v>
      </c>
      <c r="D657" s="2" t="s">
        <v>2087</v>
      </c>
      <c r="E657" s="2" t="s">
        <v>915</v>
      </c>
      <c r="F657" s="2" t="s">
        <v>149</v>
      </c>
      <c r="G657" s="2" t="s">
        <v>150</v>
      </c>
      <c r="H657" s="2" t="s">
        <v>78</v>
      </c>
      <c r="I657" s="2" t="s">
        <v>44</v>
      </c>
      <c r="J657" s="2" t="s">
        <v>106</v>
      </c>
      <c r="K657" s="2" t="s">
        <v>38</v>
      </c>
      <c r="L657" s="2" t="s">
        <v>39</v>
      </c>
      <c r="M657" s="2" t="s">
        <v>38</v>
      </c>
      <c r="N657" s="2" t="s">
        <v>38</v>
      </c>
      <c r="O657" s="2" t="s">
        <v>38</v>
      </c>
      <c r="P657" s="2" t="s">
        <v>38</v>
      </c>
      <c r="Q657" s="2" t="s">
        <v>38</v>
      </c>
      <c r="R657" s="2" t="s">
        <v>38</v>
      </c>
      <c r="S657" s="2" t="s">
        <v>38</v>
      </c>
      <c r="T657" s="2" t="s">
        <v>39</v>
      </c>
      <c r="U657" s="2" t="s">
        <v>38</v>
      </c>
      <c r="V657" s="2" t="s">
        <v>38</v>
      </c>
      <c r="W657" s="2" t="s">
        <v>38</v>
      </c>
      <c r="X657" s="2" t="s">
        <v>39</v>
      </c>
      <c r="Y657" s="2" t="s">
        <v>38</v>
      </c>
      <c r="Z657" s="2" t="s">
        <v>38</v>
      </c>
      <c r="AA657" s="2" t="s">
        <v>38</v>
      </c>
      <c r="AB657" s="2" t="s">
        <v>38</v>
      </c>
      <c r="AC657" s="2" t="s">
        <v>38</v>
      </c>
      <c r="AD657" s="2" t="s">
        <v>38</v>
      </c>
      <c r="AE657" s="2" t="s">
        <v>38</v>
      </c>
    </row>
    <row r="658" spans="1:31" ht="409.5">
      <c r="A658" s="2">
        <v>2686614</v>
      </c>
      <c r="B658" s="2">
        <f>HYPERLINK("https://platform.v2.vetology.net/cases/2686614/screening-report/18?type=pdf&amp;v=v6&amp;scorecard=1&amp;secret_key=BX%25IJ%24%2F65ieZ%29f6", 2686614)</f>
        <v>2686614</v>
      </c>
      <c r="C658" s="2">
        <f>HYPERLINK("https://platform.v2.vetology.net/report/v/final/"&amp;2686614, 2686614)</f>
        <v>2686614</v>
      </c>
      <c r="D658" s="2" t="s">
        <v>2088</v>
      </c>
      <c r="E658" s="2" t="s">
        <v>387</v>
      </c>
      <c r="F658" s="2" t="s">
        <v>149</v>
      </c>
      <c r="G658" s="2" t="s">
        <v>150</v>
      </c>
      <c r="H658" s="2" t="s">
        <v>2089</v>
      </c>
      <c r="I658" s="2" t="s">
        <v>137</v>
      </c>
      <c r="J658" s="2" t="s">
        <v>66</v>
      </c>
      <c r="K658" s="2" t="s">
        <v>38</v>
      </c>
      <c r="L658" s="2" t="s">
        <v>39</v>
      </c>
      <c r="M658" s="2" t="s">
        <v>39</v>
      </c>
      <c r="N658" s="2" t="s">
        <v>38</v>
      </c>
      <c r="O658" s="2" t="s">
        <v>39</v>
      </c>
      <c r="P658" s="2" t="s">
        <v>39</v>
      </c>
      <c r="Q658" s="2" t="s">
        <v>38</v>
      </c>
      <c r="R658" s="2" t="s">
        <v>38</v>
      </c>
      <c r="S658" s="2" t="s">
        <v>38</v>
      </c>
      <c r="T658" s="2" t="s">
        <v>38</v>
      </c>
      <c r="U658" s="2" t="s">
        <v>38</v>
      </c>
      <c r="V658" s="2" t="s">
        <v>38</v>
      </c>
      <c r="W658" s="2" t="s">
        <v>38</v>
      </c>
      <c r="X658" s="2" t="s">
        <v>38</v>
      </c>
      <c r="Y658" s="2" t="s">
        <v>39</v>
      </c>
      <c r="Z658" s="2" t="s">
        <v>38</v>
      </c>
      <c r="AA658" s="2" t="s">
        <v>38</v>
      </c>
      <c r="AB658" s="2" t="s">
        <v>39</v>
      </c>
      <c r="AC658" s="2" t="s">
        <v>38</v>
      </c>
      <c r="AD658" s="2" t="s">
        <v>38</v>
      </c>
      <c r="AE658" s="2" t="s">
        <v>38</v>
      </c>
    </row>
    <row r="659" spans="1:31" ht="409.5">
      <c r="A659" s="2">
        <v>2686491</v>
      </c>
      <c r="B659" s="2">
        <f>HYPERLINK("https://platform.v2.vetology.net/cases/2686491/screening-report/18?type=pdf&amp;v=v6&amp;scorecard=1&amp;secret_key=BX%25IJ%24%2F65ieZ%29f6", 2686491)</f>
        <v>2686491</v>
      </c>
      <c r="C659" s="2">
        <f>HYPERLINK("https://platform.v2.vetology.net/report/v/final/"&amp;2686491, 2686491)</f>
        <v>2686491</v>
      </c>
      <c r="D659" s="2" t="s">
        <v>2090</v>
      </c>
      <c r="E659" s="2" t="s">
        <v>911</v>
      </c>
      <c r="F659" s="2"/>
      <c r="G659" s="2" t="s">
        <v>150</v>
      </c>
      <c r="H659" s="2" t="s">
        <v>2091</v>
      </c>
      <c r="I659" s="2" t="s">
        <v>89</v>
      </c>
      <c r="J659" s="2" t="s">
        <v>66</v>
      </c>
      <c r="K659" s="2" t="s">
        <v>38</v>
      </c>
      <c r="L659" s="2" t="s">
        <v>39</v>
      </c>
      <c r="M659" s="2" t="s">
        <v>38</v>
      </c>
      <c r="N659" s="2" t="s">
        <v>38</v>
      </c>
      <c r="O659" s="2" t="s">
        <v>38</v>
      </c>
      <c r="P659" s="2" t="s">
        <v>38</v>
      </c>
      <c r="Q659" s="2" t="s">
        <v>38</v>
      </c>
      <c r="R659" s="2" t="s">
        <v>38</v>
      </c>
      <c r="S659" s="2" t="s">
        <v>38</v>
      </c>
      <c r="T659" s="2" t="s">
        <v>39</v>
      </c>
      <c r="U659" s="2" t="s">
        <v>38</v>
      </c>
      <c r="V659" s="2" t="s">
        <v>39</v>
      </c>
      <c r="W659" s="2" t="s">
        <v>38</v>
      </c>
      <c r="X659" s="2" t="s">
        <v>39</v>
      </c>
      <c r="Y659" s="2" t="s">
        <v>38</v>
      </c>
      <c r="Z659" s="2" t="s">
        <v>38</v>
      </c>
      <c r="AA659" s="2" t="s">
        <v>38</v>
      </c>
      <c r="AB659" s="2" t="s">
        <v>39</v>
      </c>
      <c r="AC659" s="2" t="s">
        <v>38</v>
      </c>
      <c r="AD659" s="2" t="s">
        <v>38</v>
      </c>
      <c r="AE659" s="2" t="s">
        <v>39</v>
      </c>
    </row>
    <row r="660" spans="1:31" ht="409.5">
      <c r="A660" s="2">
        <v>2686422</v>
      </c>
      <c r="B660" s="2">
        <f>HYPERLINK("https://platform.v2.vetology.net/cases/2686422/screening-report/18?type=pdf&amp;v=v6&amp;scorecard=1&amp;secret_key=BX%25IJ%24%2F65ieZ%29f6", 2686422)</f>
        <v>2686422</v>
      </c>
      <c r="C660" s="2">
        <f>HYPERLINK("https://platform.v2.vetology.net/report/v/final/"&amp;2686422, 2686422)</f>
        <v>2686422</v>
      </c>
      <c r="D660" s="2" t="s">
        <v>2092</v>
      </c>
      <c r="E660" s="2" t="s">
        <v>2093</v>
      </c>
      <c r="F660" s="2" t="s">
        <v>149</v>
      </c>
      <c r="G660" s="2" t="s">
        <v>150</v>
      </c>
      <c r="H660" s="2" t="s">
        <v>860</v>
      </c>
      <c r="I660" s="2" t="s">
        <v>145</v>
      </c>
      <c r="J660" s="2" t="s">
        <v>146</v>
      </c>
      <c r="K660" s="2" t="s">
        <v>38</v>
      </c>
      <c r="L660" s="2" t="s">
        <v>38</v>
      </c>
      <c r="M660" s="2" t="s">
        <v>38</v>
      </c>
      <c r="N660" s="2" t="s">
        <v>38</v>
      </c>
      <c r="O660" s="2" t="s">
        <v>38</v>
      </c>
      <c r="P660" s="2" t="s">
        <v>38</v>
      </c>
      <c r="Q660" s="2" t="s">
        <v>38</v>
      </c>
      <c r="R660" s="2" t="s">
        <v>38</v>
      </c>
      <c r="S660" s="2" t="s">
        <v>38</v>
      </c>
      <c r="T660" s="2" t="s">
        <v>39</v>
      </c>
      <c r="U660" s="2" t="s">
        <v>38</v>
      </c>
      <c r="V660" s="2" t="s">
        <v>39</v>
      </c>
      <c r="W660" s="2" t="s">
        <v>38</v>
      </c>
      <c r="X660" s="2" t="s">
        <v>39</v>
      </c>
      <c r="Y660" s="2" t="s">
        <v>38</v>
      </c>
      <c r="Z660" s="2" t="s">
        <v>39</v>
      </c>
      <c r="AA660" s="2" t="s">
        <v>38</v>
      </c>
      <c r="AB660" s="2" t="s">
        <v>39</v>
      </c>
      <c r="AC660" s="2" t="s">
        <v>38</v>
      </c>
      <c r="AD660" s="2" t="s">
        <v>38</v>
      </c>
      <c r="AE660" s="2" t="s">
        <v>38</v>
      </c>
    </row>
    <row r="661" spans="1:31" ht="409.5">
      <c r="A661" s="2">
        <v>2686304</v>
      </c>
      <c r="B661" s="2">
        <f>HYPERLINK("https://platform.v2.vetology.net/cases/2686304/screening-report/18?type=pdf&amp;v=v6&amp;scorecard=1&amp;secret_key=BX%25IJ%24%2F65ieZ%29f6", 2686304)</f>
        <v>2686304</v>
      </c>
      <c r="C661" s="2">
        <f>HYPERLINK("https://platform.v2.vetology.net/report/v/final/"&amp;2686304, 2686304)</f>
        <v>2686304</v>
      </c>
      <c r="D661" s="2" t="s">
        <v>2094</v>
      </c>
      <c r="E661" s="2" t="s">
        <v>2095</v>
      </c>
      <c r="F661" s="2" t="s">
        <v>2096</v>
      </c>
      <c r="G661" s="2" t="s">
        <v>212</v>
      </c>
      <c r="H661" s="2" t="s">
        <v>2097</v>
      </c>
      <c r="I661" s="2" t="s">
        <v>89</v>
      </c>
      <c r="J661" s="2" t="s">
        <v>66</v>
      </c>
      <c r="K661" s="2" t="s">
        <v>38</v>
      </c>
      <c r="L661" s="2" t="s">
        <v>39</v>
      </c>
      <c r="M661" s="2" t="s">
        <v>39</v>
      </c>
      <c r="N661" s="2" t="s">
        <v>38</v>
      </c>
      <c r="O661" s="2" t="s">
        <v>38</v>
      </c>
      <c r="P661" s="2" t="s">
        <v>38</v>
      </c>
      <c r="Q661" s="2" t="s">
        <v>38</v>
      </c>
      <c r="R661" s="2" t="s">
        <v>38</v>
      </c>
      <c r="S661" s="2" t="s">
        <v>39</v>
      </c>
      <c r="T661" s="2" t="s">
        <v>39</v>
      </c>
      <c r="U661" s="2" t="s">
        <v>38</v>
      </c>
      <c r="V661" s="2" t="s">
        <v>39</v>
      </c>
      <c r="W661" s="2" t="s">
        <v>38</v>
      </c>
      <c r="X661" s="2" t="s">
        <v>39</v>
      </c>
      <c r="Y661" s="2" t="s">
        <v>38</v>
      </c>
      <c r="Z661" s="2" t="s">
        <v>38</v>
      </c>
      <c r="AA661" s="2" t="s">
        <v>38</v>
      </c>
      <c r="AB661" s="2" t="s">
        <v>39</v>
      </c>
      <c r="AC661" s="2" t="s">
        <v>38</v>
      </c>
      <c r="AD661" s="2" t="s">
        <v>38</v>
      </c>
      <c r="AE661" s="2" t="s">
        <v>38</v>
      </c>
    </row>
    <row r="662" spans="1:31" ht="409.5">
      <c r="A662" s="2">
        <v>2686278</v>
      </c>
      <c r="B662" s="2">
        <f>HYPERLINK("https://platform.v2.vetology.net/cases/2686278/screening-report/18?type=pdf&amp;v=v6&amp;scorecard=1&amp;secret_key=BX%25IJ%24%2F65ieZ%29f6", 2686278)</f>
        <v>2686278</v>
      </c>
      <c r="C662" s="2">
        <f>HYPERLINK("https://platform.v2.vetology.net/report/v/final/"&amp;2686278, 2686278)</f>
        <v>2686278</v>
      </c>
      <c r="D662" s="2" t="s">
        <v>2098</v>
      </c>
      <c r="E662" s="2" t="s">
        <v>2099</v>
      </c>
      <c r="F662" s="2" t="s">
        <v>687</v>
      </c>
      <c r="G662" s="2" t="s">
        <v>150</v>
      </c>
      <c r="H662" s="2" t="s">
        <v>78</v>
      </c>
      <c r="I662" s="2" t="s">
        <v>44</v>
      </c>
      <c r="J662" s="2" t="s">
        <v>106</v>
      </c>
      <c r="K662" s="2" t="s">
        <v>38</v>
      </c>
      <c r="L662" s="2" t="s">
        <v>39</v>
      </c>
      <c r="M662" s="2" t="s">
        <v>38</v>
      </c>
      <c r="N662" s="2" t="s">
        <v>38</v>
      </c>
      <c r="O662" s="2" t="s">
        <v>38</v>
      </c>
      <c r="P662" s="2" t="s">
        <v>38</v>
      </c>
      <c r="Q662" s="2" t="s">
        <v>38</v>
      </c>
      <c r="R662" s="2" t="s">
        <v>38</v>
      </c>
      <c r="S662" s="2" t="s">
        <v>39</v>
      </c>
      <c r="T662" s="2" t="s">
        <v>39</v>
      </c>
      <c r="U662" s="2" t="s">
        <v>39</v>
      </c>
      <c r="V662" s="2" t="s">
        <v>39</v>
      </c>
      <c r="W662" s="2" t="s">
        <v>38</v>
      </c>
      <c r="X662" s="2" t="s">
        <v>39</v>
      </c>
      <c r="Y662" s="2" t="s">
        <v>38</v>
      </c>
      <c r="Z662" s="2" t="s">
        <v>39</v>
      </c>
      <c r="AA662" s="2" t="s">
        <v>38</v>
      </c>
      <c r="AB662" s="2" t="s">
        <v>38</v>
      </c>
      <c r="AC662" s="2" t="s">
        <v>39</v>
      </c>
      <c r="AD662" s="2" t="s">
        <v>38</v>
      </c>
      <c r="AE662" s="2" t="s">
        <v>38</v>
      </c>
    </row>
    <row r="663" spans="1:31" ht="409.5">
      <c r="A663" s="2">
        <v>2686220</v>
      </c>
      <c r="B663" s="2">
        <f>HYPERLINK("https://platform.v2.vetology.net/cases/2686220/screening-report/18?type=pdf&amp;v=v6&amp;scorecard=1&amp;secret_key=BX%25IJ%24%2F65ieZ%29f6", 2686220)</f>
        <v>2686220</v>
      </c>
      <c r="C663" s="2">
        <f>HYPERLINK("https://platform.v2.vetology.net/report/v/final/"&amp;2686220, 2686220)</f>
        <v>2686220</v>
      </c>
      <c r="D663" s="2" t="s">
        <v>2100</v>
      </c>
      <c r="E663" s="2" t="s">
        <v>2101</v>
      </c>
      <c r="F663" s="2" t="s">
        <v>81</v>
      </c>
      <c r="G663" s="2" t="s">
        <v>150</v>
      </c>
      <c r="H663" s="2" t="s">
        <v>659</v>
      </c>
      <c r="I663" s="2" t="s">
        <v>245</v>
      </c>
      <c r="J663" s="2" t="s">
        <v>246</v>
      </c>
      <c r="K663" s="2" t="s">
        <v>38</v>
      </c>
      <c r="L663" s="2" t="s">
        <v>38</v>
      </c>
      <c r="M663" s="2" t="s">
        <v>38</v>
      </c>
      <c r="N663" s="2" t="s">
        <v>38</v>
      </c>
      <c r="O663" s="2" t="s">
        <v>38</v>
      </c>
      <c r="P663" s="2" t="s">
        <v>39</v>
      </c>
      <c r="Q663" s="2" t="s">
        <v>38</v>
      </c>
      <c r="R663" s="2" t="s">
        <v>38</v>
      </c>
      <c r="S663" s="2" t="s">
        <v>38</v>
      </c>
      <c r="T663" s="2" t="s">
        <v>39</v>
      </c>
      <c r="U663" s="2" t="s">
        <v>38</v>
      </c>
      <c r="V663" s="2" t="s">
        <v>39</v>
      </c>
      <c r="W663" s="2" t="s">
        <v>38</v>
      </c>
      <c r="X663" s="2" t="s">
        <v>39</v>
      </c>
      <c r="Y663" s="2" t="s">
        <v>38</v>
      </c>
      <c r="Z663" s="2" t="s">
        <v>38</v>
      </c>
      <c r="AA663" s="2" t="s">
        <v>38</v>
      </c>
      <c r="AB663" s="2" t="s">
        <v>38</v>
      </c>
      <c r="AC663" s="2" t="s">
        <v>38</v>
      </c>
      <c r="AD663" s="2" t="s">
        <v>38</v>
      </c>
      <c r="AE663" s="2" t="s">
        <v>38</v>
      </c>
    </row>
    <row r="664" spans="1:31" ht="409.5">
      <c r="A664" s="2">
        <v>2686154</v>
      </c>
      <c r="B664" s="2">
        <f>HYPERLINK("https://platform.v2.vetology.net/cases/2686154/screening-report/18?type=pdf&amp;v=v6&amp;scorecard=1&amp;secret_key=BX%25IJ%24%2F65ieZ%29f6", 2686154)</f>
        <v>2686154</v>
      </c>
      <c r="C664" s="2">
        <f>HYPERLINK("https://platform.v2.vetology.net/report/v/final/"&amp;2686154, 2686154)</f>
        <v>2686154</v>
      </c>
      <c r="D664" s="2" t="s">
        <v>2102</v>
      </c>
      <c r="E664" s="2" t="s">
        <v>2103</v>
      </c>
      <c r="F664" s="2" t="s">
        <v>2104</v>
      </c>
      <c r="G664" s="2" t="s">
        <v>58</v>
      </c>
      <c r="H664" s="2" t="s">
        <v>2048</v>
      </c>
      <c r="I664" s="2" t="s">
        <v>841</v>
      </c>
      <c r="J664" s="2" t="s">
        <v>518</v>
      </c>
      <c r="K664" s="2" t="s">
        <v>38</v>
      </c>
      <c r="L664" s="2" t="s">
        <v>39</v>
      </c>
      <c r="M664" s="2" t="s">
        <v>39</v>
      </c>
      <c r="N664" s="2" t="s">
        <v>39</v>
      </c>
      <c r="O664" s="2" t="s">
        <v>38</v>
      </c>
      <c r="P664" s="2" t="s">
        <v>39</v>
      </c>
      <c r="Q664" s="2" t="s">
        <v>39</v>
      </c>
      <c r="R664" s="2" t="s">
        <v>39</v>
      </c>
      <c r="S664" s="2" t="s">
        <v>38</v>
      </c>
      <c r="T664" s="2" t="s">
        <v>38</v>
      </c>
      <c r="U664" s="2" t="s">
        <v>38</v>
      </c>
      <c r="V664" s="2" t="s">
        <v>38</v>
      </c>
      <c r="W664" s="2" t="s">
        <v>39</v>
      </c>
      <c r="X664" s="2" t="s">
        <v>38</v>
      </c>
      <c r="Y664" s="2" t="s">
        <v>39</v>
      </c>
      <c r="Z664" s="2" t="s">
        <v>38</v>
      </c>
      <c r="AA664" s="2" t="s">
        <v>38</v>
      </c>
      <c r="AB664" s="2" t="s">
        <v>39</v>
      </c>
      <c r="AC664" s="2" t="s">
        <v>39</v>
      </c>
      <c r="AD664" s="2" t="s">
        <v>38</v>
      </c>
      <c r="AE664" s="2" t="s">
        <v>39</v>
      </c>
    </row>
    <row r="665" spans="1:31" ht="409.5">
      <c r="A665" s="2">
        <v>2686110</v>
      </c>
      <c r="B665" s="2">
        <f>HYPERLINK("https://platform.v2.vetology.net/cases/2686110/screening-report/18?type=pdf&amp;v=v6&amp;scorecard=1&amp;secret_key=BX%25IJ%24%2F65ieZ%29f6", 2686110)</f>
        <v>2686110</v>
      </c>
      <c r="C665" s="2">
        <f>HYPERLINK("https://platform.v2.vetology.net/report/v/final/"&amp;2686110, 2686110)</f>
        <v>2686110</v>
      </c>
      <c r="D665" s="2" t="s">
        <v>2088</v>
      </c>
      <c r="E665" s="2" t="s">
        <v>387</v>
      </c>
      <c r="F665" s="2" t="s">
        <v>149</v>
      </c>
      <c r="G665" s="2" t="s">
        <v>150</v>
      </c>
      <c r="H665" s="2" t="s">
        <v>54</v>
      </c>
      <c r="I665" s="2" t="s">
        <v>44</v>
      </c>
      <c r="J665" s="2" t="s">
        <v>106</v>
      </c>
      <c r="K665" s="2" t="s">
        <v>38</v>
      </c>
      <c r="L665" s="2" t="s">
        <v>39</v>
      </c>
      <c r="M665" s="2" t="s">
        <v>38</v>
      </c>
      <c r="N665" s="2" t="s">
        <v>38</v>
      </c>
      <c r="O665" s="2" t="s">
        <v>38</v>
      </c>
      <c r="P665" s="2" t="s">
        <v>38</v>
      </c>
      <c r="Q665" s="2" t="s">
        <v>38</v>
      </c>
      <c r="R665" s="2" t="s">
        <v>38</v>
      </c>
      <c r="S665" s="2" t="s">
        <v>38</v>
      </c>
      <c r="T665" s="2" t="s">
        <v>38</v>
      </c>
      <c r="U665" s="2" t="s">
        <v>38</v>
      </c>
      <c r="V665" s="2" t="s">
        <v>38</v>
      </c>
      <c r="W665" s="2" t="s">
        <v>38</v>
      </c>
      <c r="X665" s="2" t="s">
        <v>38</v>
      </c>
      <c r="Y665" s="2" t="s">
        <v>38</v>
      </c>
      <c r="Z665" s="2" t="s">
        <v>38</v>
      </c>
      <c r="AA665" s="2" t="s">
        <v>38</v>
      </c>
      <c r="AB665" s="2" t="s">
        <v>38</v>
      </c>
      <c r="AC665" s="2" t="s">
        <v>38</v>
      </c>
      <c r="AD665" s="2" t="s">
        <v>38</v>
      </c>
      <c r="AE665" s="2" t="s">
        <v>38</v>
      </c>
    </row>
    <row r="666" spans="1:31" ht="409.5">
      <c r="A666" s="2">
        <v>2686077</v>
      </c>
      <c r="B666" s="2">
        <f>HYPERLINK("https://platform.v2.vetology.net/cases/2686077/screening-report/18?type=pdf&amp;v=v6&amp;scorecard=1&amp;secret_key=BX%25IJ%24%2F65ieZ%29f6", 2686077)</f>
        <v>2686077</v>
      </c>
      <c r="C666" s="2">
        <f>HYPERLINK("https://platform.v2.vetology.net/report/v/final/"&amp;2686077, 2686077)</f>
        <v>2686077</v>
      </c>
      <c r="D666" s="2" t="s">
        <v>2105</v>
      </c>
      <c r="E666" s="2" t="s">
        <v>2106</v>
      </c>
      <c r="F666" s="2" t="s">
        <v>2107</v>
      </c>
      <c r="G666" s="2" t="s">
        <v>464</v>
      </c>
      <c r="H666" s="2" t="s">
        <v>88</v>
      </c>
      <c r="I666" s="2" t="s">
        <v>89</v>
      </c>
      <c r="J666" s="2" t="s">
        <v>66</v>
      </c>
      <c r="K666" s="2" t="s">
        <v>38</v>
      </c>
      <c r="L666" s="2" t="s">
        <v>38</v>
      </c>
      <c r="M666" s="2" t="s">
        <v>38</v>
      </c>
      <c r="N666" s="2" t="s">
        <v>38</v>
      </c>
      <c r="O666" s="2" t="s">
        <v>38</v>
      </c>
      <c r="P666" s="2" t="s">
        <v>38</v>
      </c>
      <c r="Q666" s="2" t="s">
        <v>38</v>
      </c>
      <c r="R666" s="2" t="s">
        <v>38</v>
      </c>
      <c r="S666" s="2" t="s">
        <v>38</v>
      </c>
      <c r="T666" s="2" t="s">
        <v>38</v>
      </c>
      <c r="U666" s="2" t="s">
        <v>38</v>
      </c>
      <c r="V666" s="2" t="s">
        <v>38</v>
      </c>
      <c r="W666" s="2" t="s">
        <v>38</v>
      </c>
      <c r="X666" s="2" t="s">
        <v>38</v>
      </c>
      <c r="Y666" s="2" t="s">
        <v>38</v>
      </c>
      <c r="Z666" s="2" t="s">
        <v>38</v>
      </c>
      <c r="AA666" s="2" t="s">
        <v>38</v>
      </c>
      <c r="AB666" s="2" t="s">
        <v>39</v>
      </c>
      <c r="AC666" s="2" t="s">
        <v>38</v>
      </c>
      <c r="AD666" s="2" t="s">
        <v>38</v>
      </c>
      <c r="AE666" s="2" t="s">
        <v>39</v>
      </c>
    </row>
    <row r="667" spans="1:31" ht="409.5">
      <c r="A667" s="2">
        <v>2686065</v>
      </c>
      <c r="B667" s="2">
        <f>HYPERLINK("https://platform.v2.vetology.net/cases/2686065/screening-report/18?type=pdf&amp;v=v6&amp;scorecard=1&amp;secret_key=BX%25IJ%24%2F65ieZ%29f6", 2686065)</f>
        <v>2686065</v>
      </c>
      <c r="C667" s="2">
        <f>HYPERLINK("https://platform.v2.vetology.net/report/v/final/"&amp;2686065, 2686065)</f>
        <v>2686065</v>
      </c>
      <c r="D667" s="2" t="s">
        <v>386</v>
      </c>
      <c r="E667" s="2" t="s">
        <v>387</v>
      </c>
      <c r="F667" s="2" t="s">
        <v>149</v>
      </c>
      <c r="G667" s="2" t="s">
        <v>150</v>
      </c>
      <c r="H667" s="2" t="s">
        <v>2108</v>
      </c>
      <c r="I667" s="2" t="s">
        <v>137</v>
      </c>
      <c r="J667" s="2" t="s">
        <v>66</v>
      </c>
      <c r="K667" s="2" t="s">
        <v>38</v>
      </c>
      <c r="L667" s="2" t="s">
        <v>39</v>
      </c>
      <c r="M667" s="2" t="s">
        <v>38</v>
      </c>
      <c r="N667" s="2" t="s">
        <v>38</v>
      </c>
      <c r="O667" s="2" t="s">
        <v>38</v>
      </c>
      <c r="P667" s="2" t="s">
        <v>39</v>
      </c>
      <c r="Q667" s="2" t="s">
        <v>38</v>
      </c>
      <c r="R667" s="2" t="s">
        <v>38</v>
      </c>
      <c r="S667" s="2" t="s">
        <v>38</v>
      </c>
      <c r="T667" s="2" t="s">
        <v>38</v>
      </c>
      <c r="U667" s="2" t="s">
        <v>38</v>
      </c>
      <c r="V667" s="2" t="s">
        <v>38</v>
      </c>
      <c r="W667" s="2" t="s">
        <v>38</v>
      </c>
      <c r="X667" s="2" t="s">
        <v>38</v>
      </c>
      <c r="Y667" s="2" t="s">
        <v>38</v>
      </c>
      <c r="Z667" s="2" t="s">
        <v>38</v>
      </c>
      <c r="AA667" s="2" t="s">
        <v>38</v>
      </c>
      <c r="AB667" s="2" t="s">
        <v>38</v>
      </c>
      <c r="AC667" s="2" t="s">
        <v>38</v>
      </c>
      <c r="AD667" s="2" t="s">
        <v>38</v>
      </c>
      <c r="AE667" s="2" t="s">
        <v>39</v>
      </c>
    </row>
    <row r="668" spans="1:31" ht="409.5">
      <c r="A668" s="2">
        <v>2685756</v>
      </c>
      <c r="B668" s="2">
        <f>HYPERLINK("https://platform.v2.vetology.net/cases/2685756/screening-report/18?type=pdf&amp;v=v6&amp;scorecard=1&amp;secret_key=BX%25IJ%24%2F65ieZ%29f6", 2685756)</f>
        <v>2685756</v>
      </c>
      <c r="C668" s="2">
        <f>HYPERLINK("https://platform.v2.vetology.net/report/v/final/"&amp;2685756, 2685756)</f>
        <v>2685756</v>
      </c>
      <c r="D668" s="2" t="s">
        <v>2109</v>
      </c>
      <c r="E668" s="2" t="s">
        <v>2110</v>
      </c>
      <c r="F668" s="2" t="s">
        <v>2111</v>
      </c>
      <c r="G668" s="2" t="s">
        <v>63</v>
      </c>
      <c r="H668" s="2" t="s">
        <v>54</v>
      </c>
      <c r="I668" s="2" t="s">
        <v>44</v>
      </c>
      <c r="J668" s="2" t="s">
        <v>106</v>
      </c>
      <c r="K668" s="2" t="s">
        <v>38</v>
      </c>
      <c r="L668" s="2" t="s">
        <v>38</v>
      </c>
      <c r="M668" s="2" t="s">
        <v>38</v>
      </c>
      <c r="N668" s="2" t="s">
        <v>38</v>
      </c>
      <c r="O668" s="2" t="s">
        <v>38</v>
      </c>
      <c r="P668" s="2" t="s">
        <v>38</v>
      </c>
      <c r="Q668" s="2" t="s">
        <v>38</v>
      </c>
      <c r="R668" s="2" t="s">
        <v>38</v>
      </c>
      <c r="S668" s="2" t="s">
        <v>38</v>
      </c>
      <c r="T668" s="2" t="s">
        <v>38</v>
      </c>
      <c r="U668" s="2" t="s">
        <v>38</v>
      </c>
      <c r="V668" s="2" t="s">
        <v>38</v>
      </c>
      <c r="W668" s="2" t="s">
        <v>38</v>
      </c>
      <c r="X668" s="2" t="s">
        <v>38</v>
      </c>
      <c r="Y668" s="2" t="s">
        <v>38</v>
      </c>
      <c r="Z668" s="2" t="s">
        <v>38</v>
      </c>
      <c r="AA668" s="2" t="s">
        <v>38</v>
      </c>
      <c r="AB668" s="2" t="s">
        <v>38</v>
      </c>
      <c r="AC668" s="2" t="s">
        <v>38</v>
      </c>
      <c r="AD668" s="2" t="s">
        <v>38</v>
      </c>
      <c r="AE668" s="2" t="s">
        <v>38</v>
      </c>
    </row>
    <row r="669" spans="1:31" ht="409.5">
      <c r="A669" s="2">
        <v>2685624</v>
      </c>
      <c r="B669" s="2">
        <f>HYPERLINK("https://platform.v2.vetology.net/cases/2685624/screening-report/18?type=pdf&amp;v=v6&amp;scorecard=1&amp;secret_key=BX%25IJ%24%2F65ieZ%29f6", 2685624)</f>
        <v>2685624</v>
      </c>
      <c r="C669" s="2">
        <f>HYPERLINK("https://platform.v2.vetology.net/report/v/final/"&amp;2685624, 2685624)</f>
        <v>2685624</v>
      </c>
      <c r="D669" s="2" t="s">
        <v>2112</v>
      </c>
      <c r="E669" s="2" t="s">
        <v>2113</v>
      </c>
      <c r="F669" s="2" t="s">
        <v>2114</v>
      </c>
      <c r="G669" s="2" t="s">
        <v>93</v>
      </c>
      <c r="H669" s="2" t="s">
        <v>78</v>
      </c>
      <c r="I669" s="2" t="s">
        <v>44</v>
      </c>
      <c r="J669" s="2"/>
      <c r="K669" s="2" t="s">
        <v>38</v>
      </c>
      <c r="L669" s="2" t="s">
        <v>39</v>
      </c>
      <c r="M669" s="2" t="s">
        <v>39</v>
      </c>
      <c r="N669" s="2" t="s">
        <v>38</v>
      </c>
      <c r="O669" s="2" t="s">
        <v>38</v>
      </c>
      <c r="P669" s="2" t="s">
        <v>38</v>
      </c>
      <c r="Q669" s="2" t="s">
        <v>38</v>
      </c>
      <c r="R669" s="2" t="s">
        <v>38</v>
      </c>
      <c r="S669" s="2" t="s">
        <v>38</v>
      </c>
      <c r="T669" s="2" t="s">
        <v>39</v>
      </c>
      <c r="U669" s="2" t="s">
        <v>38</v>
      </c>
      <c r="V669" s="2" t="s">
        <v>39</v>
      </c>
      <c r="W669" s="2" t="s">
        <v>38</v>
      </c>
      <c r="X669" s="2" t="s">
        <v>39</v>
      </c>
      <c r="Y669" s="2" t="s">
        <v>38</v>
      </c>
      <c r="Z669" s="2" t="s">
        <v>38</v>
      </c>
      <c r="AA669" s="2" t="s">
        <v>38</v>
      </c>
      <c r="AB669" s="2" t="s">
        <v>39</v>
      </c>
      <c r="AC669" s="2" t="s">
        <v>38</v>
      </c>
      <c r="AD669" s="2" t="s">
        <v>38</v>
      </c>
      <c r="AE669" s="2" t="s">
        <v>38</v>
      </c>
    </row>
    <row r="670" spans="1:31" ht="409.5">
      <c r="A670" s="2">
        <v>2685593</v>
      </c>
      <c r="B670" s="2">
        <f>HYPERLINK("https://platform.v2.vetology.net/cases/2685593/screening-report/18?type=pdf&amp;v=v6&amp;scorecard=1&amp;secret_key=BX%25IJ%24%2F65ieZ%29f6", 2685593)</f>
        <v>2685593</v>
      </c>
      <c r="C670" s="2">
        <f>HYPERLINK("https://platform.v2.vetology.net/report/v/final/"&amp;2685593, 2685593)</f>
        <v>2685593</v>
      </c>
      <c r="D670" s="2" t="s">
        <v>2115</v>
      </c>
      <c r="E670" s="2" t="s">
        <v>2116</v>
      </c>
      <c r="F670" s="2" t="s">
        <v>81</v>
      </c>
      <c r="G670" s="2" t="s">
        <v>150</v>
      </c>
      <c r="H670" s="2" t="s">
        <v>54</v>
      </c>
      <c r="I670" s="2" t="s">
        <v>44</v>
      </c>
      <c r="J670" s="2"/>
      <c r="K670" s="2" t="s">
        <v>38</v>
      </c>
      <c r="L670" s="2" t="s">
        <v>39</v>
      </c>
      <c r="M670" s="2" t="s">
        <v>38</v>
      </c>
      <c r="N670" s="2" t="s">
        <v>38</v>
      </c>
      <c r="O670" s="2" t="s">
        <v>38</v>
      </c>
      <c r="P670" s="2" t="s">
        <v>38</v>
      </c>
      <c r="Q670" s="2" t="s">
        <v>38</v>
      </c>
      <c r="R670" s="2" t="s">
        <v>38</v>
      </c>
      <c r="S670" s="2" t="s">
        <v>38</v>
      </c>
      <c r="T670" s="2" t="s">
        <v>38</v>
      </c>
      <c r="U670" s="2" t="s">
        <v>38</v>
      </c>
      <c r="V670" s="2" t="s">
        <v>38</v>
      </c>
      <c r="W670" s="2" t="s">
        <v>38</v>
      </c>
      <c r="X670" s="2" t="s">
        <v>38</v>
      </c>
      <c r="Y670" s="2" t="s">
        <v>38</v>
      </c>
      <c r="Z670" s="2" t="s">
        <v>38</v>
      </c>
      <c r="AA670" s="2" t="s">
        <v>38</v>
      </c>
      <c r="AB670" s="2" t="s">
        <v>38</v>
      </c>
      <c r="AC670" s="2" t="s">
        <v>39</v>
      </c>
      <c r="AD670" s="2" t="s">
        <v>38</v>
      </c>
      <c r="AE670" s="2" t="s">
        <v>39</v>
      </c>
    </row>
    <row r="671" spans="1:31" ht="409.5">
      <c r="A671" s="2">
        <v>2685480</v>
      </c>
      <c r="B671" s="2">
        <f>HYPERLINK("https://platform.v2.vetology.net/cases/2685480/screening-report/18?type=pdf&amp;v=v6&amp;scorecard=1&amp;secret_key=BX%25IJ%24%2F65ieZ%29f6", 2685480)</f>
        <v>2685480</v>
      </c>
      <c r="C671" s="2">
        <f>HYPERLINK("https://platform.v2.vetology.net/report/v/final/"&amp;2685480, 2685480)</f>
        <v>2685480</v>
      </c>
      <c r="D671" s="2" t="s">
        <v>2117</v>
      </c>
      <c r="E671" s="2" t="s">
        <v>2118</v>
      </c>
      <c r="F671" s="2" t="s">
        <v>81</v>
      </c>
      <c r="G671" s="2" t="s">
        <v>268</v>
      </c>
      <c r="H671" s="2" t="s">
        <v>78</v>
      </c>
      <c r="I671" s="2" t="s">
        <v>44</v>
      </c>
      <c r="J671" s="2"/>
      <c r="K671" s="2" t="s">
        <v>38</v>
      </c>
      <c r="L671" s="2" t="s">
        <v>39</v>
      </c>
      <c r="M671" s="2" t="s">
        <v>38</v>
      </c>
      <c r="N671" s="2" t="s">
        <v>38</v>
      </c>
      <c r="O671" s="2" t="s">
        <v>38</v>
      </c>
      <c r="P671" s="2" t="s">
        <v>38</v>
      </c>
      <c r="Q671" s="2" t="s">
        <v>38</v>
      </c>
      <c r="R671" s="2" t="s">
        <v>38</v>
      </c>
      <c r="S671" s="2" t="s">
        <v>38</v>
      </c>
      <c r="T671" s="2" t="s">
        <v>39</v>
      </c>
      <c r="U671" s="2" t="s">
        <v>38</v>
      </c>
      <c r="V671" s="2" t="s">
        <v>38</v>
      </c>
      <c r="W671" s="2" t="s">
        <v>38</v>
      </c>
      <c r="X671" s="2" t="s">
        <v>39</v>
      </c>
      <c r="Y671" s="2" t="s">
        <v>38</v>
      </c>
      <c r="Z671" s="2" t="s">
        <v>38</v>
      </c>
      <c r="AA671" s="2" t="s">
        <v>38</v>
      </c>
      <c r="AB671" s="2" t="s">
        <v>38</v>
      </c>
      <c r="AC671" s="2" t="s">
        <v>39</v>
      </c>
      <c r="AD671" s="2" t="s">
        <v>38</v>
      </c>
      <c r="AE671" s="2" t="s">
        <v>38</v>
      </c>
    </row>
    <row r="672" spans="1:31" ht="409.5">
      <c r="A672" s="2">
        <v>2685275</v>
      </c>
      <c r="B672" s="2">
        <f>HYPERLINK("https://platform.v2.vetology.net/cases/2685275/screening-report/18?type=pdf&amp;v=v6&amp;scorecard=1&amp;secret_key=BX%25IJ%24%2F65ieZ%29f6", 2685275)</f>
        <v>2685275</v>
      </c>
      <c r="C672" s="2">
        <f>HYPERLINK("https://platform.v2.vetology.net/report/v/final/"&amp;2685275, 2685275)</f>
        <v>2685275</v>
      </c>
      <c r="D672" s="2" t="s">
        <v>2119</v>
      </c>
      <c r="E672" s="2" t="s">
        <v>2120</v>
      </c>
      <c r="F672" s="2" t="s">
        <v>2121</v>
      </c>
      <c r="G672" s="2" t="s">
        <v>464</v>
      </c>
      <c r="H672" s="2" t="s">
        <v>557</v>
      </c>
      <c r="I672" s="2" t="s">
        <v>382</v>
      </c>
      <c r="J672" s="2" t="s">
        <v>66</v>
      </c>
      <c r="K672" s="2" t="s">
        <v>38</v>
      </c>
      <c r="L672" s="2" t="s">
        <v>38</v>
      </c>
      <c r="M672" s="2" t="s">
        <v>39</v>
      </c>
      <c r="N672" s="2" t="s">
        <v>38</v>
      </c>
      <c r="O672" s="2" t="s">
        <v>39</v>
      </c>
      <c r="P672" s="2" t="s">
        <v>38</v>
      </c>
      <c r="Q672" s="2" t="s">
        <v>38</v>
      </c>
      <c r="R672" s="2" t="s">
        <v>38</v>
      </c>
      <c r="S672" s="2" t="s">
        <v>39</v>
      </c>
      <c r="T672" s="2" t="s">
        <v>38</v>
      </c>
      <c r="U672" s="2" t="s">
        <v>38</v>
      </c>
      <c r="V672" s="2" t="s">
        <v>38</v>
      </c>
      <c r="W672" s="2" t="s">
        <v>38</v>
      </c>
      <c r="X672" s="2" t="s">
        <v>38</v>
      </c>
      <c r="Y672" s="2" t="s">
        <v>38</v>
      </c>
      <c r="Z672" s="2" t="s">
        <v>39</v>
      </c>
      <c r="AA672" s="2" t="s">
        <v>38</v>
      </c>
      <c r="AB672" s="2" t="s">
        <v>38</v>
      </c>
      <c r="AC672" s="2" t="s">
        <v>38</v>
      </c>
      <c r="AD672" s="2" t="s">
        <v>38</v>
      </c>
      <c r="AE672" s="2" t="s">
        <v>38</v>
      </c>
    </row>
    <row r="673" spans="1:31" ht="409.5">
      <c r="A673" s="2">
        <v>2685094</v>
      </c>
      <c r="B673" s="2">
        <f>HYPERLINK("https://platform.v2.vetology.net/cases/2685094/screening-report/18?type=pdf&amp;v=v6&amp;scorecard=1&amp;secret_key=BX%25IJ%24%2F65ieZ%29f6", 2685094)</f>
        <v>2685094</v>
      </c>
      <c r="C673" s="2">
        <f>HYPERLINK("https://platform.v2.vetology.net/report/v/final/"&amp;2685094, 2685094)</f>
        <v>2685094</v>
      </c>
      <c r="D673" s="2" t="s">
        <v>2122</v>
      </c>
      <c r="E673" s="2" t="s">
        <v>2123</v>
      </c>
      <c r="F673" s="2" t="s">
        <v>2124</v>
      </c>
      <c r="G673" s="2" t="s">
        <v>464</v>
      </c>
      <c r="H673" s="2" t="s">
        <v>78</v>
      </c>
      <c r="I673" s="2" t="s">
        <v>44</v>
      </c>
      <c r="J673" s="2" t="s">
        <v>106</v>
      </c>
      <c r="K673" s="2" t="s">
        <v>38</v>
      </c>
      <c r="L673" s="2" t="s">
        <v>38</v>
      </c>
      <c r="M673" s="2" t="s">
        <v>38</v>
      </c>
      <c r="N673" s="2" t="s">
        <v>38</v>
      </c>
      <c r="O673" s="2" t="s">
        <v>38</v>
      </c>
      <c r="P673" s="2" t="s">
        <v>38</v>
      </c>
      <c r="Q673" s="2" t="s">
        <v>38</v>
      </c>
      <c r="R673" s="2" t="s">
        <v>38</v>
      </c>
      <c r="S673" s="2" t="s">
        <v>38</v>
      </c>
      <c r="T673" s="2" t="s">
        <v>38</v>
      </c>
      <c r="U673" s="2" t="s">
        <v>38</v>
      </c>
      <c r="V673" s="2" t="s">
        <v>38</v>
      </c>
      <c r="W673" s="2" t="s">
        <v>38</v>
      </c>
      <c r="X673" s="2" t="s">
        <v>38</v>
      </c>
      <c r="Y673" s="2" t="s">
        <v>38</v>
      </c>
      <c r="Z673" s="2" t="s">
        <v>38</v>
      </c>
      <c r="AA673" s="2" t="s">
        <v>38</v>
      </c>
      <c r="AB673" s="2" t="s">
        <v>39</v>
      </c>
      <c r="AC673" s="2" t="s">
        <v>38</v>
      </c>
      <c r="AD673" s="2" t="s">
        <v>38</v>
      </c>
      <c r="AE673" s="2" t="s">
        <v>38</v>
      </c>
    </row>
    <row r="674" spans="1:31" ht="409.5">
      <c r="A674" s="2">
        <v>2683794</v>
      </c>
      <c r="B674" s="2">
        <f>HYPERLINK("https://platform.v2.vetology.net/cases/2683794/screening-report/18?type=pdf&amp;v=v6&amp;scorecard=1&amp;secret_key=BX%25IJ%24%2F65ieZ%29f6", 2683794)</f>
        <v>2683794</v>
      </c>
      <c r="C674" s="2">
        <f>HYPERLINK("https://platform.v2.vetology.net/report/v/final/"&amp;2683794, 2683794)</f>
        <v>2683794</v>
      </c>
      <c r="D674" s="2" t="s">
        <v>2125</v>
      </c>
      <c r="E674" s="2" t="s">
        <v>2126</v>
      </c>
      <c r="F674" s="2" t="s">
        <v>81</v>
      </c>
      <c r="G674" s="2" t="s">
        <v>82</v>
      </c>
      <c r="H674" s="2" t="s">
        <v>78</v>
      </c>
      <c r="I674" s="2" t="s">
        <v>44</v>
      </c>
      <c r="J674" s="2"/>
      <c r="K674" s="2" t="s">
        <v>38</v>
      </c>
      <c r="L674" s="2" t="s">
        <v>39</v>
      </c>
      <c r="M674" s="2" t="s">
        <v>38</v>
      </c>
      <c r="N674" s="2" t="s">
        <v>38</v>
      </c>
      <c r="O674" s="2" t="s">
        <v>38</v>
      </c>
      <c r="P674" s="2" t="s">
        <v>38</v>
      </c>
      <c r="Q674" s="2" t="s">
        <v>38</v>
      </c>
      <c r="R674" s="2" t="s">
        <v>38</v>
      </c>
      <c r="S674" s="2" t="s">
        <v>38</v>
      </c>
      <c r="T674" s="2" t="s">
        <v>38</v>
      </c>
      <c r="U674" s="2" t="s">
        <v>38</v>
      </c>
      <c r="V674" s="2" t="s">
        <v>38</v>
      </c>
      <c r="W674" s="2" t="s">
        <v>38</v>
      </c>
      <c r="X674" s="2" t="s">
        <v>38</v>
      </c>
      <c r="Y674" s="2" t="s">
        <v>38</v>
      </c>
      <c r="Z674" s="2" t="s">
        <v>38</v>
      </c>
      <c r="AA674" s="2" t="s">
        <v>38</v>
      </c>
      <c r="AB674" s="2" t="s">
        <v>38</v>
      </c>
      <c r="AC674" s="2" t="s">
        <v>38</v>
      </c>
      <c r="AD674" s="2" t="s">
        <v>38</v>
      </c>
      <c r="AE674" s="2" t="s">
        <v>38</v>
      </c>
    </row>
    <row r="675" spans="1:31" ht="409.5">
      <c r="A675" s="2">
        <v>2683744</v>
      </c>
      <c r="B675" s="2">
        <f>HYPERLINK("https://platform.v2.vetology.net/cases/2683744/screening-report/18?type=pdf&amp;v=v6&amp;scorecard=1&amp;secret_key=BX%25IJ%24%2F65ieZ%29f6", 2683744)</f>
        <v>2683744</v>
      </c>
      <c r="C675" s="2">
        <f>HYPERLINK("https://platform.v2.vetology.net/report/v/final/"&amp;2683744, 2683744)</f>
        <v>2683744</v>
      </c>
      <c r="D675" s="2" t="s">
        <v>2127</v>
      </c>
      <c r="E675" s="2" t="s">
        <v>2128</v>
      </c>
      <c r="F675" s="2" t="s">
        <v>2129</v>
      </c>
      <c r="G675" s="2" t="s">
        <v>63</v>
      </c>
      <c r="H675" s="2" t="s">
        <v>2130</v>
      </c>
      <c r="I675" s="2" t="s">
        <v>137</v>
      </c>
      <c r="J675" s="2" t="s">
        <v>66</v>
      </c>
      <c r="K675" s="2" t="s">
        <v>38</v>
      </c>
      <c r="L675" s="2" t="s">
        <v>38</v>
      </c>
      <c r="M675" s="2" t="s">
        <v>38</v>
      </c>
      <c r="N675" s="2" t="s">
        <v>38</v>
      </c>
      <c r="O675" s="2" t="s">
        <v>38</v>
      </c>
      <c r="P675" s="2" t="s">
        <v>39</v>
      </c>
      <c r="Q675" s="2" t="s">
        <v>38</v>
      </c>
      <c r="R675" s="2" t="s">
        <v>38</v>
      </c>
      <c r="S675" s="2" t="s">
        <v>38</v>
      </c>
      <c r="T675" s="2" t="s">
        <v>38</v>
      </c>
      <c r="U675" s="2" t="s">
        <v>38</v>
      </c>
      <c r="V675" s="2" t="s">
        <v>38</v>
      </c>
      <c r="W675" s="2" t="s">
        <v>38</v>
      </c>
      <c r="X675" s="2" t="s">
        <v>38</v>
      </c>
      <c r="Y675" s="2" t="s">
        <v>38</v>
      </c>
      <c r="Z675" s="2" t="s">
        <v>38</v>
      </c>
      <c r="AA675" s="2" t="s">
        <v>38</v>
      </c>
      <c r="AB675" s="2" t="s">
        <v>39</v>
      </c>
      <c r="AC675" s="2" t="s">
        <v>38</v>
      </c>
      <c r="AD675" s="2" t="s">
        <v>38</v>
      </c>
      <c r="AE675" s="2" t="s">
        <v>38</v>
      </c>
    </row>
    <row r="676" spans="1:31" ht="409.5">
      <c r="A676" s="2">
        <v>2683690</v>
      </c>
      <c r="B676" s="2">
        <f>HYPERLINK("https://platform.v2.vetology.net/cases/2683690/screening-report/18?type=pdf&amp;v=v6&amp;scorecard=1&amp;secret_key=BX%25IJ%24%2F65ieZ%29f6", 2683690)</f>
        <v>2683690</v>
      </c>
      <c r="C676" s="2">
        <f>HYPERLINK("https://platform.v2.vetology.net/report/v/final/"&amp;2683690, 2683690)</f>
        <v>2683690</v>
      </c>
      <c r="D676" s="2" t="s">
        <v>2131</v>
      </c>
      <c r="E676" s="2" t="s">
        <v>2132</v>
      </c>
      <c r="F676" s="2" t="s">
        <v>2133</v>
      </c>
      <c r="G676" s="2" t="s">
        <v>63</v>
      </c>
      <c r="H676" s="2" t="s">
        <v>78</v>
      </c>
      <c r="I676" s="2" t="s">
        <v>44</v>
      </c>
      <c r="J676" s="2"/>
      <c r="K676" s="2" t="s">
        <v>38</v>
      </c>
      <c r="L676" s="2" t="s">
        <v>39</v>
      </c>
      <c r="M676" s="2" t="s">
        <v>38</v>
      </c>
      <c r="N676" s="2" t="s">
        <v>38</v>
      </c>
      <c r="O676" s="2" t="s">
        <v>38</v>
      </c>
      <c r="P676" s="2" t="s">
        <v>38</v>
      </c>
      <c r="Q676" s="2" t="s">
        <v>38</v>
      </c>
      <c r="R676" s="2" t="s">
        <v>38</v>
      </c>
      <c r="S676" s="2" t="s">
        <v>38</v>
      </c>
      <c r="T676" s="2" t="s">
        <v>39</v>
      </c>
      <c r="U676" s="2" t="s">
        <v>38</v>
      </c>
      <c r="V676" s="2" t="s">
        <v>39</v>
      </c>
      <c r="W676" s="2" t="s">
        <v>38</v>
      </c>
      <c r="X676" s="2" t="s">
        <v>39</v>
      </c>
      <c r="Y676" s="2" t="s">
        <v>38</v>
      </c>
      <c r="Z676" s="2" t="s">
        <v>38</v>
      </c>
      <c r="AA676" s="2" t="s">
        <v>38</v>
      </c>
      <c r="AB676" s="2" t="s">
        <v>38</v>
      </c>
      <c r="AC676" s="2" t="s">
        <v>38</v>
      </c>
      <c r="AD676" s="2" t="s">
        <v>38</v>
      </c>
      <c r="AE676" s="2" t="s">
        <v>38</v>
      </c>
    </row>
    <row r="677" spans="1:31" ht="409.5">
      <c r="A677" s="2">
        <v>2683649</v>
      </c>
      <c r="B677" s="2">
        <f>HYPERLINK("https://platform.v2.vetology.net/cases/2683649/screening-report/18?type=pdf&amp;v=v6&amp;scorecard=1&amp;secret_key=BX%25IJ%24%2F65ieZ%29f6", 2683649)</f>
        <v>2683649</v>
      </c>
      <c r="C677" s="2">
        <f>HYPERLINK("https://platform.v2.vetology.net/report/v/final/"&amp;2683649, 2683649)</f>
        <v>2683649</v>
      </c>
      <c r="D677" s="2" t="s">
        <v>2134</v>
      </c>
      <c r="E677" s="2" t="s">
        <v>2135</v>
      </c>
      <c r="F677" s="2" t="s">
        <v>2136</v>
      </c>
      <c r="G677" s="2" t="s">
        <v>212</v>
      </c>
      <c r="H677" s="2" t="s">
        <v>78</v>
      </c>
      <c r="I677" s="2" t="s">
        <v>44</v>
      </c>
      <c r="J677" s="2"/>
      <c r="K677" s="2" t="s">
        <v>38</v>
      </c>
      <c r="L677" s="2" t="s">
        <v>39</v>
      </c>
      <c r="M677" s="2" t="s">
        <v>39</v>
      </c>
      <c r="N677" s="2" t="s">
        <v>38</v>
      </c>
      <c r="O677" s="2" t="s">
        <v>38</v>
      </c>
      <c r="P677" s="2" t="s">
        <v>38</v>
      </c>
      <c r="Q677" s="2" t="s">
        <v>38</v>
      </c>
      <c r="R677" s="2" t="s">
        <v>38</v>
      </c>
      <c r="S677" s="2" t="s">
        <v>39</v>
      </c>
      <c r="T677" s="2" t="s">
        <v>39</v>
      </c>
      <c r="U677" s="2" t="s">
        <v>38</v>
      </c>
      <c r="V677" s="2" t="s">
        <v>39</v>
      </c>
      <c r="W677" s="2" t="s">
        <v>38</v>
      </c>
      <c r="X677" s="2" t="s">
        <v>39</v>
      </c>
      <c r="Y677" s="2" t="s">
        <v>38</v>
      </c>
      <c r="Z677" s="2" t="s">
        <v>39</v>
      </c>
      <c r="AA677" s="2" t="s">
        <v>38</v>
      </c>
      <c r="AB677" s="2" t="s">
        <v>39</v>
      </c>
      <c r="AC677" s="2" t="s">
        <v>38</v>
      </c>
      <c r="AD677" s="2" t="s">
        <v>38</v>
      </c>
      <c r="AE677" s="2" t="s">
        <v>38</v>
      </c>
    </row>
    <row r="678" spans="1:31" ht="409.5">
      <c r="A678" s="2">
        <v>2683625</v>
      </c>
      <c r="B678" s="2">
        <f>HYPERLINK("https://platform.v2.vetology.net/cases/2683625/screening-report/18?type=pdf&amp;v=v6&amp;scorecard=1&amp;secret_key=BX%25IJ%24%2F65ieZ%29f6", 2683625)</f>
        <v>2683625</v>
      </c>
      <c r="C678" s="2">
        <f>HYPERLINK("https://platform.v2.vetology.net/report/v/final/"&amp;2683625, 2683625)</f>
        <v>2683625</v>
      </c>
      <c r="D678" s="2" t="s">
        <v>2137</v>
      </c>
      <c r="E678" s="2" t="s">
        <v>2138</v>
      </c>
      <c r="F678" s="2" t="s">
        <v>2139</v>
      </c>
      <c r="G678" s="2" t="s">
        <v>464</v>
      </c>
      <c r="H678" s="2" t="s">
        <v>71</v>
      </c>
      <c r="I678" s="2" t="s">
        <v>199</v>
      </c>
      <c r="J678" s="2"/>
      <c r="K678" s="2" t="s">
        <v>38</v>
      </c>
      <c r="L678" s="2" t="s">
        <v>38</v>
      </c>
      <c r="M678" s="2" t="s">
        <v>38</v>
      </c>
      <c r="N678" s="2" t="s">
        <v>38</v>
      </c>
      <c r="O678" s="2" t="s">
        <v>38</v>
      </c>
      <c r="P678" s="2" t="s">
        <v>38</v>
      </c>
      <c r="Q678" s="2" t="s">
        <v>38</v>
      </c>
      <c r="R678" s="2" t="s">
        <v>38</v>
      </c>
      <c r="S678" s="2" t="s">
        <v>38</v>
      </c>
      <c r="T678" s="2" t="s">
        <v>39</v>
      </c>
      <c r="U678" s="2" t="s">
        <v>39</v>
      </c>
      <c r="V678" s="2" t="s">
        <v>39</v>
      </c>
      <c r="W678" s="2" t="s">
        <v>38</v>
      </c>
      <c r="X678" s="2" t="s">
        <v>39</v>
      </c>
      <c r="Y678" s="2" t="s">
        <v>38</v>
      </c>
      <c r="Z678" s="2" t="s">
        <v>38</v>
      </c>
      <c r="AA678" s="2" t="s">
        <v>38</v>
      </c>
      <c r="AB678" s="2" t="s">
        <v>38</v>
      </c>
      <c r="AC678" s="2" t="s">
        <v>38</v>
      </c>
      <c r="AD678" s="2" t="s">
        <v>38</v>
      </c>
      <c r="AE678" s="2" t="s">
        <v>38</v>
      </c>
    </row>
    <row r="679" spans="1:31" ht="409.5">
      <c r="A679" s="2">
        <v>2683582</v>
      </c>
      <c r="B679" s="2">
        <f>HYPERLINK("https://platform.v2.vetology.net/cases/2683582/screening-report/18?type=pdf&amp;v=v6&amp;scorecard=1&amp;secret_key=BX%25IJ%24%2F65ieZ%29f6", 2683582)</f>
        <v>2683582</v>
      </c>
      <c r="C679" s="2">
        <f>HYPERLINK("https://platform.v2.vetology.net/report/v/final/"&amp;2683582, 2683582)</f>
        <v>2683582</v>
      </c>
      <c r="D679" s="2" t="s">
        <v>2140</v>
      </c>
      <c r="E679" s="2" t="s">
        <v>1492</v>
      </c>
      <c r="F679" s="2" t="s">
        <v>81</v>
      </c>
      <c r="G679" s="2" t="s">
        <v>150</v>
      </c>
      <c r="H679" s="2" t="s">
        <v>2141</v>
      </c>
      <c r="I679" s="2" t="s">
        <v>145</v>
      </c>
      <c r="J679" s="2" t="s">
        <v>146</v>
      </c>
      <c r="K679" s="2" t="s">
        <v>38</v>
      </c>
      <c r="L679" s="2" t="s">
        <v>39</v>
      </c>
      <c r="M679" s="2" t="s">
        <v>38</v>
      </c>
      <c r="N679" s="2" t="s">
        <v>38</v>
      </c>
      <c r="O679" s="2" t="s">
        <v>38</v>
      </c>
      <c r="P679" s="2" t="s">
        <v>38</v>
      </c>
      <c r="Q679" s="2" t="s">
        <v>38</v>
      </c>
      <c r="R679" s="2" t="s">
        <v>38</v>
      </c>
      <c r="S679" s="2" t="s">
        <v>38</v>
      </c>
      <c r="T679" s="2" t="s">
        <v>38</v>
      </c>
      <c r="U679" s="2" t="s">
        <v>38</v>
      </c>
      <c r="V679" s="2" t="s">
        <v>38</v>
      </c>
      <c r="W679" s="2" t="s">
        <v>38</v>
      </c>
      <c r="X679" s="2" t="s">
        <v>38</v>
      </c>
      <c r="Y679" s="2" t="s">
        <v>38</v>
      </c>
      <c r="Z679" s="2" t="s">
        <v>38</v>
      </c>
      <c r="AA679" s="2" t="s">
        <v>38</v>
      </c>
      <c r="AB679" s="2" t="s">
        <v>39</v>
      </c>
      <c r="AC679" s="2" t="s">
        <v>38</v>
      </c>
      <c r="AD679" s="2" t="s">
        <v>38</v>
      </c>
      <c r="AE679" s="2" t="s">
        <v>38</v>
      </c>
    </row>
    <row r="680" spans="1:31" ht="409.5">
      <c r="A680" s="2">
        <v>2683580</v>
      </c>
      <c r="B680" s="2">
        <f>HYPERLINK("https://platform.v2.vetology.net/cases/2683580/screening-report/18?type=pdf&amp;v=v6&amp;scorecard=1&amp;secret_key=BX%25IJ%24%2F65ieZ%29f6", 2683580)</f>
        <v>2683580</v>
      </c>
      <c r="C680" s="2">
        <f>HYPERLINK("https://platform.v2.vetology.net/report/v/final/"&amp;2683580, 2683580)</f>
        <v>2683580</v>
      </c>
      <c r="D680" s="2" t="s">
        <v>2142</v>
      </c>
      <c r="E680" s="2" t="s">
        <v>2143</v>
      </c>
      <c r="F680" s="2" t="s">
        <v>1901</v>
      </c>
      <c r="G680" s="2" t="s">
        <v>150</v>
      </c>
      <c r="H680" s="2" t="s">
        <v>360</v>
      </c>
      <c r="I680" s="2" t="s">
        <v>284</v>
      </c>
      <c r="J680" s="2" t="s">
        <v>285</v>
      </c>
      <c r="K680" s="2" t="s">
        <v>38</v>
      </c>
      <c r="L680" s="2" t="s">
        <v>38</v>
      </c>
      <c r="M680" s="2" t="s">
        <v>38</v>
      </c>
      <c r="N680" s="2" t="s">
        <v>38</v>
      </c>
      <c r="O680" s="2" t="s">
        <v>38</v>
      </c>
      <c r="P680" s="2" t="s">
        <v>38</v>
      </c>
      <c r="Q680" s="2" t="s">
        <v>38</v>
      </c>
      <c r="R680" s="2" t="s">
        <v>38</v>
      </c>
      <c r="S680" s="2" t="s">
        <v>38</v>
      </c>
      <c r="T680" s="2" t="s">
        <v>38</v>
      </c>
      <c r="U680" s="2" t="s">
        <v>38</v>
      </c>
      <c r="V680" s="2" t="s">
        <v>38</v>
      </c>
      <c r="W680" s="2" t="s">
        <v>38</v>
      </c>
      <c r="X680" s="2" t="s">
        <v>38</v>
      </c>
      <c r="Y680" s="2" t="s">
        <v>38</v>
      </c>
      <c r="Z680" s="2" t="s">
        <v>38</v>
      </c>
      <c r="AA680" s="2" t="s">
        <v>38</v>
      </c>
      <c r="AB680" s="2" t="s">
        <v>38</v>
      </c>
      <c r="AC680" s="2" t="s">
        <v>38</v>
      </c>
      <c r="AD680" s="2" t="s">
        <v>38</v>
      </c>
      <c r="AE680" s="2" t="s">
        <v>38</v>
      </c>
    </row>
    <row r="681" spans="1:31" ht="409.5">
      <c r="A681" s="2">
        <v>2683512</v>
      </c>
      <c r="B681" s="2">
        <f>HYPERLINK("https://platform.v2.vetology.net/cases/2683512/screening-report/18?type=pdf&amp;v=v6&amp;scorecard=1&amp;secret_key=BX%25IJ%24%2F65ieZ%29f6", 2683512)</f>
        <v>2683512</v>
      </c>
      <c r="C681" s="2">
        <f>HYPERLINK("https://platform.v2.vetology.net/report/v/final/"&amp;2683512, 2683512)</f>
        <v>2683512</v>
      </c>
      <c r="D681" s="2" t="s">
        <v>2144</v>
      </c>
      <c r="E681" s="2" t="s">
        <v>2145</v>
      </c>
      <c r="F681" s="2" t="s">
        <v>81</v>
      </c>
      <c r="G681" s="2" t="s">
        <v>150</v>
      </c>
      <c r="H681" s="2" t="s">
        <v>2146</v>
      </c>
      <c r="I681" s="2" t="s">
        <v>2147</v>
      </c>
      <c r="J681" s="2" t="s">
        <v>313</v>
      </c>
      <c r="K681" s="2" t="s">
        <v>38</v>
      </c>
      <c r="L681" s="2" t="s">
        <v>39</v>
      </c>
      <c r="M681" s="2" t="s">
        <v>39</v>
      </c>
      <c r="N681" s="2" t="s">
        <v>39</v>
      </c>
      <c r="O681" s="2" t="s">
        <v>39</v>
      </c>
      <c r="P681" s="2" t="s">
        <v>39</v>
      </c>
      <c r="Q681" s="2" t="s">
        <v>39</v>
      </c>
      <c r="R681" s="2" t="s">
        <v>38</v>
      </c>
      <c r="S681" s="2" t="s">
        <v>39</v>
      </c>
      <c r="T681" s="2" t="s">
        <v>39</v>
      </c>
      <c r="U681" s="2" t="s">
        <v>38</v>
      </c>
      <c r="V681" s="2" t="s">
        <v>39</v>
      </c>
      <c r="W681" s="2" t="s">
        <v>38</v>
      </c>
      <c r="X681" s="2" t="s">
        <v>39</v>
      </c>
      <c r="Y681" s="2" t="s">
        <v>38</v>
      </c>
      <c r="Z681" s="2" t="s">
        <v>39</v>
      </c>
      <c r="AA681" s="2" t="s">
        <v>38</v>
      </c>
      <c r="AB681" s="2" t="s">
        <v>39</v>
      </c>
      <c r="AC681" s="2" t="s">
        <v>39</v>
      </c>
      <c r="AD681" s="2" t="s">
        <v>38</v>
      </c>
      <c r="AE681" s="2" t="s">
        <v>38</v>
      </c>
    </row>
    <row r="682" spans="1:31" ht="409.5">
      <c r="A682" s="2">
        <v>2683471</v>
      </c>
      <c r="B682" s="2">
        <f>HYPERLINK("https://platform.v2.vetology.net/cases/2683471/screening-report/18?type=pdf&amp;v=v6&amp;scorecard=1&amp;secret_key=BX%25IJ%24%2F65ieZ%29f6", 2683471)</f>
        <v>2683471</v>
      </c>
      <c r="C682" s="2">
        <f>HYPERLINK("https://platform.v2.vetology.net/report/v/final/"&amp;2683471, 2683471)</f>
        <v>2683471</v>
      </c>
      <c r="D682" s="2" t="s">
        <v>2148</v>
      </c>
      <c r="E682" s="2" t="s">
        <v>2149</v>
      </c>
      <c r="F682" s="2" t="s">
        <v>81</v>
      </c>
      <c r="G682" s="2" t="s">
        <v>150</v>
      </c>
      <c r="H682" s="2" t="s">
        <v>2150</v>
      </c>
      <c r="I682" s="2" t="s">
        <v>1156</v>
      </c>
      <c r="J682" s="2" t="s">
        <v>66</v>
      </c>
      <c r="K682" s="2" t="s">
        <v>38</v>
      </c>
      <c r="L682" s="2" t="s">
        <v>39</v>
      </c>
      <c r="M682" s="2" t="s">
        <v>39</v>
      </c>
      <c r="N682" s="2" t="s">
        <v>39</v>
      </c>
      <c r="O682" s="2" t="s">
        <v>38</v>
      </c>
      <c r="P682" s="2" t="s">
        <v>39</v>
      </c>
      <c r="Q682" s="2" t="s">
        <v>38</v>
      </c>
      <c r="R682" s="2" t="s">
        <v>38</v>
      </c>
      <c r="S682" s="2" t="s">
        <v>39</v>
      </c>
      <c r="T682" s="2" t="s">
        <v>39</v>
      </c>
      <c r="U682" s="2" t="s">
        <v>39</v>
      </c>
      <c r="V682" s="2" t="s">
        <v>39</v>
      </c>
      <c r="W682" s="2" t="s">
        <v>38</v>
      </c>
      <c r="X682" s="2" t="s">
        <v>39</v>
      </c>
      <c r="Y682" s="2" t="s">
        <v>38</v>
      </c>
      <c r="Z682" s="2" t="s">
        <v>39</v>
      </c>
      <c r="AA682" s="2" t="s">
        <v>38</v>
      </c>
      <c r="AB682" s="2" t="s">
        <v>39</v>
      </c>
      <c r="AC682" s="2" t="s">
        <v>39</v>
      </c>
      <c r="AD682" s="2" t="s">
        <v>38</v>
      </c>
      <c r="AE682" s="2" t="s">
        <v>38</v>
      </c>
    </row>
    <row r="683" spans="1:31" ht="409.5">
      <c r="A683" s="2">
        <v>2683408</v>
      </c>
      <c r="B683" s="2">
        <f>HYPERLINK("https://platform.v2.vetology.net/cases/2683408/screening-report/18?type=pdf&amp;v=v6&amp;scorecard=1&amp;secret_key=BX%25IJ%24%2F65ieZ%29f6", 2683408)</f>
        <v>2683408</v>
      </c>
      <c r="C683" s="2">
        <f>HYPERLINK("https://platform.v2.vetology.net/report/v/final/"&amp;2683408, 2683408)</f>
        <v>2683408</v>
      </c>
      <c r="D683" s="2" t="s">
        <v>2151</v>
      </c>
      <c r="E683" s="2" t="s">
        <v>2152</v>
      </c>
      <c r="F683" s="2" t="s">
        <v>2153</v>
      </c>
      <c r="G683" s="2" t="s">
        <v>150</v>
      </c>
      <c r="H683" s="2" t="s">
        <v>88</v>
      </c>
      <c r="I683" s="2" t="s">
        <v>89</v>
      </c>
      <c r="J683" s="2" t="s">
        <v>66</v>
      </c>
      <c r="K683" s="2" t="s">
        <v>38</v>
      </c>
      <c r="L683" s="2" t="s">
        <v>39</v>
      </c>
      <c r="M683" s="2" t="s">
        <v>39</v>
      </c>
      <c r="N683" s="2" t="s">
        <v>38</v>
      </c>
      <c r="O683" s="2" t="s">
        <v>38</v>
      </c>
      <c r="P683" s="2" t="s">
        <v>38</v>
      </c>
      <c r="Q683" s="2" t="s">
        <v>38</v>
      </c>
      <c r="R683" s="2" t="s">
        <v>38</v>
      </c>
      <c r="S683" s="2" t="s">
        <v>38</v>
      </c>
      <c r="T683" s="2" t="s">
        <v>38</v>
      </c>
      <c r="U683" s="2" t="s">
        <v>38</v>
      </c>
      <c r="V683" s="2" t="s">
        <v>38</v>
      </c>
      <c r="W683" s="2" t="s">
        <v>38</v>
      </c>
      <c r="X683" s="2" t="s">
        <v>38</v>
      </c>
      <c r="Y683" s="2" t="s">
        <v>38</v>
      </c>
      <c r="Z683" s="2" t="s">
        <v>38</v>
      </c>
      <c r="AA683" s="2" t="s">
        <v>38</v>
      </c>
      <c r="AB683" s="2" t="s">
        <v>39</v>
      </c>
      <c r="AC683" s="2" t="s">
        <v>38</v>
      </c>
      <c r="AD683" s="2" t="s">
        <v>38</v>
      </c>
      <c r="AE683" s="2" t="s">
        <v>39</v>
      </c>
    </row>
    <row r="684" spans="1:31" ht="409.5">
      <c r="A684" s="2">
        <v>2683322</v>
      </c>
      <c r="B684" s="2">
        <f>HYPERLINK("https://platform.v2.vetology.net/cases/2683322/screening-report/18?type=pdf&amp;v=v6&amp;scorecard=1&amp;secret_key=BX%25IJ%24%2F65ieZ%29f6", 2683322)</f>
        <v>2683322</v>
      </c>
      <c r="C684" s="2">
        <f>HYPERLINK("https://platform.v2.vetology.net/report/v/final/"&amp;2683322, 2683322)</f>
        <v>2683322</v>
      </c>
      <c r="D684" s="2" t="s">
        <v>229</v>
      </c>
      <c r="E684" s="2" t="s">
        <v>148</v>
      </c>
      <c r="F684" s="2" t="s">
        <v>149</v>
      </c>
      <c r="G684" s="2" t="s">
        <v>150</v>
      </c>
      <c r="H684" s="2" t="s">
        <v>78</v>
      </c>
      <c r="I684" s="2" t="s">
        <v>199</v>
      </c>
      <c r="J684" s="2"/>
      <c r="K684" s="2" t="s">
        <v>38</v>
      </c>
      <c r="L684" s="2" t="s">
        <v>39</v>
      </c>
      <c r="M684" s="2" t="s">
        <v>38</v>
      </c>
      <c r="N684" s="2" t="s">
        <v>38</v>
      </c>
      <c r="O684" s="2" t="s">
        <v>38</v>
      </c>
      <c r="P684" s="2" t="s">
        <v>38</v>
      </c>
      <c r="Q684" s="2" t="s">
        <v>38</v>
      </c>
      <c r="R684" s="2" t="s">
        <v>38</v>
      </c>
      <c r="S684" s="2" t="s">
        <v>38</v>
      </c>
      <c r="T684" s="2" t="s">
        <v>39</v>
      </c>
      <c r="U684" s="2" t="s">
        <v>38</v>
      </c>
      <c r="V684" s="2" t="s">
        <v>39</v>
      </c>
      <c r="W684" s="2" t="s">
        <v>38</v>
      </c>
      <c r="X684" s="2" t="s">
        <v>39</v>
      </c>
      <c r="Y684" s="2" t="s">
        <v>38</v>
      </c>
      <c r="Z684" s="2" t="s">
        <v>38</v>
      </c>
      <c r="AA684" s="2" t="s">
        <v>38</v>
      </c>
      <c r="AB684" s="2" t="s">
        <v>38</v>
      </c>
      <c r="AC684" s="2" t="s">
        <v>38</v>
      </c>
      <c r="AD684" s="2" t="s">
        <v>38</v>
      </c>
      <c r="AE684" s="2" t="s">
        <v>38</v>
      </c>
    </row>
    <row r="685" spans="1:31" ht="409.5">
      <c r="A685" s="2">
        <v>2683209</v>
      </c>
      <c r="B685" s="2">
        <f>HYPERLINK("https://platform.v2.vetology.net/cases/2683209/screening-report/18?type=pdf&amp;v=v6&amp;scorecard=1&amp;secret_key=BX%25IJ%24%2F65ieZ%29f6", 2683209)</f>
        <v>2683209</v>
      </c>
      <c r="C685" s="2">
        <f>HYPERLINK("https://platform.v2.vetology.net/report/v/final/"&amp;2683209, 2683209)</f>
        <v>2683209</v>
      </c>
      <c r="D685" s="2" t="s">
        <v>2154</v>
      </c>
      <c r="E685" s="2" t="s">
        <v>2155</v>
      </c>
      <c r="F685" s="2"/>
      <c r="G685" s="2" t="s">
        <v>141</v>
      </c>
      <c r="H685" s="2" t="s">
        <v>1754</v>
      </c>
      <c r="I685" s="2" t="s">
        <v>988</v>
      </c>
      <c r="J685" s="2" t="s">
        <v>989</v>
      </c>
      <c r="K685" s="2" t="s">
        <v>39</v>
      </c>
      <c r="L685" s="2" t="s">
        <v>39</v>
      </c>
      <c r="M685" s="2" t="s">
        <v>39</v>
      </c>
      <c r="N685" s="2" t="s">
        <v>39</v>
      </c>
      <c r="O685" s="2" t="s">
        <v>39</v>
      </c>
      <c r="P685" s="2" t="s">
        <v>39</v>
      </c>
      <c r="Q685" s="2" t="s">
        <v>39</v>
      </c>
      <c r="R685" s="2" t="s">
        <v>39</v>
      </c>
      <c r="S685" s="2" t="s">
        <v>39</v>
      </c>
      <c r="T685" s="2" t="s">
        <v>39</v>
      </c>
      <c r="U685" s="2" t="s">
        <v>39</v>
      </c>
      <c r="V685" s="2" t="s">
        <v>39</v>
      </c>
      <c r="W685" s="2" t="s">
        <v>39</v>
      </c>
      <c r="X685" s="2" t="s">
        <v>39</v>
      </c>
      <c r="Y685" s="2" t="s">
        <v>39</v>
      </c>
      <c r="Z685" s="2" t="s">
        <v>39</v>
      </c>
      <c r="AA685" s="2" t="s">
        <v>39</v>
      </c>
      <c r="AB685" s="2" t="s">
        <v>39</v>
      </c>
      <c r="AC685" s="2" t="s">
        <v>39</v>
      </c>
      <c r="AD685" s="2" t="s">
        <v>38</v>
      </c>
      <c r="AE685" s="2" t="s">
        <v>38</v>
      </c>
    </row>
    <row r="686" spans="1:31" ht="409.5">
      <c r="A686" s="2">
        <v>2683203</v>
      </c>
      <c r="B686" s="2">
        <f>HYPERLINK("https://platform.v2.vetology.net/cases/2683203/screening-report/18?type=pdf&amp;v=v6&amp;scorecard=1&amp;secret_key=BX%25IJ%24%2F65ieZ%29f6", 2683203)</f>
        <v>2683203</v>
      </c>
      <c r="C686" s="2">
        <f>HYPERLINK("https://platform.v2.vetology.net/report/v/final/"&amp;2683203, 2683203)</f>
        <v>2683203</v>
      </c>
      <c r="D686" s="2" t="s">
        <v>2156</v>
      </c>
      <c r="E686" s="2" t="s">
        <v>2157</v>
      </c>
      <c r="F686" s="2" t="s">
        <v>2158</v>
      </c>
      <c r="G686" s="2" t="s">
        <v>212</v>
      </c>
      <c r="H686" s="2" t="s">
        <v>1147</v>
      </c>
      <c r="I686" s="2" t="s">
        <v>190</v>
      </c>
      <c r="J686" s="2" t="s">
        <v>112</v>
      </c>
      <c r="K686" s="2" t="s">
        <v>39</v>
      </c>
      <c r="L686" s="2" t="s">
        <v>39</v>
      </c>
      <c r="M686" s="2" t="s">
        <v>39</v>
      </c>
      <c r="N686" s="2" t="s">
        <v>39</v>
      </c>
      <c r="O686" s="2" t="s">
        <v>39</v>
      </c>
      <c r="P686" s="2" t="s">
        <v>39</v>
      </c>
      <c r="Q686" s="2" t="s">
        <v>39</v>
      </c>
      <c r="R686" s="2" t="s">
        <v>39</v>
      </c>
      <c r="S686" s="2" t="s">
        <v>39</v>
      </c>
      <c r="T686" s="2" t="s">
        <v>39</v>
      </c>
      <c r="U686" s="2" t="s">
        <v>39</v>
      </c>
      <c r="V686" s="2" t="s">
        <v>39</v>
      </c>
      <c r="W686" s="2" t="s">
        <v>39</v>
      </c>
      <c r="X686" s="2" t="s">
        <v>39</v>
      </c>
      <c r="Y686" s="2" t="s">
        <v>39</v>
      </c>
      <c r="Z686" s="2" t="s">
        <v>39</v>
      </c>
      <c r="AA686" s="2" t="s">
        <v>39</v>
      </c>
      <c r="AB686" s="2" t="s">
        <v>39</v>
      </c>
      <c r="AC686" s="2" t="s">
        <v>39</v>
      </c>
      <c r="AD686" s="2" t="s">
        <v>39</v>
      </c>
      <c r="AE686" s="2" t="s">
        <v>39</v>
      </c>
    </row>
    <row r="687" spans="1:31" ht="409.5">
      <c r="A687" s="2">
        <v>2682846</v>
      </c>
      <c r="B687" s="2">
        <f>HYPERLINK("https://platform.v2.vetology.net/cases/2682846/screening-report/18?type=pdf&amp;v=v6&amp;scorecard=1&amp;secret_key=BX%25IJ%24%2F65ieZ%29f6", 2682846)</f>
        <v>2682846</v>
      </c>
      <c r="C687" s="2">
        <f>HYPERLINK("https://platform.v2.vetology.net/report/v/final/"&amp;2682846, 2682846)</f>
        <v>2682846</v>
      </c>
      <c r="D687" s="2" t="s">
        <v>2159</v>
      </c>
      <c r="E687" s="2" t="s">
        <v>2160</v>
      </c>
      <c r="F687" s="2" t="s">
        <v>2161</v>
      </c>
      <c r="G687" s="2" t="s">
        <v>34</v>
      </c>
      <c r="H687" s="2" t="s">
        <v>2162</v>
      </c>
      <c r="I687" s="2" t="s">
        <v>2067</v>
      </c>
      <c r="J687" s="2" t="s">
        <v>66</v>
      </c>
      <c r="K687" s="2" t="s">
        <v>38</v>
      </c>
      <c r="L687" s="2" t="s">
        <v>39</v>
      </c>
      <c r="M687" s="2" t="s">
        <v>38</v>
      </c>
      <c r="N687" s="2" t="s">
        <v>38</v>
      </c>
      <c r="O687" s="2" t="s">
        <v>38</v>
      </c>
      <c r="P687" s="2" t="s">
        <v>38</v>
      </c>
      <c r="Q687" s="2" t="s">
        <v>38</v>
      </c>
      <c r="R687" s="2" t="s">
        <v>38</v>
      </c>
      <c r="S687" s="2" t="s">
        <v>38</v>
      </c>
      <c r="T687" s="2" t="s">
        <v>39</v>
      </c>
      <c r="U687" s="2" t="s">
        <v>38</v>
      </c>
      <c r="V687" s="2" t="s">
        <v>39</v>
      </c>
      <c r="W687" s="2" t="s">
        <v>38</v>
      </c>
      <c r="X687" s="2" t="s">
        <v>39</v>
      </c>
      <c r="Y687" s="2" t="s">
        <v>38</v>
      </c>
      <c r="Z687" s="2" t="s">
        <v>38</v>
      </c>
      <c r="AA687" s="2" t="s">
        <v>38</v>
      </c>
      <c r="AB687" s="2" t="s">
        <v>38</v>
      </c>
      <c r="AC687" s="2" t="s">
        <v>38</v>
      </c>
      <c r="AD687" s="2" t="s">
        <v>38</v>
      </c>
      <c r="AE687" s="2" t="s">
        <v>38</v>
      </c>
    </row>
    <row r="688" spans="1:31" ht="409.5">
      <c r="A688" s="2">
        <v>2682543</v>
      </c>
      <c r="B688" s="2">
        <f>HYPERLINK("https://platform.v2.vetology.net/cases/2682543/screening-report/18?type=pdf&amp;v=v6&amp;scorecard=1&amp;secret_key=BX%25IJ%24%2F65ieZ%29f6", 2682543)</f>
        <v>2682543</v>
      </c>
      <c r="C688" s="2">
        <f>HYPERLINK("https://platform.v2.vetology.net/report/v/final/"&amp;2682543, 2682543)</f>
        <v>2682543</v>
      </c>
      <c r="D688" s="2" t="s">
        <v>2163</v>
      </c>
      <c r="E688" s="2" t="s">
        <v>2164</v>
      </c>
      <c r="F688" s="2" t="s">
        <v>2165</v>
      </c>
      <c r="G688" s="2" t="s">
        <v>93</v>
      </c>
      <c r="H688" s="2" t="s">
        <v>2141</v>
      </c>
      <c r="I688" s="2" t="s">
        <v>145</v>
      </c>
      <c r="J688" s="2" t="s">
        <v>146</v>
      </c>
      <c r="K688" s="2" t="s">
        <v>38</v>
      </c>
      <c r="L688" s="2" t="s">
        <v>39</v>
      </c>
      <c r="M688" s="2" t="s">
        <v>39</v>
      </c>
      <c r="N688" s="2" t="s">
        <v>38</v>
      </c>
      <c r="O688" s="2" t="s">
        <v>38</v>
      </c>
      <c r="P688" s="2" t="s">
        <v>39</v>
      </c>
      <c r="Q688" s="2" t="s">
        <v>38</v>
      </c>
      <c r="R688" s="2" t="s">
        <v>38</v>
      </c>
      <c r="S688" s="2" t="s">
        <v>38</v>
      </c>
      <c r="T688" s="2" t="s">
        <v>39</v>
      </c>
      <c r="U688" s="2" t="s">
        <v>38</v>
      </c>
      <c r="V688" s="2" t="s">
        <v>39</v>
      </c>
      <c r="W688" s="2" t="s">
        <v>38</v>
      </c>
      <c r="X688" s="2" t="s">
        <v>39</v>
      </c>
      <c r="Y688" s="2" t="s">
        <v>38</v>
      </c>
      <c r="Z688" s="2" t="s">
        <v>38</v>
      </c>
      <c r="AA688" s="2" t="s">
        <v>38</v>
      </c>
      <c r="AB688" s="2" t="s">
        <v>39</v>
      </c>
      <c r="AC688" s="2" t="s">
        <v>38</v>
      </c>
      <c r="AD688" s="2" t="s">
        <v>38</v>
      </c>
      <c r="AE688" s="2" t="s">
        <v>38</v>
      </c>
    </row>
    <row r="689" spans="1:31" ht="409.5">
      <c r="A689" s="2">
        <v>2682342</v>
      </c>
      <c r="B689" s="2">
        <f>HYPERLINK("https://platform.v2.vetology.net/cases/2682342/screening-report/18?type=pdf&amp;v=v6&amp;scorecard=1&amp;secret_key=BX%25IJ%24%2F65ieZ%29f6", 2682342)</f>
        <v>2682342</v>
      </c>
      <c r="C689" s="2">
        <f>HYPERLINK("https://platform.v2.vetology.net/report/v/final/"&amp;2682342, 2682342)</f>
        <v>2682342</v>
      </c>
      <c r="D689" s="2" t="s">
        <v>2166</v>
      </c>
      <c r="E689" s="2" t="s">
        <v>2167</v>
      </c>
      <c r="F689" s="2" t="s">
        <v>2168</v>
      </c>
      <c r="G689" s="2" t="s">
        <v>93</v>
      </c>
      <c r="H689" s="2" t="s">
        <v>1364</v>
      </c>
      <c r="I689" s="2" t="s">
        <v>290</v>
      </c>
      <c r="J689" s="2" t="s">
        <v>66</v>
      </c>
      <c r="K689" s="2" t="s">
        <v>38</v>
      </c>
      <c r="L689" s="2" t="s">
        <v>39</v>
      </c>
      <c r="M689" s="2" t="s">
        <v>39</v>
      </c>
      <c r="N689" s="2" t="s">
        <v>39</v>
      </c>
      <c r="O689" s="2" t="s">
        <v>38</v>
      </c>
      <c r="P689" s="2" t="s">
        <v>39</v>
      </c>
      <c r="Q689" s="2" t="s">
        <v>38</v>
      </c>
      <c r="R689" s="2" t="s">
        <v>38</v>
      </c>
      <c r="S689" s="2" t="s">
        <v>39</v>
      </c>
      <c r="T689" s="2" t="s">
        <v>38</v>
      </c>
      <c r="U689" s="2" t="s">
        <v>38</v>
      </c>
      <c r="V689" s="2" t="s">
        <v>38</v>
      </c>
      <c r="W689" s="2" t="s">
        <v>38</v>
      </c>
      <c r="X689" s="2" t="s">
        <v>38</v>
      </c>
      <c r="Y689" s="2" t="s">
        <v>38</v>
      </c>
      <c r="Z689" s="2" t="s">
        <v>39</v>
      </c>
      <c r="AA689" s="2" t="s">
        <v>38</v>
      </c>
      <c r="AB689" s="2" t="s">
        <v>39</v>
      </c>
      <c r="AC689" s="2" t="s">
        <v>39</v>
      </c>
      <c r="AD689" s="2" t="s">
        <v>38</v>
      </c>
      <c r="AE689" s="2" t="s">
        <v>38</v>
      </c>
    </row>
    <row r="690" spans="1:31" ht="409.5">
      <c r="A690" s="2">
        <v>2682278</v>
      </c>
      <c r="B690" s="2">
        <f>HYPERLINK("https://platform.v2.vetology.net/cases/2682278/screening-report/18?type=pdf&amp;v=v6&amp;scorecard=1&amp;secret_key=BX%25IJ%24%2F65ieZ%29f6", 2682278)</f>
        <v>2682278</v>
      </c>
      <c r="C690" s="2">
        <f>HYPERLINK("https://platform.v2.vetology.net/report/v/final/"&amp;2682278, 2682278)</f>
        <v>2682278</v>
      </c>
      <c r="D690" s="2" t="s">
        <v>2169</v>
      </c>
      <c r="E690" s="2" t="s">
        <v>2170</v>
      </c>
      <c r="F690" s="2" t="s">
        <v>698</v>
      </c>
      <c r="G690" s="2" t="s">
        <v>150</v>
      </c>
      <c r="H690" s="2" t="s">
        <v>129</v>
      </c>
      <c r="I690" s="2" t="s">
        <v>44</v>
      </c>
      <c r="J690" s="2" t="s">
        <v>106</v>
      </c>
      <c r="K690" s="2" t="s">
        <v>38</v>
      </c>
      <c r="L690" s="2" t="s">
        <v>38</v>
      </c>
      <c r="M690" s="2" t="s">
        <v>38</v>
      </c>
      <c r="N690" s="2" t="s">
        <v>38</v>
      </c>
      <c r="O690" s="2" t="s">
        <v>38</v>
      </c>
      <c r="P690" s="2" t="s">
        <v>38</v>
      </c>
      <c r="Q690" s="2" t="s">
        <v>38</v>
      </c>
      <c r="R690" s="2" t="s">
        <v>38</v>
      </c>
      <c r="S690" s="2" t="s">
        <v>38</v>
      </c>
      <c r="T690" s="2" t="s">
        <v>38</v>
      </c>
      <c r="U690" s="2" t="s">
        <v>38</v>
      </c>
      <c r="V690" s="2" t="s">
        <v>38</v>
      </c>
      <c r="W690" s="2" t="s">
        <v>38</v>
      </c>
      <c r="X690" s="2" t="s">
        <v>38</v>
      </c>
      <c r="Y690" s="2" t="s">
        <v>38</v>
      </c>
      <c r="Z690" s="2" t="s">
        <v>38</v>
      </c>
      <c r="AA690" s="2" t="s">
        <v>38</v>
      </c>
      <c r="AB690" s="2" t="s">
        <v>38</v>
      </c>
      <c r="AC690" s="2" t="s">
        <v>38</v>
      </c>
      <c r="AD690" s="2" t="s">
        <v>38</v>
      </c>
      <c r="AE690" s="2" t="s">
        <v>38</v>
      </c>
    </row>
    <row r="691" spans="1:31" ht="409.5">
      <c r="A691" s="2">
        <v>2682268</v>
      </c>
      <c r="B691" s="2">
        <f>HYPERLINK("https://platform.v2.vetology.net/cases/2682268/screening-report/18?type=pdf&amp;v=v6&amp;scorecard=1&amp;secret_key=BX%25IJ%24%2F65ieZ%29f6", 2682268)</f>
        <v>2682268</v>
      </c>
      <c r="C691" s="2">
        <f>HYPERLINK("https://platform.v2.vetology.net/report/v/final/"&amp;2682268, 2682268)</f>
        <v>2682268</v>
      </c>
      <c r="D691" s="2" t="s">
        <v>2171</v>
      </c>
      <c r="E691" s="2" t="s">
        <v>2172</v>
      </c>
      <c r="F691" s="2" t="s">
        <v>2173</v>
      </c>
      <c r="G691" s="2" t="s">
        <v>93</v>
      </c>
      <c r="H691" s="2" t="s">
        <v>54</v>
      </c>
      <c r="I691" s="2" t="s">
        <v>44</v>
      </c>
      <c r="J691" s="2"/>
      <c r="K691" s="2" t="s">
        <v>38</v>
      </c>
      <c r="L691" s="2" t="s">
        <v>39</v>
      </c>
      <c r="M691" s="2" t="s">
        <v>39</v>
      </c>
      <c r="N691" s="2" t="s">
        <v>38</v>
      </c>
      <c r="O691" s="2" t="s">
        <v>38</v>
      </c>
      <c r="P691" s="2" t="s">
        <v>39</v>
      </c>
      <c r="Q691" s="2" t="s">
        <v>38</v>
      </c>
      <c r="R691" s="2" t="s">
        <v>38</v>
      </c>
      <c r="S691" s="2" t="s">
        <v>38</v>
      </c>
      <c r="T691" s="2" t="s">
        <v>38</v>
      </c>
      <c r="U691" s="2" t="s">
        <v>38</v>
      </c>
      <c r="V691" s="2" t="s">
        <v>38</v>
      </c>
      <c r="W691" s="2" t="s">
        <v>38</v>
      </c>
      <c r="X691" s="2" t="s">
        <v>38</v>
      </c>
      <c r="Y691" s="2" t="s">
        <v>38</v>
      </c>
      <c r="Z691" s="2" t="s">
        <v>38</v>
      </c>
      <c r="AA691" s="2" t="s">
        <v>38</v>
      </c>
      <c r="AB691" s="2" t="s">
        <v>38</v>
      </c>
      <c r="AC691" s="2" t="s">
        <v>38</v>
      </c>
      <c r="AD691" s="2" t="s">
        <v>38</v>
      </c>
      <c r="AE691" s="2" t="s">
        <v>38</v>
      </c>
    </row>
    <row r="692" spans="1:31" ht="409.5">
      <c r="A692" s="2">
        <v>2682189</v>
      </c>
      <c r="B692" s="2">
        <f>HYPERLINK("https://platform.v2.vetology.net/cases/2682189/screening-report/18?type=pdf&amp;v=v6&amp;scorecard=1&amp;secret_key=BX%25IJ%24%2F65ieZ%29f6", 2682189)</f>
        <v>2682189</v>
      </c>
      <c r="C692" s="2">
        <f>HYPERLINK("https://platform.v2.vetology.net/report/v/final/"&amp;2682189, 2682189)</f>
        <v>2682189</v>
      </c>
      <c r="D692" s="2" t="s">
        <v>2174</v>
      </c>
      <c r="E692" s="2" t="s">
        <v>304</v>
      </c>
      <c r="F692" s="2" t="s">
        <v>2175</v>
      </c>
      <c r="G692" s="2" t="s">
        <v>150</v>
      </c>
      <c r="H692" s="2" t="s">
        <v>78</v>
      </c>
      <c r="I692" s="2" t="s">
        <v>44</v>
      </c>
      <c r="J692" s="2"/>
      <c r="K692" s="2" t="s">
        <v>38</v>
      </c>
      <c r="L692" s="2" t="s">
        <v>39</v>
      </c>
      <c r="M692" s="2" t="s">
        <v>38</v>
      </c>
      <c r="N692" s="2" t="s">
        <v>38</v>
      </c>
      <c r="O692" s="2" t="s">
        <v>38</v>
      </c>
      <c r="P692" s="2" t="s">
        <v>38</v>
      </c>
      <c r="Q692" s="2" t="s">
        <v>38</v>
      </c>
      <c r="R692" s="2" t="s">
        <v>38</v>
      </c>
      <c r="S692" s="2" t="s">
        <v>38</v>
      </c>
      <c r="T692" s="2" t="s">
        <v>39</v>
      </c>
      <c r="U692" s="2" t="s">
        <v>38</v>
      </c>
      <c r="V692" s="2" t="s">
        <v>39</v>
      </c>
      <c r="W692" s="2" t="s">
        <v>38</v>
      </c>
      <c r="X692" s="2" t="s">
        <v>39</v>
      </c>
      <c r="Y692" s="2" t="s">
        <v>38</v>
      </c>
      <c r="Z692" s="2" t="s">
        <v>38</v>
      </c>
      <c r="AA692" s="2" t="s">
        <v>38</v>
      </c>
      <c r="AB692" s="2" t="s">
        <v>38</v>
      </c>
      <c r="AC692" s="2" t="s">
        <v>38</v>
      </c>
      <c r="AD692" s="2" t="s">
        <v>38</v>
      </c>
      <c r="AE692" s="2" t="s">
        <v>38</v>
      </c>
    </row>
    <row r="693" spans="1:31" ht="409.5">
      <c r="A693" s="2">
        <v>2682180</v>
      </c>
      <c r="B693" s="2">
        <f>HYPERLINK("https://platform.v2.vetology.net/cases/2682180/screening-report/18?type=pdf&amp;v=v6&amp;scorecard=1&amp;secret_key=BX%25IJ%24%2F65ieZ%29f6", 2682180)</f>
        <v>2682180</v>
      </c>
      <c r="C693" s="2">
        <f>HYPERLINK("https://platform.v2.vetology.net/report/v/final/"&amp;2682180, 2682180)</f>
        <v>2682180</v>
      </c>
      <c r="D693" s="2" t="s">
        <v>2176</v>
      </c>
      <c r="E693" s="2" t="s">
        <v>2177</v>
      </c>
      <c r="F693" s="2" t="s">
        <v>2178</v>
      </c>
      <c r="G693" s="2" t="s">
        <v>63</v>
      </c>
      <c r="H693" s="2" t="s">
        <v>177</v>
      </c>
      <c r="I693" s="2" t="s">
        <v>124</v>
      </c>
      <c r="J693" s="2" t="s">
        <v>125</v>
      </c>
      <c r="K693" s="2" t="s">
        <v>38</v>
      </c>
      <c r="L693" s="2" t="s">
        <v>38</v>
      </c>
      <c r="M693" s="2" t="s">
        <v>39</v>
      </c>
      <c r="N693" s="2" t="s">
        <v>38</v>
      </c>
      <c r="O693" s="2" t="s">
        <v>38</v>
      </c>
      <c r="P693" s="2" t="s">
        <v>38</v>
      </c>
      <c r="Q693" s="2" t="s">
        <v>38</v>
      </c>
      <c r="R693" s="2" t="s">
        <v>38</v>
      </c>
      <c r="S693" s="2" t="s">
        <v>38</v>
      </c>
      <c r="T693" s="2" t="s">
        <v>38</v>
      </c>
      <c r="U693" s="2" t="s">
        <v>38</v>
      </c>
      <c r="V693" s="2" t="s">
        <v>38</v>
      </c>
      <c r="W693" s="2" t="s">
        <v>38</v>
      </c>
      <c r="X693" s="2" t="s">
        <v>38</v>
      </c>
      <c r="Y693" s="2" t="s">
        <v>38</v>
      </c>
      <c r="Z693" s="2" t="s">
        <v>38</v>
      </c>
      <c r="AA693" s="2" t="s">
        <v>38</v>
      </c>
      <c r="AB693" s="2" t="s">
        <v>39</v>
      </c>
      <c r="AC693" s="2" t="s">
        <v>39</v>
      </c>
      <c r="AD693" s="2" t="s">
        <v>38</v>
      </c>
      <c r="AE693" s="2" t="s">
        <v>38</v>
      </c>
    </row>
    <row r="694" spans="1:31" ht="409.5">
      <c r="A694" s="2">
        <v>2681570</v>
      </c>
      <c r="B694" s="2">
        <f>HYPERLINK("https://platform.v2.vetology.net/cases/2681570/screening-report/18?type=pdf&amp;v=v6&amp;scorecard=1&amp;secret_key=BX%25IJ%24%2F65ieZ%29f6", 2681570)</f>
        <v>2681570</v>
      </c>
      <c r="C694" s="2">
        <f>HYPERLINK("https://platform.v2.vetology.net/report/v/final/"&amp;2681570, 2681570)</f>
        <v>2681570</v>
      </c>
      <c r="D694" s="2" t="s">
        <v>2179</v>
      </c>
      <c r="E694" s="2" t="s">
        <v>2180</v>
      </c>
      <c r="F694" s="2" t="s">
        <v>81</v>
      </c>
      <c r="G694" s="2" t="s">
        <v>82</v>
      </c>
      <c r="H694" s="2" t="s">
        <v>162</v>
      </c>
      <c r="I694" s="2" t="s">
        <v>124</v>
      </c>
      <c r="J694" s="2" t="s">
        <v>125</v>
      </c>
      <c r="K694" s="2" t="s">
        <v>38</v>
      </c>
      <c r="L694" s="2" t="s">
        <v>38</v>
      </c>
      <c r="M694" s="2" t="s">
        <v>39</v>
      </c>
      <c r="N694" s="2" t="s">
        <v>38</v>
      </c>
      <c r="O694" s="2" t="s">
        <v>38</v>
      </c>
      <c r="P694" s="2" t="s">
        <v>39</v>
      </c>
      <c r="Q694" s="2" t="s">
        <v>38</v>
      </c>
      <c r="R694" s="2" t="s">
        <v>38</v>
      </c>
      <c r="S694" s="2" t="s">
        <v>39</v>
      </c>
      <c r="T694" s="2" t="s">
        <v>38</v>
      </c>
      <c r="U694" s="2" t="s">
        <v>38</v>
      </c>
      <c r="V694" s="2" t="s">
        <v>38</v>
      </c>
      <c r="W694" s="2" t="s">
        <v>38</v>
      </c>
      <c r="X694" s="2" t="s">
        <v>38</v>
      </c>
      <c r="Y694" s="2" t="s">
        <v>38</v>
      </c>
      <c r="Z694" s="2" t="s">
        <v>39</v>
      </c>
      <c r="AA694" s="2" t="s">
        <v>38</v>
      </c>
      <c r="AB694" s="2" t="s">
        <v>39</v>
      </c>
      <c r="AC694" s="2" t="s">
        <v>39</v>
      </c>
      <c r="AD694" s="2" t="s">
        <v>38</v>
      </c>
      <c r="AE694" s="2" t="s">
        <v>38</v>
      </c>
    </row>
    <row r="695" spans="1:31" ht="409.5">
      <c r="A695" s="2">
        <v>2681373</v>
      </c>
      <c r="B695" s="2">
        <f>HYPERLINK("https://platform.v2.vetology.net/cases/2681373/screening-report/18?type=pdf&amp;v=v6&amp;scorecard=1&amp;secret_key=BX%25IJ%24%2F65ieZ%29f6", 2681373)</f>
        <v>2681373</v>
      </c>
      <c r="C695" s="2">
        <f>HYPERLINK("https://platform.v2.vetology.net/report/v/final/"&amp;2681373, 2681373)</f>
        <v>2681373</v>
      </c>
      <c r="D695" s="2" t="s">
        <v>2181</v>
      </c>
      <c r="E695" s="2" t="s">
        <v>2182</v>
      </c>
      <c r="F695" s="2" t="s">
        <v>2183</v>
      </c>
      <c r="G695" s="2" t="s">
        <v>63</v>
      </c>
      <c r="H695" s="2" t="s">
        <v>283</v>
      </c>
      <c r="I695" s="2" t="s">
        <v>284</v>
      </c>
      <c r="J695" s="2" t="s">
        <v>285</v>
      </c>
      <c r="K695" s="2" t="s">
        <v>38</v>
      </c>
      <c r="L695" s="2" t="s">
        <v>38</v>
      </c>
      <c r="M695" s="2" t="s">
        <v>38</v>
      </c>
      <c r="N695" s="2" t="s">
        <v>38</v>
      </c>
      <c r="O695" s="2" t="s">
        <v>38</v>
      </c>
      <c r="P695" s="2" t="s">
        <v>38</v>
      </c>
      <c r="Q695" s="2" t="s">
        <v>38</v>
      </c>
      <c r="R695" s="2" t="s">
        <v>38</v>
      </c>
      <c r="S695" s="2" t="s">
        <v>38</v>
      </c>
      <c r="T695" s="2" t="s">
        <v>38</v>
      </c>
      <c r="U695" s="2" t="s">
        <v>38</v>
      </c>
      <c r="V695" s="2" t="s">
        <v>38</v>
      </c>
      <c r="W695" s="2" t="s">
        <v>38</v>
      </c>
      <c r="X695" s="2" t="s">
        <v>38</v>
      </c>
      <c r="Y695" s="2" t="s">
        <v>38</v>
      </c>
      <c r="Z695" s="2" t="s">
        <v>38</v>
      </c>
      <c r="AA695" s="2" t="s">
        <v>38</v>
      </c>
      <c r="AB695" s="2" t="s">
        <v>38</v>
      </c>
      <c r="AC695" s="2" t="s">
        <v>38</v>
      </c>
      <c r="AD695" s="2" t="s">
        <v>38</v>
      </c>
      <c r="AE695" s="2" t="s">
        <v>38</v>
      </c>
    </row>
    <row r="696" spans="1:31" ht="409.5">
      <c r="A696" s="2">
        <v>2681267</v>
      </c>
      <c r="B696" s="2">
        <f>HYPERLINK("https://platform.v2.vetology.net/cases/2681267/screening-report/18?type=pdf&amp;v=v6&amp;scorecard=1&amp;secret_key=BX%25IJ%24%2F65ieZ%29f6", 2681267)</f>
        <v>2681267</v>
      </c>
      <c r="C696" s="2">
        <f>HYPERLINK("https://platform.v2.vetology.net/report/v/final/"&amp;2681267, 2681267)</f>
        <v>2681267</v>
      </c>
      <c r="D696" s="2" t="s">
        <v>1974</v>
      </c>
      <c r="E696" s="2" t="s">
        <v>1590</v>
      </c>
      <c r="F696" s="2" t="s">
        <v>149</v>
      </c>
      <c r="G696" s="2" t="s">
        <v>150</v>
      </c>
      <c r="H696" s="2" t="s">
        <v>771</v>
      </c>
      <c r="I696" s="2" t="s">
        <v>44</v>
      </c>
      <c r="J696" s="2"/>
      <c r="K696" s="2" t="s">
        <v>38</v>
      </c>
      <c r="L696" s="2" t="s">
        <v>38</v>
      </c>
      <c r="M696" s="2" t="s">
        <v>39</v>
      </c>
      <c r="N696" s="2" t="s">
        <v>38</v>
      </c>
      <c r="O696" s="2" t="s">
        <v>38</v>
      </c>
      <c r="P696" s="2" t="s">
        <v>38</v>
      </c>
      <c r="Q696" s="2" t="s">
        <v>38</v>
      </c>
      <c r="R696" s="2" t="s">
        <v>38</v>
      </c>
      <c r="S696" s="2" t="s">
        <v>38</v>
      </c>
      <c r="T696" s="2" t="s">
        <v>39</v>
      </c>
      <c r="U696" s="2" t="s">
        <v>38</v>
      </c>
      <c r="V696" s="2" t="s">
        <v>38</v>
      </c>
      <c r="W696" s="2" t="s">
        <v>38</v>
      </c>
      <c r="X696" s="2" t="s">
        <v>39</v>
      </c>
      <c r="Y696" s="2" t="s">
        <v>38</v>
      </c>
      <c r="Z696" s="2" t="s">
        <v>38</v>
      </c>
      <c r="AA696" s="2" t="s">
        <v>38</v>
      </c>
      <c r="AB696" s="2" t="s">
        <v>38</v>
      </c>
      <c r="AC696" s="2" t="s">
        <v>38</v>
      </c>
      <c r="AD696" s="2" t="s">
        <v>38</v>
      </c>
      <c r="AE696" s="2" t="s">
        <v>38</v>
      </c>
    </row>
    <row r="697" spans="1:31" ht="409.5">
      <c r="A697" s="2">
        <v>2681093</v>
      </c>
      <c r="B697" s="2">
        <f>HYPERLINK("https://platform.v2.vetology.net/cases/2681093/screening-report/18?type=pdf&amp;v=v6&amp;scorecard=1&amp;secret_key=BX%25IJ%24%2F65ieZ%29f6", 2681093)</f>
        <v>2681093</v>
      </c>
      <c r="C697" s="2">
        <f>HYPERLINK("https://platform.v2.vetology.net/report/v/final/"&amp;2681093, 2681093)</f>
        <v>2681093</v>
      </c>
      <c r="D697" s="2" t="s">
        <v>2184</v>
      </c>
      <c r="E697" s="2" t="s">
        <v>2185</v>
      </c>
      <c r="F697" s="2" t="s">
        <v>81</v>
      </c>
      <c r="G697" s="2" t="s">
        <v>82</v>
      </c>
      <c r="H697" s="2" t="s">
        <v>78</v>
      </c>
      <c r="I697" s="2" t="s">
        <v>44</v>
      </c>
      <c r="J697" s="2"/>
      <c r="K697" s="2" t="s">
        <v>38</v>
      </c>
      <c r="L697" s="2" t="s">
        <v>38</v>
      </c>
      <c r="M697" s="2" t="s">
        <v>38</v>
      </c>
      <c r="N697" s="2" t="s">
        <v>38</v>
      </c>
      <c r="O697" s="2" t="s">
        <v>38</v>
      </c>
      <c r="P697" s="2" t="s">
        <v>38</v>
      </c>
      <c r="Q697" s="2" t="s">
        <v>38</v>
      </c>
      <c r="R697" s="2" t="s">
        <v>38</v>
      </c>
      <c r="S697" s="2" t="s">
        <v>38</v>
      </c>
      <c r="T697" s="2" t="s">
        <v>39</v>
      </c>
      <c r="U697" s="2" t="s">
        <v>38</v>
      </c>
      <c r="V697" s="2" t="s">
        <v>38</v>
      </c>
      <c r="W697" s="2" t="s">
        <v>38</v>
      </c>
      <c r="X697" s="2" t="s">
        <v>39</v>
      </c>
      <c r="Y697" s="2" t="s">
        <v>38</v>
      </c>
      <c r="Z697" s="2" t="s">
        <v>38</v>
      </c>
      <c r="AA697" s="2" t="s">
        <v>38</v>
      </c>
      <c r="AB697" s="2" t="s">
        <v>38</v>
      </c>
      <c r="AC697" s="2" t="s">
        <v>38</v>
      </c>
      <c r="AD697" s="2" t="s">
        <v>38</v>
      </c>
      <c r="AE697" s="2" t="s">
        <v>38</v>
      </c>
    </row>
    <row r="698" spans="1:31" ht="409.5">
      <c r="A698" s="2">
        <v>2680935</v>
      </c>
      <c r="B698" s="2">
        <f>HYPERLINK("https://platform.v2.vetology.net/cases/2680935/screening-report/18?type=pdf&amp;v=v6&amp;scorecard=1&amp;secret_key=BX%25IJ%24%2F65ieZ%29f6", 2680935)</f>
        <v>2680935</v>
      </c>
      <c r="C698" s="2">
        <f>HYPERLINK("https://platform.v2.vetology.net/report/v/final/"&amp;2680935, 2680935)</f>
        <v>2680935</v>
      </c>
      <c r="D698" s="2" t="s">
        <v>2186</v>
      </c>
      <c r="E698" s="2" t="s">
        <v>2187</v>
      </c>
      <c r="F698" s="2" t="s">
        <v>2188</v>
      </c>
      <c r="G698" s="2" t="s">
        <v>58</v>
      </c>
      <c r="H698" s="2" t="s">
        <v>71</v>
      </c>
      <c r="I698" s="2" t="s">
        <v>44</v>
      </c>
      <c r="J698" s="2"/>
      <c r="K698" s="2" t="s">
        <v>38</v>
      </c>
      <c r="L698" s="2" t="s">
        <v>39</v>
      </c>
      <c r="M698" s="2" t="s">
        <v>39</v>
      </c>
      <c r="N698" s="2" t="s">
        <v>38</v>
      </c>
      <c r="O698" s="2" t="s">
        <v>38</v>
      </c>
      <c r="P698" s="2" t="s">
        <v>39</v>
      </c>
      <c r="Q698" s="2" t="s">
        <v>38</v>
      </c>
      <c r="R698" s="2" t="s">
        <v>38</v>
      </c>
      <c r="S698" s="2" t="s">
        <v>38</v>
      </c>
      <c r="T698" s="2" t="s">
        <v>39</v>
      </c>
      <c r="U698" s="2" t="s">
        <v>38</v>
      </c>
      <c r="V698" s="2" t="s">
        <v>39</v>
      </c>
      <c r="W698" s="2" t="s">
        <v>38</v>
      </c>
      <c r="X698" s="2" t="s">
        <v>39</v>
      </c>
      <c r="Y698" s="2" t="s">
        <v>39</v>
      </c>
      <c r="Z698" s="2" t="s">
        <v>39</v>
      </c>
      <c r="AA698" s="2" t="s">
        <v>38</v>
      </c>
      <c r="AB698" s="2" t="s">
        <v>39</v>
      </c>
      <c r="AC698" s="2" t="s">
        <v>39</v>
      </c>
      <c r="AD698" s="2" t="s">
        <v>38</v>
      </c>
      <c r="AE698" s="2" t="s">
        <v>38</v>
      </c>
    </row>
    <row r="699" spans="1:31" ht="409.5">
      <c r="A699" s="2">
        <v>2680569</v>
      </c>
      <c r="B699" s="2">
        <f>HYPERLINK("https://platform.v2.vetology.net/cases/2680569/screening-report/18?type=pdf&amp;v=v6&amp;scorecard=1&amp;secret_key=BX%25IJ%24%2F65ieZ%29f6", 2680569)</f>
        <v>2680569</v>
      </c>
      <c r="C699" s="2">
        <f>HYPERLINK("https://platform.v2.vetology.net/report/v/final/"&amp;2680569, 2680569)</f>
        <v>2680569</v>
      </c>
      <c r="D699" s="2" t="s">
        <v>2189</v>
      </c>
      <c r="E699" s="2" t="s">
        <v>2190</v>
      </c>
      <c r="F699" s="2" t="s">
        <v>2191</v>
      </c>
      <c r="G699" s="2" t="s">
        <v>58</v>
      </c>
      <c r="H699" s="2" t="s">
        <v>78</v>
      </c>
      <c r="I699" s="2" t="s">
        <v>44</v>
      </c>
      <c r="J699" s="2" t="s">
        <v>106</v>
      </c>
      <c r="K699" s="2" t="s">
        <v>38</v>
      </c>
      <c r="L699" s="2" t="s">
        <v>38</v>
      </c>
      <c r="M699" s="2" t="s">
        <v>39</v>
      </c>
      <c r="N699" s="2" t="s">
        <v>38</v>
      </c>
      <c r="O699" s="2" t="s">
        <v>38</v>
      </c>
      <c r="P699" s="2" t="s">
        <v>39</v>
      </c>
      <c r="Q699" s="2" t="s">
        <v>38</v>
      </c>
      <c r="R699" s="2" t="s">
        <v>38</v>
      </c>
      <c r="S699" s="2" t="s">
        <v>38</v>
      </c>
      <c r="T699" s="2" t="s">
        <v>38</v>
      </c>
      <c r="U699" s="2" t="s">
        <v>38</v>
      </c>
      <c r="V699" s="2" t="s">
        <v>38</v>
      </c>
      <c r="W699" s="2" t="s">
        <v>38</v>
      </c>
      <c r="X699" s="2" t="s">
        <v>38</v>
      </c>
      <c r="Y699" s="2" t="s">
        <v>38</v>
      </c>
      <c r="Z699" s="2" t="s">
        <v>38</v>
      </c>
      <c r="AA699" s="2" t="s">
        <v>38</v>
      </c>
      <c r="AB699" s="2" t="s">
        <v>39</v>
      </c>
      <c r="AC699" s="2" t="s">
        <v>38</v>
      </c>
      <c r="AD699" s="2" t="s">
        <v>38</v>
      </c>
      <c r="AE699" s="2" t="s">
        <v>38</v>
      </c>
    </row>
    <row r="700" spans="1:31" ht="409.5">
      <c r="A700" s="2">
        <v>2679962</v>
      </c>
      <c r="B700" s="2">
        <f>HYPERLINK("https://platform.v2.vetology.net/cases/2679962/screening-report/18?type=pdf&amp;v=v6&amp;scorecard=1&amp;secret_key=BX%25IJ%24%2F65ieZ%29f6", 2679962)</f>
        <v>2679962</v>
      </c>
      <c r="C700" s="2">
        <f>HYPERLINK("https://platform.v2.vetology.net/report/v/final/"&amp;2679962, 2679962)</f>
        <v>2679962</v>
      </c>
      <c r="D700" s="2" t="s">
        <v>2192</v>
      </c>
      <c r="E700" s="2" t="s">
        <v>2193</v>
      </c>
      <c r="F700" s="2" t="s">
        <v>2194</v>
      </c>
      <c r="G700" s="2" t="s">
        <v>212</v>
      </c>
      <c r="H700" s="2" t="s">
        <v>129</v>
      </c>
      <c r="I700" s="2" t="s">
        <v>44</v>
      </c>
      <c r="J700" s="2"/>
      <c r="K700" s="2" t="s">
        <v>38</v>
      </c>
      <c r="L700" s="2" t="s">
        <v>38</v>
      </c>
      <c r="M700" s="2" t="s">
        <v>38</v>
      </c>
      <c r="N700" s="2" t="s">
        <v>38</v>
      </c>
      <c r="O700" s="2" t="s">
        <v>38</v>
      </c>
      <c r="P700" s="2" t="s">
        <v>38</v>
      </c>
      <c r="Q700" s="2" t="s">
        <v>38</v>
      </c>
      <c r="R700" s="2" t="s">
        <v>38</v>
      </c>
      <c r="S700" s="2" t="s">
        <v>38</v>
      </c>
      <c r="T700" s="2" t="s">
        <v>38</v>
      </c>
      <c r="U700" s="2" t="s">
        <v>38</v>
      </c>
      <c r="V700" s="2" t="s">
        <v>38</v>
      </c>
      <c r="W700" s="2" t="s">
        <v>38</v>
      </c>
      <c r="X700" s="2" t="s">
        <v>38</v>
      </c>
      <c r="Y700" s="2" t="s">
        <v>38</v>
      </c>
      <c r="Z700" s="2" t="s">
        <v>38</v>
      </c>
      <c r="AA700" s="2" t="s">
        <v>38</v>
      </c>
      <c r="AB700" s="2" t="s">
        <v>38</v>
      </c>
      <c r="AC700" s="2" t="s">
        <v>38</v>
      </c>
      <c r="AD700" s="2" t="s">
        <v>38</v>
      </c>
      <c r="AE700" s="2" t="s">
        <v>38</v>
      </c>
    </row>
    <row r="701" spans="1:31" ht="409.5">
      <c r="A701" s="2">
        <v>2679952</v>
      </c>
      <c r="B701" s="2">
        <f>HYPERLINK("https://platform.v2.vetology.net/cases/2679952/screening-report/18?type=pdf&amp;v=v6&amp;scorecard=1&amp;secret_key=BX%25IJ%24%2F65ieZ%29f6", 2679952)</f>
        <v>2679952</v>
      </c>
      <c r="C701" s="2">
        <f>HYPERLINK("https://platform.v2.vetology.net/report/v/final/"&amp;2679952, 2679952)</f>
        <v>2679952</v>
      </c>
      <c r="D701" s="2" t="s">
        <v>2195</v>
      </c>
      <c r="E701" s="2" t="s">
        <v>2196</v>
      </c>
      <c r="F701" s="2" t="s">
        <v>2197</v>
      </c>
      <c r="G701" s="2" t="s">
        <v>212</v>
      </c>
      <c r="H701" s="2" t="s">
        <v>129</v>
      </c>
      <c r="I701" s="2" t="s">
        <v>199</v>
      </c>
      <c r="J701" s="2"/>
      <c r="K701" s="2" t="s">
        <v>38</v>
      </c>
      <c r="L701" s="2" t="s">
        <v>39</v>
      </c>
      <c r="M701" s="2" t="s">
        <v>38</v>
      </c>
      <c r="N701" s="2" t="s">
        <v>38</v>
      </c>
      <c r="O701" s="2" t="s">
        <v>38</v>
      </c>
      <c r="P701" s="2" t="s">
        <v>38</v>
      </c>
      <c r="Q701" s="2" t="s">
        <v>38</v>
      </c>
      <c r="R701" s="2" t="s">
        <v>38</v>
      </c>
      <c r="S701" s="2" t="s">
        <v>38</v>
      </c>
      <c r="T701" s="2" t="s">
        <v>38</v>
      </c>
      <c r="U701" s="2" t="s">
        <v>38</v>
      </c>
      <c r="V701" s="2" t="s">
        <v>38</v>
      </c>
      <c r="W701" s="2" t="s">
        <v>38</v>
      </c>
      <c r="X701" s="2" t="s">
        <v>38</v>
      </c>
      <c r="Y701" s="2" t="s">
        <v>38</v>
      </c>
      <c r="Z701" s="2" t="s">
        <v>38</v>
      </c>
      <c r="AA701" s="2" t="s">
        <v>38</v>
      </c>
      <c r="AB701" s="2" t="s">
        <v>39</v>
      </c>
      <c r="AC701" s="2" t="s">
        <v>38</v>
      </c>
      <c r="AD701" s="2" t="s">
        <v>38</v>
      </c>
      <c r="AE701" s="2" t="s">
        <v>38</v>
      </c>
    </row>
    <row r="702" spans="1:31" ht="409.5">
      <c r="A702" s="2">
        <v>2679628</v>
      </c>
      <c r="B702" s="2">
        <f>HYPERLINK("https://platform.v2.vetology.net/cases/2679628/screening-report/18?type=pdf&amp;v=v6&amp;scorecard=1&amp;secret_key=BX%25IJ%24%2F65ieZ%29f6", 2679628)</f>
        <v>2679628</v>
      </c>
      <c r="C702" s="2">
        <f>HYPERLINK("https://platform.v2.vetology.net/report/v/final/"&amp;2679628, 2679628)</f>
        <v>2679628</v>
      </c>
      <c r="D702" s="2" t="s">
        <v>2198</v>
      </c>
      <c r="E702" s="2" t="s">
        <v>2199</v>
      </c>
      <c r="F702" s="2" t="s">
        <v>2200</v>
      </c>
      <c r="G702" s="2" t="s">
        <v>464</v>
      </c>
      <c r="H702" s="2" t="s">
        <v>607</v>
      </c>
      <c r="I702" s="2" t="s">
        <v>137</v>
      </c>
      <c r="J702" s="2" t="s">
        <v>66</v>
      </c>
      <c r="K702" s="2" t="s">
        <v>38</v>
      </c>
      <c r="L702" s="2" t="s">
        <v>39</v>
      </c>
      <c r="M702" s="2" t="s">
        <v>39</v>
      </c>
      <c r="N702" s="2" t="s">
        <v>38</v>
      </c>
      <c r="O702" s="2" t="s">
        <v>38</v>
      </c>
      <c r="P702" s="2" t="s">
        <v>39</v>
      </c>
      <c r="Q702" s="2" t="s">
        <v>38</v>
      </c>
      <c r="R702" s="2" t="s">
        <v>38</v>
      </c>
      <c r="S702" s="2" t="s">
        <v>38</v>
      </c>
      <c r="T702" s="2" t="s">
        <v>38</v>
      </c>
      <c r="U702" s="2" t="s">
        <v>38</v>
      </c>
      <c r="V702" s="2" t="s">
        <v>38</v>
      </c>
      <c r="W702" s="2" t="s">
        <v>38</v>
      </c>
      <c r="X702" s="2" t="s">
        <v>38</v>
      </c>
      <c r="Y702" s="2" t="s">
        <v>38</v>
      </c>
      <c r="Z702" s="2" t="s">
        <v>39</v>
      </c>
      <c r="AA702" s="2" t="s">
        <v>38</v>
      </c>
      <c r="AB702" s="2" t="s">
        <v>39</v>
      </c>
      <c r="AC702" s="2" t="s">
        <v>39</v>
      </c>
      <c r="AD702" s="2" t="s">
        <v>38</v>
      </c>
      <c r="AE702" s="2" t="s">
        <v>38</v>
      </c>
    </row>
    <row r="703" spans="1:31" ht="409.5">
      <c r="A703" s="2">
        <v>2679607</v>
      </c>
      <c r="B703" s="2">
        <f>HYPERLINK("https://platform.v2.vetology.net/cases/2679607/screening-report/18?type=pdf&amp;v=v6&amp;scorecard=1&amp;secret_key=BX%25IJ%24%2F65ieZ%29f6", 2679607)</f>
        <v>2679607</v>
      </c>
      <c r="C703" s="2">
        <f>HYPERLINK("https://platform.v2.vetology.net/report/v/final/"&amp;2679607, 2679607)</f>
        <v>2679607</v>
      </c>
      <c r="D703" s="2" t="s">
        <v>2201</v>
      </c>
      <c r="E703" s="2" t="s">
        <v>2202</v>
      </c>
      <c r="F703" s="2" t="s">
        <v>919</v>
      </c>
      <c r="G703" s="2" t="s">
        <v>58</v>
      </c>
      <c r="H703" s="2" t="s">
        <v>2203</v>
      </c>
      <c r="I703" s="2" t="s">
        <v>306</v>
      </c>
      <c r="J703" s="2" t="s">
        <v>307</v>
      </c>
      <c r="K703" s="2" t="s">
        <v>39</v>
      </c>
      <c r="L703" s="2" t="s">
        <v>38</v>
      </c>
      <c r="M703" s="2" t="s">
        <v>39</v>
      </c>
      <c r="N703" s="2" t="s">
        <v>39</v>
      </c>
      <c r="O703" s="2" t="s">
        <v>39</v>
      </c>
      <c r="P703" s="2" t="s">
        <v>39</v>
      </c>
      <c r="Q703" s="2" t="s">
        <v>39</v>
      </c>
      <c r="R703" s="2" t="s">
        <v>38</v>
      </c>
      <c r="S703" s="2" t="s">
        <v>39</v>
      </c>
      <c r="T703" s="2" t="s">
        <v>38</v>
      </c>
      <c r="U703" s="2" t="s">
        <v>39</v>
      </c>
      <c r="V703" s="2" t="s">
        <v>38</v>
      </c>
      <c r="W703" s="2" t="s">
        <v>38</v>
      </c>
      <c r="X703" s="2" t="s">
        <v>38</v>
      </c>
      <c r="Y703" s="2" t="s">
        <v>38</v>
      </c>
      <c r="Z703" s="2" t="s">
        <v>39</v>
      </c>
      <c r="AA703" s="2" t="s">
        <v>38</v>
      </c>
      <c r="AB703" s="2" t="s">
        <v>39</v>
      </c>
      <c r="AC703" s="2" t="s">
        <v>39</v>
      </c>
      <c r="AD703" s="2" t="s">
        <v>38</v>
      </c>
      <c r="AE703" s="2" t="s">
        <v>38</v>
      </c>
    </row>
    <row r="704" spans="1:31" ht="409.5">
      <c r="A704" s="2">
        <v>2679528</v>
      </c>
      <c r="B704" s="2">
        <f>HYPERLINK("https://platform.v2.vetology.net/cases/2679528/screening-report/18?type=pdf&amp;v=v6&amp;scorecard=1&amp;secret_key=BX%25IJ%24%2F65ieZ%29f6", 2679528)</f>
        <v>2679528</v>
      </c>
      <c r="C704" s="2">
        <f>HYPERLINK("https://platform.v2.vetology.net/report/v/final/"&amp;2679528, 2679528)</f>
        <v>2679528</v>
      </c>
      <c r="D704" s="2" t="s">
        <v>2204</v>
      </c>
      <c r="E704" s="2" t="s">
        <v>2205</v>
      </c>
      <c r="F704" s="2" t="s">
        <v>2206</v>
      </c>
      <c r="G704" s="2" t="s">
        <v>212</v>
      </c>
      <c r="H704" s="2" t="s">
        <v>54</v>
      </c>
      <c r="I704" s="2" t="s">
        <v>44</v>
      </c>
      <c r="J704" s="2" t="s">
        <v>106</v>
      </c>
      <c r="K704" s="2" t="s">
        <v>38</v>
      </c>
      <c r="L704" s="2" t="s">
        <v>39</v>
      </c>
      <c r="M704" s="2" t="s">
        <v>38</v>
      </c>
      <c r="N704" s="2" t="s">
        <v>38</v>
      </c>
      <c r="O704" s="2" t="s">
        <v>38</v>
      </c>
      <c r="P704" s="2" t="s">
        <v>38</v>
      </c>
      <c r="Q704" s="2" t="s">
        <v>38</v>
      </c>
      <c r="R704" s="2" t="s">
        <v>38</v>
      </c>
      <c r="S704" s="2" t="s">
        <v>38</v>
      </c>
      <c r="T704" s="2" t="s">
        <v>38</v>
      </c>
      <c r="U704" s="2" t="s">
        <v>38</v>
      </c>
      <c r="V704" s="2" t="s">
        <v>38</v>
      </c>
      <c r="W704" s="2" t="s">
        <v>38</v>
      </c>
      <c r="X704" s="2" t="s">
        <v>39</v>
      </c>
      <c r="Y704" s="2" t="s">
        <v>38</v>
      </c>
      <c r="Z704" s="2" t="s">
        <v>38</v>
      </c>
      <c r="AA704" s="2" t="s">
        <v>38</v>
      </c>
      <c r="AB704" s="2" t="s">
        <v>38</v>
      </c>
      <c r="AC704" s="2" t="s">
        <v>38</v>
      </c>
      <c r="AD704" s="2" t="s">
        <v>38</v>
      </c>
      <c r="AE704" s="2" t="s">
        <v>38</v>
      </c>
    </row>
    <row r="705" spans="1:31" ht="409.5">
      <c r="A705" s="2">
        <v>2679484</v>
      </c>
      <c r="B705" s="2">
        <f>HYPERLINK("https://platform.v2.vetology.net/cases/2679484/screening-report/18?type=pdf&amp;v=v6&amp;scorecard=1&amp;secret_key=BX%25IJ%24%2F65ieZ%29f6", 2679484)</f>
        <v>2679484</v>
      </c>
      <c r="C705" s="2">
        <f>HYPERLINK("https://platform.v2.vetology.net/report/v/final/"&amp;2679484, 2679484)</f>
        <v>2679484</v>
      </c>
      <c r="D705" s="2" t="s">
        <v>2207</v>
      </c>
      <c r="E705" s="2" t="s">
        <v>2208</v>
      </c>
      <c r="F705" s="2" t="s">
        <v>81</v>
      </c>
      <c r="G705" s="2" t="s">
        <v>82</v>
      </c>
      <c r="H705" s="2" t="s">
        <v>283</v>
      </c>
      <c r="I705" s="2" t="s">
        <v>284</v>
      </c>
      <c r="J705" s="2" t="s">
        <v>285</v>
      </c>
      <c r="K705" s="2" t="s">
        <v>38</v>
      </c>
      <c r="L705" s="2" t="s">
        <v>38</v>
      </c>
      <c r="M705" s="2" t="s">
        <v>38</v>
      </c>
      <c r="N705" s="2" t="s">
        <v>38</v>
      </c>
      <c r="O705" s="2" t="s">
        <v>38</v>
      </c>
      <c r="P705" s="2" t="s">
        <v>38</v>
      </c>
      <c r="Q705" s="2" t="s">
        <v>38</v>
      </c>
      <c r="R705" s="2" t="s">
        <v>38</v>
      </c>
      <c r="S705" s="2" t="s">
        <v>38</v>
      </c>
      <c r="T705" s="2" t="s">
        <v>38</v>
      </c>
      <c r="U705" s="2" t="s">
        <v>38</v>
      </c>
      <c r="V705" s="2" t="s">
        <v>38</v>
      </c>
      <c r="W705" s="2" t="s">
        <v>38</v>
      </c>
      <c r="X705" s="2" t="s">
        <v>38</v>
      </c>
      <c r="Y705" s="2" t="s">
        <v>38</v>
      </c>
      <c r="Z705" s="2" t="s">
        <v>38</v>
      </c>
      <c r="AA705" s="2" t="s">
        <v>38</v>
      </c>
      <c r="AB705" s="2" t="s">
        <v>39</v>
      </c>
      <c r="AC705" s="2" t="s">
        <v>38</v>
      </c>
      <c r="AD705" s="2" t="s">
        <v>38</v>
      </c>
      <c r="AE705" s="2" t="s">
        <v>38</v>
      </c>
    </row>
    <row r="706" spans="1:31" ht="409.5">
      <c r="A706" s="2">
        <v>2679319</v>
      </c>
      <c r="B706" s="2">
        <f>HYPERLINK("https://platform.v2.vetology.net/cases/2679319/screening-report/18?type=pdf&amp;v=v6&amp;scorecard=1&amp;secret_key=BX%25IJ%24%2F65ieZ%29f6", 2679319)</f>
        <v>2679319</v>
      </c>
      <c r="C706" s="2">
        <f>HYPERLINK("https://platform.v2.vetology.net/report/v/final/"&amp;2679319, 2679319)</f>
        <v>2679319</v>
      </c>
      <c r="D706" s="2" t="s">
        <v>2209</v>
      </c>
      <c r="E706" s="2" t="s">
        <v>2210</v>
      </c>
      <c r="F706" s="2" t="s">
        <v>2211</v>
      </c>
      <c r="G706" s="2" t="s">
        <v>58</v>
      </c>
      <c r="H706" s="2" t="s">
        <v>283</v>
      </c>
      <c r="I706" s="2" t="s">
        <v>284</v>
      </c>
      <c r="J706" s="2" t="s">
        <v>285</v>
      </c>
      <c r="K706" s="2" t="s">
        <v>38</v>
      </c>
      <c r="L706" s="2" t="s">
        <v>38</v>
      </c>
      <c r="M706" s="2" t="s">
        <v>38</v>
      </c>
      <c r="N706" s="2" t="s">
        <v>38</v>
      </c>
      <c r="O706" s="2" t="s">
        <v>38</v>
      </c>
      <c r="P706" s="2" t="s">
        <v>38</v>
      </c>
      <c r="Q706" s="2" t="s">
        <v>38</v>
      </c>
      <c r="R706" s="2" t="s">
        <v>38</v>
      </c>
      <c r="S706" s="2" t="s">
        <v>38</v>
      </c>
      <c r="T706" s="2" t="s">
        <v>39</v>
      </c>
      <c r="U706" s="2" t="s">
        <v>38</v>
      </c>
      <c r="V706" s="2" t="s">
        <v>39</v>
      </c>
      <c r="W706" s="2" t="s">
        <v>38</v>
      </c>
      <c r="X706" s="2" t="s">
        <v>39</v>
      </c>
      <c r="Y706" s="2" t="s">
        <v>38</v>
      </c>
      <c r="Z706" s="2" t="s">
        <v>38</v>
      </c>
      <c r="AA706" s="2" t="s">
        <v>38</v>
      </c>
      <c r="AB706" s="2" t="s">
        <v>38</v>
      </c>
      <c r="AC706" s="2" t="s">
        <v>38</v>
      </c>
      <c r="AD706" s="2" t="s">
        <v>38</v>
      </c>
      <c r="AE706" s="2" t="s">
        <v>38</v>
      </c>
    </row>
    <row r="707" spans="1:31" ht="409.5">
      <c r="A707" s="2">
        <v>2679284</v>
      </c>
      <c r="B707" s="2">
        <f>HYPERLINK("https://platform.v2.vetology.net/cases/2679284/screening-report/18?type=pdf&amp;v=v6&amp;scorecard=1&amp;secret_key=BX%25IJ%24%2F65ieZ%29f6", 2679284)</f>
        <v>2679284</v>
      </c>
      <c r="C707" s="2">
        <f>HYPERLINK("https://platform.v2.vetology.net/report/v/final/"&amp;2679284, 2679284)</f>
        <v>2679284</v>
      </c>
      <c r="D707" s="2" t="s">
        <v>2212</v>
      </c>
      <c r="E707" s="2" t="s">
        <v>911</v>
      </c>
      <c r="F707" s="2"/>
      <c r="G707" s="2" t="s">
        <v>150</v>
      </c>
      <c r="H707" s="2" t="s">
        <v>2213</v>
      </c>
      <c r="I707" s="2" t="s">
        <v>1102</v>
      </c>
      <c r="J707" s="2" t="s">
        <v>307</v>
      </c>
      <c r="K707" s="2" t="s">
        <v>38</v>
      </c>
      <c r="L707" s="2" t="s">
        <v>39</v>
      </c>
      <c r="M707" s="2" t="s">
        <v>39</v>
      </c>
      <c r="N707" s="2" t="s">
        <v>39</v>
      </c>
      <c r="O707" s="2" t="s">
        <v>38</v>
      </c>
      <c r="P707" s="2" t="s">
        <v>39</v>
      </c>
      <c r="Q707" s="2" t="s">
        <v>38</v>
      </c>
      <c r="R707" s="2" t="s">
        <v>38</v>
      </c>
      <c r="S707" s="2" t="s">
        <v>38</v>
      </c>
      <c r="T707" s="2" t="s">
        <v>39</v>
      </c>
      <c r="U707" s="2" t="s">
        <v>38</v>
      </c>
      <c r="V707" s="2" t="s">
        <v>38</v>
      </c>
      <c r="W707" s="2" t="s">
        <v>38</v>
      </c>
      <c r="X707" s="2" t="s">
        <v>39</v>
      </c>
      <c r="Y707" s="2" t="s">
        <v>38</v>
      </c>
      <c r="Z707" s="2" t="s">
        <v>39</v>
      </c>
      <c r="AA707" s="2" t="s">
        <v>38</v>
      </c>
      <c r="AB707" s="2" t="s">
        <v>39</v>
      </c>
      <c r="AC707" s="2" t="s">
        <v>39</v>
      </c>
      <c r="AD707" s="2" t="s">
        <v>38</v>
      </c>
      <c r="AE707" s="2" t="s">
        <v>38</v>
      </c>
    </row>
    <row r="708" spans="1:31" ht="409.5">
      <c r="A708" s="2">
        <v>2679145</v>
      </c>
      <c r="B708" s="2">
        <f>HYPERLINK("https://platform.v2.vetology.net/cases/2679145/screening-report/18?type=pdf&amp;v=v6&amp;scorecard=1&amp;secret_key=BX%25IJ%24%2F65ieZ%29f6", 2679145)</f>
        <v>2679145</v>
      </c>
      <c r="C708" s="2">
        <f>HYPERLINK("https://platform.v2.vetology.net/report/v/final/"&amp;2679145, 2679145)</f>
        <v>2679145</v>
      </c>
      <c r="D708" s="2" t="s">
        <v>2214</v>
      </c>
      <c r="E708" s="2" t="s">
        <v>766</v>
      </c>
      <c r="F708" s="2" t="s">
        <v>81</v>
      </c>
      <c r="G708" s="2" t="s">
        <v>82</v>
      </c>
      <c r="H708" s="2" t="s">
        <v>2017</v>
      </c>
      <c r="I708" s="2" t="s">
        <v>65</v>
      </c>
      <c r="J708" s="2" t="s">
        <v>66</v>
      </c>
      <c r="K708" s="2" t="s">
        <v>38</v>
      </c>
      <c r="L708" s="2" t="s">
        <v>39</v>
      </c>
      <c r="M708" s="2" t="s">
        <v>39</v>
      </c>
      <c r="N708" s="2" t="s">
        <v>39</v>
      </c>
      <c r="O708" s="2" t="s">
        <v>38</v>
      </c>
      <c r="P708" s="2" t="s">
        <v>39</v>
      </c>
      <c r="Q708" s="2" t="s">
        <v>39</v>
      </c>
      <c r="R708" s="2" t="s">
        <v>38</v>
      </c>
      <c r="S708" s="2" t="s">
        <v>38</v>
      </c>
      <c r="T708" s="2" t="s">
        <v>38</v>
      </c>
      <c r="U708" s="2" t="s">
        <v>38</v>
      </c>
      <c r="V708" s="2" t="s">
        <v>38</v>
      </c>
      <c r="W708" s="2" t="s">
        <v>38</v>
      </c>
      <c r="X708" s="2" t="s">
        <v>38</v>
      </c>
      <c r="Y708" s="2" t="s">
        <v>38</v>
      </c>
      <c r="Z708" s="2" t="s">
        <v>39</v>
      </c>
      <c r="AA708" s="2" t="s">
        <v>38</v>
      </c>
      <c r="AB708" s="2" t="s">
        <v>39</v>
      </c>
      <c r="AC708" s="2" t="s">
        <v>39</v>
      </c>
      <c r="AD708" s="2" t="s">
        <v>38</v>
      </c>
      <c r="AE708" s="2" t="s">
        <v>38</v>
      </c>
    </row>
    <row r="709" spans="1:31" ht="409.5">
      <c r="A709" s="2">
        <v>2679133</v>
      </c>
      <c r="B709" s="2">
        <f>HYPERLINK("https://platform.v2.vetology.net/cases/2679133/screening-report/18?type=pdf&amp;v=v6&amp;scorecard=1&amp;secret_key=BX%25IJ%24%2F65ieZ%29f6", 2679133)</f>
        <v>2679133</v>
      </c>
      <c r="C709" s="2">
        <f>HYPERLINK("https://platform.v2.vetology.net/report/v/final/"&amp;2679133, 2679133)</f>
        <v>2679133</v>
      </c>
      <c r="D709" s="2" t="s">
        <v>2215</v>
      </c>
      <c r="E709" s="2" t="s">
        <v>2216</v>
      </c>
      <c r="F709" s="2" t="s">
        <v>2217</v>
      </c>
      <c r="G709" s="2" t="s">
        <v>82</v>
      </c>
      <c r="H709" s="2" t="s">
        <v>1563</v>
      </c>
      <c r="I709" s="2" t="s">
        <v>1085</v>
      </c>
      <c r="J709" s="2" t="s">
        <v>518</v>
      </c>
      <c r="K709" s="2" t="s">
        <v>38</v>
      </c>
      <c r="L709" s="2" t="s">
        <v>39</v>
      </c>
      <c r="M709" s="2" t="s">
        <v>39</v>
      </c>
      <c r="N709" s="2" t="s">
        <v>39</v>
      </c>
      <c r="O709" s="2" t="s">
        <v>39</v>
      </c>
      <c r="P709" s="2" t="s">
        <v>39</v>
      </c>
      <c r="Q709" s="2" t="s">
        <v>39</v>
      </c>
      <c r="R709" s="2" t="s">
        <v>39</v>
      </c>
      <c r="S709" s="2" t="s">
        <v>39</v>
      </c>
      <c r="T709" s="2" t="s">
        <v>39</v>
      </c>
      <c r="U709" s="2" t="s">
        <v>39</v>
      </c>
      <c r="V709" s="2" t="s">
        <v>39</v>
      </c>
      <c r="W709" s="2" t="s">
        <v>38</v>
      </c>
      <c r="X709" s="2" t="s">
        <v>39</v>
      </c>
      <c r="Y709" s="2" t="s">
        <v>39</v>
      </c>
      <c r="Z709" s="2" t="s">
        <v>39</v>
      </c>
      <c r="AA709" s="2" t="s">
        <v>39</v>
      </c>
      <c r="AB709" s="2" t="s">
        <v>39</v>
      </c>
      <c r="AC709" s="2" t="s">
        <v>39</v>
      </c>
      <c r="AD709" s="2" t="s">
        <v>38</v>
      </c>
      <c r="AE709" s="2" t="s">
        <v>38</v>
      </c>
    </row>
    <row r="710" spans="1:31" ht="409.5">
      <c r="A710" s="2">
        <v>2679125</v>
      </c>
      <c r="B710" s="2">
        <f>HYPERLINK("https://platform.v2.vetology.net/cases/2679125/screening-report/18?type=pdf&amp;v=v6&amp;scorecard=1&amp;secret_key=BX%25IJ%24%2F65ieZ%29f6", 2679125)</f>
        <v>2679125</v>
      </c>
      <c r="C710" s="2">
        <f>HYPERLINK("https://platform.v2.vetology.net/report/v/final/"&amp;2679125, 2679125)</f>
        <v>2679125</v>
      </c>
      <c r="D710" s="2" t="s">
        <v>2218</v>
      </c>
      <c r="E710" s="2" t="s">
        <v>2219</v>
      </c>
      <c r="F710" s="2" t="s">
        <v>1444</v>
      </c>
      <c r="G710" s="2" t="s">
        <v>464</v>
      </c>
      <c r="H710" s="2" t="s">
        <v>54</v>
      </c>
      <c r="I710" s="2" t="s">
        <v>44</v>
      </c>
      <c r="J710" s="2"/>
      <c r="K710" s="2" t="s">
        <v>38</v>
      </c>
      <c r="L710" s="2" t="s">
        <v>39</v>
      </c>
      <c r="M710" s="2" t="s">
        <v>39</v>
      </c>
      <c r="N710" s="2" t="s">
        <v>38</v>
      </c>
      <c r="O710" s="2" t="s">
        <v>38</v>
      </c>
      <c r="P710" s="2" t="s">
        <v>39</v>
      </c>
      <c r="Q710" s="2" t="s">
        <v>38</v>
      </c>
      <c r="R710" s="2" t="s">
        <v>38</v>
      </c>
      <c r="S710" s="2" t="s">
        <v>38</v>
      </c>
      <c r="T710" s="2" t="s">
        <v>38</v>
      </c>
      <c r="U710" s="2" t="s">
        <v>38</v>
      </c>
      <c r="V710" s="2" t="s">
        <v>38</v>
      </c>
      <c r="W710" s="2" t="s">
        <v>38</v>
      </c>
      <c r="X710" s="2" t="s">
        <v>38</v>
      </c>
      <c r="Y710" s="2" t="s">
        <v>38</v>
      </c>
      <c r="Z710" s="2" t="s">
        <v>38</v>
      </c>
      <c r="AA710" s="2" t="s">
        <v>38</v>
      </c>
      <c r="AB710" s="2" t="s">
        <v>38</v>
      </c>
      <c r="AC710" s="2" t="s">
        <v>38</v>
      </c>
      <c r="AD710" s="2" t="s">
        <v>38</v>
      </c>
      <c r="AE710" s="2" t="s">
        <v>38</v>
      </c>
    </row>
    <row r="711" spans="1:31" ht="409.5">
      <c r="A711" s="2">
        <v>2679076</v>
      </c>
      <c r="B711" s="2">
        <f>HYPERLINK("https://platform.v2.vetology.net/cases/2679076/screening-report/18?type=pdf&amp;v=v6&amp;scorecard=1&amp;secret_key=BX%25IJ%24%2F65ieZ%29f6", 2679076)</f>
        <v>2679076</v>
      </c>
      <c r="C711" s="2">
        <f>HYPERLINK("https://platform.v2.vetology.net/report/v/final/"&amp;2679076, 2679076)</f>
        <v>2679076</v>
      </c>
      <c r="D711" s="2" t="s">
        <v>2220</v>
      </c>
      <c r="E711" s="2" t="s">
        <v>2221</v>
      </c>
      <c r="F711" s="2"/>
      <c r="G711" s="2" t="s">
        <v>150</v>
      </c>
      <c r="H711" s="2" t="s">
        <v>78</v>
      </c>
      <c r="I711" s="2" t="s">
        <v>44</v>
      </c>
      <c r="J711" s="2" t="s">
        <v>106</v>
      </c>
      <c r="K711" s="2" t="s">
        <v>38</v>
      </c>
      <c r="L711" s="2" t="s">
        <v>38</v>
      </c>
      <c r="M711" s="2" t="s">
        <v>38</v>
      </c>
      <c r="N711" s="2" t="s">
        <v>38</v>
      </c>
      <c r="O711" s="2" t="s">
        <v>38</v>
      </c>
      <c r="P711" s="2" t="s">
        <v>38</v>
      </c>
      <c r="Q711" s="2" t="s">
        <v>38</v>
      </c>
      <c r="R711" s="2" t="s">
        <v>38</v>
      </c>
      <c r="S711" s="2" t="s">
        <v>38</v>
      </c>
      <c r="T711" s="2" t="s">
        <v>38</v>
      </c>
      <c r="U711" s="2" t="s">
        <v>38</v>
      </c>
      <c r="V711" s="2" t="s">
        <v>38</v>
      </c>
      <c r="W711" s="2" t="s">
        <v>38</v>
      </c>
      <c r="X711" s="2" t="s">
        <v>38</v>
      </c>
      <c r="Y711" s="2" t="s">
        <v>38</v>
      </c>
      <c r="Z711" s="2" t="s">
        <v>38</v>
      </c>
      <c r="AA711" s="2" t="s">
        <v>38</v>
      </c>
      <c r="AB711" s="2" t="s">
        <v>38</v>
      </c>
      <c r="AC711" s="2" t="s">
        <v>38</v>
      </c>
      <c r="AD711" s="2" t="s">
        <v>38</v>
      </c>
      <c r="AE711" s="2" t="s">
        <v>38</v>
      </c>
    </row>
    <row r="712" spans="1:31" ht="409.5">
      <c r="A712" s="2">
        <v>2679035</v>
      </c>
      <c r="B712" s="2">
        <f>HYPERLINK("https://platform.v2.vetology.net/cases/2679035/screening-report/18?type=pdf&amp;v=v6&amp;scorecard=1&amp;secret_key=BX%25IJ%24%2F65ieZ%29f6", 2679035)</f>
        <v>2679035</v>
      </c>
      <c r="C712" s="2">
        <f>HYPERLINK("https://platform.v2.vetology.net/report/v/final/"&amp;2679035, 2679035)</f>
        <v>2679035</v>
      </c>
      <c r="D712" s="2" t="s">
        <v>2222</v>
      </c>
      <c r="E712" s="2" t="s">
        <v>2223</v>
      </c>
      <c r="F712" s="2" t="s">
        <v>2224</v>
      </c>
      <c r="G712" s="2" t="s">
        <v>63</v>
      </c>
      <c r="H712" s="2" t="s">
        <v>94</v>
      </c>
      <c r="I712" s="2" t="s">
        <v>89</v>
      </c>
      <c r="J712" s="2" t="s">
        <v>66</v>
      </c>
      <c r="K712" s="2" t="s">
        <v>38</v>
      </c>
      <c r="L712" s="2" t="s">
        <v>38</v>
      </c>
      <c r="M712" s="2" t="s">
        <v>38</v>
      </c>
      <c r="N712" s="2" t="s">
        <v>38</v>
      </c>
      <c r="O712" s="2" t="s">
        <v>38</v>
      </c>
      <c r="P712" s="2" t="s">
        <v>38</v>
      </c>
      <c r="Q712" s="2" t="s">
        <v>38</v>
      </c>
      <c r="R712" s="2" t="s">
        <v>38</v>
      </c>
      <c r="S712" s="2" t="s">
        <v>38</v>
      </c>
      <c r="T712" s="2" t="s">
        <v>39</v>
      </c>
      <c r="U712" s="2" t="s">
        <v>38</v>
      </c>
      <c r="V712" s="2" t="s">
        <v>39</v>
      </c>
      <c r="W712" s="2" t="s">
        <v>38</v>
      </c>
      <c r="X712" s="2" t="s">
        <v>39</v>
      </c>
      <c r="Y712" s="2" t="s">
        <v>38</v>
      </c>
      <c r="Z712" s="2" t="s">
        <v>38</v>
      </c>
      <c r="AA712" s="2" t="s">
        <v>38</v>
      </c>
      <c r="AB712" s="2" t="s">
        <v>38</v>
      </c>
      <c r="AC712" s="2" t="s">
        <v>38</v>
      </c>
      <c r="AD712" s="2" t="s">
        <v>38</v>
      </c>
      <c r="AE712" s="2" t="s">
        <v>39</v>
      </c>
    </row>
    <row r="713" spans="1:31" ht="409.5">
      <c r="A713" s="2">
        <v>2678905</v>
      </c>
      <c r="B713" s="2">
        <f>HYPERLINK("https://platform.v2.vetology.net/cases/2678905/screening-report/18?type=pdf&amp;v=v6&amp;scorecard=1&amp;secret_key=BX%25IJ%24%2F65ieZ%29f6", 2678905)</f>
        <v>2678905</v>
      </c>
      <c r="C713" s="2">
        <f>HYPERLINK("https://platform.v2.vetology.net/report/v/final/"&amp;2678905, 2678905)</f>
        <v>2678905</v>
      </c>
      <c r="D713" s="2" t="s">
        <v>2225</v>
      </c>
      <c r="E713" s="2" t="s">
        <v>2226</v>
      </c>
      <c r="F713" s="2" t="s">
        <v>2227</v>
      </c>
      <c r="G713" s="2" t="s">
        <v>58</v>
      </c>
      <c r="H713" s="2" t="s">
        <v>78</v>
      </c>
      <c r="I713" s="2" t="s">
        <v>44</v>
      </c>
      <c r="J713" s="2" t="s">
        <v>106</v>
      </c>
      <c r="K713" s="2" t="s">
        <v>38</v>
      </c>
      <c r="L713" s="2" t="s">
        <v>39</v>
      </c>
      <c r="M713" s="2" t="s">
        <v>38</v>
      </c>
      <c r="N713" s="2" t="s">
        <v>38</v>
      </c>
      <c r="O713" s="2" t="s">
        <v>38</v>
      </c>
      <c r="P713" s="2" t="s">
        <v>38</v>
      </c>
      <c r="Q713" s="2" t="s">
        <v>38</v>
      </c>
      <c r="R713" s="2" t="s">
        <v>38</v>
      </c>
      <c r="S713" s="2" t="s">
        <v>38</v>
      </c>
      <c r="T713" s="2" t="s">
        <v>38</v>
      </c>
      <c r="U713" s="2" t="s">
        <v>38</v>
      </c>
      <c r="V713" s="2" t="s">
        <v>38</v>
      </c>
      <c r="W713" s="2" t="s">
        <v>38</v>
      </c>
      <c r="X713" s="2" t="s">
        <v>38</v>
      </c>
      <c r="Y713" s="2" t="s">
        <v>38</v>
      </c>
      <c r="Z713" s="2" t="s">
        <v>38</v>
      </c>
      <c r="AA713" s="2" t="s">
        <v>38</v>
      </c>
      <c r="AB713" s="2" t="s">
        <v>38</v>
      </c>
      <c r="AC713" s="2" t="s">
        <v>38</v>
      </c>
      <c r="AD713" s="2" t="s">
        <v>38</v>
      </c>
      <c r="AE713" s="2" t="s">
        <v>38</v>
      </c>
    </row>
    <row r="714" spans="1:31" ht="409.5">
      <c r="A714" s="2">
        <v>2678575</v>
      </c>
      <c r="B714" s="2">
        <f>HYPERLINK("https://platform.v2.vetology.net/cases/2678575/screening-report/18?type=pdf&amp;v=v6&amp;scorecard=1&amp;secret_key=BX%25IJ%24%2F65ieZ%29f6", 2678575)</f>
        <v>2678575</v>
      </c>
      <c r="C714" s="2">
        <f>HYPERLINK("https://platform.v2.vetology.net/report/v/final/"&amp;2678575, 2678575)</f>
        <v>2678575</v>
      </c>
      <c r="D714" s="2" t="s">
        <v>2228</v>
      </c>
      <c r="E714" s="2" t="s">
        <v>2229</v>
      </c>
      <c r="F714" s="2" t="s">
        <v>2230</v>
      </c>
      <c r="G714" s="2" t="s">
        <v>34</v>
      </c>
      <c r="H714" s="2" t="s">
        <v>78</v>
      </c>
      <c r="I714" s="2" t="s">
        <v>44</v>
      </c>
      <c r="J714" s="2"/>
      <c r="K714" s="2" t="s">
        <v>38</v>
      </c>
      <c r="L714" s="2" t="s">
        <v>38</v>
      </c>
      <c r="M714" s="2" t="s">
        <v>39</v>
      </c>
      <c r="N714" s="2" t="s">
        <v>38</v>
      </c>
      <c r="O714" s="2" t="s">
        <v>38</v>
      </c>
      <c r="P714" s="2" t="s">
        <v>38</v>
      </c>
      <c r="Q714" s="2" t="s">
        <v>38</v>
      </c>
      <c r="R714" s="2" t="s">
        <v>38</v>
      </c>
      <c r="S714" s="2" t="s">
        <v>38</v>
      </c>
      <c r="T714" s="2" t="s">
        <v>38</v>
      </c>
      <c r="U714" s="2" t="s">
        <v>38</v>
      </c>
      <c r="V714" s="2" t="s">
        <v>38</v>
      </c>
      <c r="W714" s="2" t="s">
        <v>38</v>
      </c>
      <c r="X714" s="2" t="s">
        <v>38</v>
      </c>
      <c r="Y714" s="2" t="s">
        <v>38</v>
      </c>
      <c r="Z714" s="2" t="s">
        <v>38</v>
      </c>
      <c r="AA714" s="2" t="s">
        <v>38</v>
      </c>
      <c r="AB714" s="2" t="s">
        <v>38</v>
      </c>
      <c r="AC714" s="2" t="s">
        <v>38</v>
      </c>
      <c r="AD714" s="2" t="s">
        <v>38</v>
      </c>
      <c r="AE714" s="2" t="s">
        <v>38</v>
      </c>
    </row>
    <row r="715" spans="1:31" ht="409.5">
      <c r="A715" s="2">
        <v>2678452</v>
      </c>
      <c r="B715" s="2">
        <f>HYPERLINK("https://platform.v2.vetology.net/cases/2678452/screening-report/18?type=pdf&amp;v=v6&amp;scorecard=1&amp;secret_key=BX%25IJ%24%2F65ieZ%29f6", 2678452)</f>
        <v>2678452</v>
      </c>
      <c r="C715" s="2">
        <f>HYPERLINK("https://platform.v2.vetology.net/report/v/final/"&amp;2678452, 2678452)</f>
        <v>2678452</v>
      </c>
      <c r="D715" s="2" t="s">
        <v>2231</v>
      </c>
      <c r="E715" s="2" t="s">
        <v>2232</v>
      </c>
      <c r="F715" s="2" t="s">
        <v>81</v>
      </c>
      <c r="G715" s="2" t="s">
        <v>82</v>
      </c>
      <c r="H715" s="2" t="s">
        <v>2233</v>
      </c>
      <c r="I715" s="2" t="s">
        <v>689</v>
      </c>
      <c r="J715" s="2" t="s">
        <v>690</v>
      </c>
      <c r="K715" s="2" t="s">
        <v>38</v>
      </c>
      <c r="L715" s="2" t="s">
        <v>38</v>
      </c>
      <c r="M715" s="2" t="s">
        <v>38</v>
      </c>
      <c r="N715" s="2" t="s">
        <v>38</v>
      </c>
      <c r="O715" s="2" t="s">
        <v>38</v>
      </c>
      <c r="P715" s="2" t="s">
        <v>38</v>
      </c>
      <c r="Q715" s="2" t="s">
        <v>38</v>
      </c>
      <c r="R715" s="2" t="s">
        <v>38</v>
      </c>
      <c r="S715" s="2" t="s">
        <v>38</v>
      </c>
      <c r="T715" s="2" t="s">
        <v>39</v>
      </c>
      <c r="U715" s="2" t="s">
        <v>38</v>
      </c>
      <c r="V715" s="2" t="s">
        <v>39</v>
      </c>
      <c r="W715" s="2" t="s">
        <v>38</v>
      </c>
      <c r="X715" s="2" t="s">
        <v>39</v>
      </c>
      <c r="Y715" s="2" t="s">
        <v>38</v>
      </c>
      <c r="Z715" s="2" t="s">
        <v>39</v>
      </c>
      <c r="AA715" s="2" t="s">
        <v>38</v>
      </c>
      <c r="AB715" s="2" t="s">
        <v>38</v>
      </c>
      <c r="AC715" s="2" t="s">
        <v>39</v>
      </c>
      <c r="AD715" s="2" t="s">
        <v>38</v>
      </c>
      <c r="AE715" s="2" t="s">
        <v>38</v>
      </c>
    </row>
    <row r="716" spans="1:31" ht="409.5">
      <c r="A716" s="2">
        <v>2678039</v>
      </c>
      <c r="B716" s="2">
        <f>HYPERLINK("https://platform.v2.vetology.net/cases/2678039/screening-report/18?type=pdf&amp;v=v6&amp;scorecard=1&amp;secret_key=BX%25IJ%24%2F65ieZ%29f6", 2678039)</f>
        <v>2678039</v>
      </c>
      <c r="C716" s="2">
        <f>HYPERLINK("https://platform.v2.vetology.net/report/v/final/"&amp;2678039, 2678039)</f>
        <v>2678039</v>
      </c>
      <c r="D716" s="2" t="s">
        <v>2234</v>
      </c>
      <c r="E716" s="2" t="s">
        <v>2235</v>
      </c>
      <c r="F716" s="2" t="s">
        <v>2236</v>
      </c>
      <c r="G716" s="2" t="s">
        <v>212</v>
      </c>
      <c r="H716" s="2" t="s">
        <v>1449</v>
      </c>
      <c r="I716" s="2" t="s">
        <v>284</v>
      </c>
      <c r="J716" s="2" t="s">
        <v>285</v>
      </c>
      <c r="K716" s="2" t="s">
        <v>38</v>
      </c>
      <c r="L716" s="2" t="s">
        <v>39</v>
      </c>
      <c r="M716" s="2" t="s">
        <v>38</v>
      </c>
      <c r="N716" s="2" t="s">
        <v>38</v>
      </c>
      <c r="O716" s="2" t="s">
        <v>38</v>
      </c>
      <c r="P716" s="2" t="s">
        <v>38</v>
      </c>
      <c r="Q716" s="2" t="s">
        <v>38</v>
      </c>
      <c r="R716" s="2" t="s">
        <v>38</v>
      </c>
      <c r="S716" s="2" t="s">
        <v>38</v>
      </c>
      <c r="T716" s="2" t="s">
        <v>39</v>
      </c>
      <c r="U716" s="2" t="s">
        <v>38</v>
      </c>
      <c r="V716" s="2" t="s">
        <v>39</v>
      </c>
      <c r="W716" s="2" t="s">
        <v>38</v>
      </c>
      <c r="X716" s="2" t="s">
        <v>39</v>
      </c>
      <c r="Y716" s="2" t="s">
        <v>38</v>
      </c>
      <c r="Z716" s="2" t="s">
        <v>38</v>
      </c>
      <c r="AA716" s="2" t="s">
        <v>38</v>
      </c>
      <c r="AB716" s="2" t="s">
        <v>38</v>
      </c>
      <c r="AC716" s="2" t="s">
        <v>38</v>
      </c>
      <c r="AD716" s="2" t="s">
        <v>38</v>
      </c>
      <c r="AE716" s="2" t="s">
        <v>38</v>
      </c>
    </row>
    <row r="717" spans="1:31" ht="409.5">
      <c r="A717" s="2">
        <v>2678009</v>
      </c>
      <c r="B717" s="2">
        <f>HYPERLINK("https://platform.v2.vetology.net/cases/2678009/screening-report/18?type=pdf&amp;v=v6&amp;scorecard=1&amp;secret_key=BX%25IJ%24%2F65ieZ%29f6", 2678009)</f>
        <v>2678009</v>
      </c>
      <c r="C717" s="2">
        <f>HYPERLINK("https://platform.v2.vetology.net/report/v/final/"&amp;2678009, 2678009)</f>
        <v>2678009</v>
      </c>
      <c r="D717" s="2" t="s">
        <v>2237</v>
      </c>
      <c r="E717" s="2" t="s">
        <v>2238</v>
      </c>
      <c r="F717" s="2" t="s">
        <v>2239</v>
      </c>
      <c r="G717" s="2" t="s">
        <v>93</v>
      </c>
      <c r="H717" s="2" t="s">
        <v>2240</v>
      </c>
      <c r="I717" s="2" t="s">
        <v>214</v>
      </c>
      <c r="J717" s="2" t="s">
        <v>50</v>
      </c>
      <c r="K717" s="2" t="s">
        <v>38</v>
      </c>
      <c r="L717" s="2" t="s">
        <v>38</v>
      </c>
      <c r="M717" s="2" t="s">
        <v>39</v>
      </c>
      <c r="N717" s="2" t="s">
        <v>38</v>
      </c>
      <c r="O717" s="2" t="s">
        <v>39</v>
      </c>
      <c r="P717" s="2" t="s">
        <v>38</v>
      </c>
      <c r="Q717" s="2" t="s">
        <v>38</v>
      </c>
      <c r="R717" s="2" t="s">
        <v>38</v>
      </c>
      <c r="S717" s="2" t="s">
        <v>38</v>
      </c>
      <c r="T717" s="2" t="s">
        <v>39</v>
      </c>
      <c r="U717" s="2" t="s">
        <v>38</v>
      </c>
      <c r="V717" s="2" t="s">
        <v>39</v>
      </c>
      <c r="W717" s="2" t="s">
        <v>38</v>
      </c>
      <c r="X717" s="2" t="s">
        <v>39</v>
      </c>
      <c r="Y717" s="2" t="s">
        <v>38</v>
      </c>
      <c r="Z717" s="2" t="s">
        <v>38</v>
      </c>
      <c r="AA717" s="2" t="s">
        <v>38</v>
      </c>
      <c r="AB717" s="2" t="s">
        <v>38</v>
      </c>
      <c r="AC717" s="2" t="s">
        <v>38</v>
      </c>
      <c r="AD717" s="2" t="s">
        <v>38</v>
      </c>
      <c r="AE717" s="2" t="s">
        <v>38</v>
      </c>
    </row>
    <row r="718" spans="1:31" ht="409.5">
      <c r="A718" s="2">
        <v>2677776</v>
      </c>
      <c r="B718" s="2">
        <f>HYPERLINK("https://platform.v2.vetology.net/cases/2677776/screening-report/18?type=pdf&amp;v=v6&amp;scorecard=1&amp;secret_key=BX%25IJ%24%2F65ieZ%29f6", 2677776)</f>
        <v>2677776</v>
      </c>
      <c r="C718" s="2">
        <f>HYPERLINK("https://platform.v2.vetology.net/report/v/final/"&amp;2677776, 2677776)</f>
        <v>2677776</v>
      </c>
      <c r="D718" s="2" t="s">
        <v>2088</v>
      </c>
      <c r="E718" s="2" t="s">
        <v>2241</v>
      </c>
      <c r="F718" s="2" t="s">
        <v>149</v>
      </c>
      <c r="G718" s="2" t="s">
        <v>150</v>
      </c>
      <c r="H718" s="2" t="s">
        <v>78</v>
      </c>
      <c r="I718" s="2" t="s">
        <v>44</v>
      </c>
      <c r="J718" s="2" t="s">
        <v>106</v>
      </c>
      <c r="K718" s="2" t="s">
        <v>38</v>
      </c>
      <c r="L718" s="2" t="s">
        <v>39</v>
      </c>
      <c r="M718" s="2" t="s">
        <v>39</v>
      </c>
      <c r="N718" s="2" t="s">
        <v>38</v>
      </c>
      <c r="O718" s="2" t="s">
        <v>38</v>
      </c>
      <c r="P718" s="2" t="s">
        <v>38</v>
      </c>
      <c r="Q718" s="2" t="s">
        <v>38</v>
      </c>
      <c r="R718" s="2" t="s">
        <v>38</v>
      </c>
      <c r="S718" s="2" t="s">
        <v>38</v>
      </c>
      <c r="T718" s="2" t="s">
        <v>38</v>
      </c>
      <c r="U718" s="2" t="s">
        <v>38</v>
      </c>
      <c r="V718" s="2" t="s">
        <v>38</v>
      </c>
      <c r="W718" s="2" t="s">
        <v>38</v>
      </c>
      <c r="X718" s="2" t="s">
        <v>38</v>
      </c>
      <c r="Y718" s="2" t="s">
        <v>38</v>
      </c>
      <c r="Z718" s="2" t="s">
        <v>38</v>
      </c>
      <c r="AA718" s="2" t="s">
        <v>38</v>
      </c>
      <c r="AB718" s="2" t="s">
        <v>39</v>
      </c>
      <c r="AC718" s="2" t="s">
        <v>38</v>
      </c>
      <c r="AD718" s="2" t="s">
        <v>38</v>
      </c>
      <c r="AE718" s="2" t="s">
        <v>38</v>
      </c>
    </row>
    <row r="719" spans="1:31" ht="409.5">
      <c r="A719" s="2">
        <v>2677719</v>
      </c>
      <c r="B719" s="2">
        <f>HYPERLINK("https://platform.v2.vetology.net/cases/2677719/screening-report/18?type=pdf&amp;v=v6&amp;scorecard=1&amp;secret_key=BX%25IJ%24%2F65ieZ%29f6", 2677719)</f>
        <v>2677719</v>
      </c>
      <c r="C719" s="2">
        <f>HYPERLINK("https://platform.v2.vetology.net/report/v/final/"&amp;2677719, 2677719)</f>
        <v>2677719</v>
      </c>
      <c r="D719" s="2" t="s">
        <v>2242</v>
      </c>
      <c r="E719" s="2" t="s">
        <v>2243</v>
      </c>
      <c r="F719" s="2" t="s">
        <v>2244</v>
      </c>
      <c r="G719" s="2" t="s">
        <v>93</v>
      </c>
      <c r="H719" s="2" t="s">
        <v>78</v>
      </c>
      <c r="I719" s="2" t="s">
        <v>44</v>
      </c>
      <c r="J719" s="2"/>
      <c r="K719" s="2" t="s">
        <v>38</v>
      </c>
      <c r="L719" s="2" t="s">
        <v>39</v>
      </c>
      <c r="M719" s="2" t="s">
        <v>38</v>
      </c>
      <c r="N719" s="2" t="s">
        <v>38</v>
      </c>
      <c r="O719" s="2" t="s">
        <v>38</v>
      </c>
      <c r="P719" s="2" t="s">
        <v>38</v>
      </c>
      <c r="Q719" s="2" t="s">
        <v>38</v>
      </c>
      <c r="R719" s="2" t="s">
        <v>38</v>
      </c>
      <c r="S719" s="2" t="s">
        <v>38</v>
      </c>
      <c r="T719" s="2" t="s">
        <v>39</v>
      </c>
      <c r="U719" s="2" t="s">
        <v>38</v>
      </c>
      <c r="V719" s="2" t="s">
        <v>39</v>
      </c>
      <c r="W719" s="2" t="s">
        <v>38</v>
      </c>
      <c r="X719" s="2" t="s">
        <v>39</v>
      </c>
      <c r="Y719" s="2" t="s">
        <v>38</v>
      </c>
      <c r="Z719" s="2" t="s">
        <v>38</v>
      </c>
      <c r="AA719" s="2" t="s">
        <v>38</v>
      </c>
      <c r="AB719" s="2" t="s">
        <v>38</v>
      </c>
      <c r="AC719" s="2" t="s">
        <v>38</v>
      </c>
      <c r="AD719" s="2" t="s">
        <v>38</v>
      </c>
      <c r="AE719" s="2" t="s">
        <v>38</v>
      </c>
    </row>
    <row r="720" spans="1:31" ht="409.5">
      <c r="A720" s="2">
        <v>2677679</v>
      </c>
      <c r="B720" s="2">
        <f>HYPERLINK("https://platform.v2.vetology.net/cases/2677679/screening-report/18?type=pdf&amp;v=v6&amp;scorecard=1&amp;secret_key=BX%25IJ%24%2F65ieZ%29f6", 2677679)</f>
        <v>2677679</v>
      </c>
      <c r="C720" s="2">
        <f>HYPERLINK("https://platform.v2.vetology.net/report/v/final/"&amp;2677679, 2677679)</f>
        <v>2677679</v>
      </c>
      <c r="D720" s="2" t="s">
        <v>2245</v>
      </c>
      <c r="E720" s="2" t="s">
        <v>2246</v>
      </c>
      <c r="F720" s="2" t="s">
        <v>455</v>
      </c>
      <c r="G720" s="2" t="s">
        <v>58</v>
      </c>
      <c r="H720" s="2" t="s">
        <v>2247</v>
      </c>
      <c r="I720" s="2" t="s">
        <v>1533</v>
      </c>
      <c r="J720" s="2" t="s">
        <v>710</v>
      </c>
      <c r="K720" s="2" t="s">
        <v>38</v>
      </c>
      <c r="L720" s="2" t="s">
        <v>39</v>
      </c>
      <c r="M720" s="2" t="s">
        <v>39</v>
      </c>
      <c r="N720" s="2" t="s">
        <v>38</v>
      </c>
      <c r="O720" s="2" t="s">
        <v>38</v>
      </c>
      <c r="P720" s="2" t="s">
        <v>38</v>
      </c>
      <c r="Q720" s="2" t="s">
        <v>38</v>
      </c>
      <c r="R720" s="2" t="s">
        <v>38</v>
      </c>
      <c r="S720" s="2" t="s">
        <v>39</v>
      </c>
      <c r="T720" s="2" t="s">
        <v>39</v>
      </c>
      <c r="U720" s="2" t="s">
        <v>39</v>
      </c>
      <c r="V720" s="2" t="s">
        <v>38</v>
      </c>
      <c r="W720" s="2" t="s">
        <v>38</v>
      </c>
      <c r="X720" s="2" t="s">
        <v>39</v>
      </c>
      <c r="Y720" s="2" t="s">
        <v>38</v>
      </c>
      <c r="Z720" s="2" t="s">
        <v>39</v>
      </c>
      <c r="AA720" s="2" t="s">
        <v>38</v>
      </c>
      <c r="AB720" s="2" t="s">
        <v>38</v>
      </c>
      <c r="AC720" s="2" t="s">
        <v>39</v>
      </c>
      <c r="AD720" s="2" t="s">
        <v>38</v>
      </c>
      <c r="AE720" s="2" t="s">
        <v>38</v>
      </c>
    </row>
    <row r="721" spans="1:31" ht="409.5">
      <c r="A721" s="2">
        <v>2677674</v>
      </c>
      <c r="B721" s="2">
        <f>HYPERLINK("https://platform.v2.vetology.net/cases/2677674/screening-report/18?type=pdf&amp;v=v6&amp;scorecard=1&amp;secret_key=BX%25IJ%24%2F65ieZ%29f6", 2677674)</f>
        <v>2677674</v>
      </c>
      <c r="C721" s="2">
        <f>HYPERLINK("https://platform.v2.vetology.net/report/v/final/"&amp;2677674, 2677674)</f>
        <v>2677674</v>
      </c>
      <c r="D721" s="2" t="s">
        <v>2248</v>
      </c>
      <c r="E721" s="2" t="s">
        <v>2249</v>
      </c>
      <c r="F721" s="2" t="s">
        <v>2250</v>
      </c>
      <c r="G721" s="2" t="s">
        <v>34</v>
      </c>
      <c r="H721" s="2" t="s">
        <v>2251</v>
      </c>
      <c r="I721" s="2" t="s">
        <v>245</v>
      </c>
      <c r="J721" s="2" t="s">
        <v>246</v>
      </c>
      <c r="K721" s="2" t="s">
        <v>38</v>
      </c>
      <c r="L721" s="2" t="s">
        <v>39</v>
      </c>
      <c r="M721" s="2" t="s">
        <v>39</v>
      </c>
      <c r="N721" s="2" t="s">
        <v>39</v>
      </c>
      <c r="O721" s="2" t="s">
        <v>38</v>
      </c>
      <c r="P721" s="2" t="s">
        <v>38</v>
      </c>
      <c r="Q721" s="2" t="s">
        <v>38</v>
      </c>
      <c r="R721" s="2" t="s">
        <v>38</v>
      </c>
      <c r="S721" s="2" t="s">
        <v>38</v>
      </c>
      <c r="T721" s="2" t="s">
        <v>38</v>
      </c>
      <c r="U721" s="2" t="s">
        <v>38</v>
      </c>
      <c r="V721" s="2" t="s">
        <v>38</v>
      </c>
      <c r="W721" s="2" t="s">
        <v>38</v>
      </c>
      <c r="X721" s="2" t="s">
        <v>38</v>
      </c>
      <c r="Y721" s="2" t="s">
        <v>38</v>
      </c>
      <c r="Z721" s="2" t="s">
        <v>38</v>
      </c>
      <c r="AA721" s="2" t="s">
        <v>38</v>
      </c>
      <c r="AB721" s="2" t="s">
        <v>39</v>
      </c>
      <c r="AC721" s="2" t="s">
        <v>38</v>
      </c>
      <c r="AD721" s="2" t="s">
        <v>38</v>
      </c>
      <c r="AE721" s="2" t="s">
        <v>38</v>
      </c>
    </row>
    <row r="722" spans="1:31" ht="409.5">
      <c r="A722" s="2">
        <v>2677652</v>
      </c>
      <c r="B722" s="2">
        <f>HYPERLINK("https://platform.v2.vetology.net/cases/2677652/screening-report/18?type=pdf&amp;v=v6&amp;scorecard=1&amp;secret_key=BX%25IJ%24%2F65ieZ%29f6", 2677652)</f>
        <v>2677652</v>
      </c>
      <c r="C722" s="2">
        <f>HYPERLINK("https://platform.v2.vetology.net/report/v/final/"&amp;2677652, 2677652)</f>
        <v>2677652</v>
      </c>
      <c r="D722" s="2" t="s">
        <v>2252</v>
      </c>
      <c r="E722" s="2" t="s">
        <v>2253</v>
      </c>
      <c r="F722" s="2"/>
      <c r="G722" s="2" t="s">
        <v>150</v>
      </c>
      <c r="H722" s="2" t="s">
        <v>71</v>
      </c>
      <c r="I722" s="2" t="s">
        <v>44</v>
      </c>
      <c r="J722" s="2"/>
      <c r="K722" s="2" t="s">
        <v>38</v>
      </c>
      <c r="L722" s="2" t="s">
        <v>39</v>
      </c>
      <c r="M722" s="2" t="s">
        <v>38</v>
      </c>
      <c r="N722" s="2" t="s">
        <v>38</v>
      </c>
      <c r="O722" s="2" t="s">
        <v>38</v>
      </c>
      <c r="P722" s="2" t="s">
        <v>38</v>
      </c>
      <c r="Q722" s="2" t="s">
        <v>38</v>
      </c>
      <c r="R722" s="2" t="s">
        <v>38</v>
      </c>
      <c r="S722" s="2" t="s">
        <v>38</v>
      </c>
      <c r="T722" s="2" t="s">
        <v>39</v>
      </c>
      <c r="U722" s="2" t="s">
        <v>38</v>
      </c>
      <c r="V722" s="2" t="s">
        <v>39</v>
      </c>
      <c r="W722" s="2" t="s">
        <v>38</v>
      </c>
      <c r="X722" s="2" t="s">
        <v>39</v>
      </c>
      <c r="Y722" s="2" t="s">
        <v>38</v>
      </c>
      <c r="Z722" s="2" t="s">
        <v>38</v>
      </c>
      <c r="AA722" s="2" t="s">
        <v>38</v>
      </c>
      <c r="AB722" s="2" t="s">
        <v>38</v>
      </c>
      <c r="AC722" s="2" t="s">
        <v>39</v>
      </c>
      <c r="AD722" s="2" t="s">
        <v>38</v>
      </c>
      <c r="AE722" s="2" t="s">
        <v>38</v>
      </c>
    </row>
    <row r="723" spans="1:31" ht="409.5">
      <c r="A723" s="2">
        <v>2677510</v>
      </c>
      <c r="B723" s="2">
        <f>HYPERLINK("https://platform.v2.vetology.net/cases/2677510/screening-report/18?type=pdf&amp;v=v6&amp;scorecard=1&amp;secret_key=BX%25IJ%24%2F65ieZ%29f6", 2677510)</f>
        <v>2677510</v>
      </c>
      <c r="C723" s="2">
        <f>HYPERLINK("https://platform.v2.vetology.net/report/v/final/"&amp;2677510, 2677510)</f>
        <v>2677510</v>
      </c>
      <c r="D723" s="2" t="s">
        <v>2088</v>
      </c>
      <c r="E723" s="2" t="s">
        <v>387</v>
      </c>
      <c r="F723" s="2" t="s">
        <v>149</v>
      </c>
      <c r="G723" s="2" t="s">
        <v>150</v>
      </c>
      <c r="H723" s="2" t="s">
        <v>2141</v>
      </c>
      <c r="I723" s="2" t="s">
        <v>145</v>
      </c>
      <c r="J723" s="2" t="s">
        <v>146</v>
      </c>
      <c r="K723" s="2" t="s">
        <v>38</v>
      </c>
      <c r="L723" s="2" t="s">
        <v>39</v>
      </c>
      <c r="M723" s="2" t="s">
        <v>38</v>
      </c>
      <c r="N723" s="2" t="s">
        <v>38</v>
      </c>
      <c r="O723" s="2" t="s">
        <v>38</v>
      </c>
      <c r="P723" s="2" t="s">
        <v>38</v>
      </c>
      <c r="Q723" s="2" t="s">
        <v>38</v>
      </c>
      <c r="R723" s="2" t="s">
        <v>38</v>
      </c>
      <c r="S723" s="2" t="s">
        <v>38</v>
      </c>
      <c r="T723" s="2" t="s">
        <v>39</v>
      </c>
      <c r="U723" s="2" t="s">
        <v>38</v>
      </c>
      <c r="V723" s="2" t="s">
        <v>38</v>
      </c>
      <c r="W723" s="2" t="s">
        <v>38</v>
      </c>
      <c r="X723" s="2" t="s">
        <v>39</v>
      </c>
      <c r="Y723" s="2" t="s">
        <v>38</v>
      </c>
      <c r="Z723" s="2" t="s">
        <v>38</v>
      </c>
      <c r="AA723" s="2" t="s">
        <v>38</v>
      </c>
      <c r="AB723" s="2" t="s">
        <v>38</v>
      </c>
      <c r="AC723" s="2" t="s">
        <v>39</v>
      </c>
      <c r="AD723" s="2" t="s">
        <v>38</v>
      </c>
      <c r="AE723" s="2" t="s">
        <v>38</v>
      </c>
    </row>
    <row r="724" spans="1:31" ht="409.5">
      <c r="A724" s="2">
        <v>2677429</v>
      </c>
      <c r="B724" s="2">
        <f>HYPERLINK("https://platform.v2.vetology.net/cases/2677429/screening-report/18?type=pdf&amp;v=v6&amp;scorecard=1&amp;secret_key=BX%25IJ%24%2F65ieZ%29f6", 2677429)</f>
        <v>2677429</v>
      </c>
      <c r="C724" s="2">
        <f>HYPERLINK("https://platform.v2.vetology.net/report/v/final/"&amp;2677429, 2677429)</f>
        <v>2677429</v>
      </c>
      <c r="D724" s="2" t="s">
        <v>2254</v>
      </c>
      <c r="E724" s="2" t="s">
        <v>2255</v>
      </c>
      <c r="F724" s="2" t="s">
        <v>2256</v>
      </c>
      <c r="G724" s="2" t="s">
        <v>575</v>
      </c>
      <c r="H724" s="2" t="s">
        <v>54</v>
      </c>
      <c r="I724" s="2" t="s">
        <v>44</v>
      </c>
      <c r="J724" s="2"/>
      <c r="K724" s="2" t="s">
        <v>38</v>
      </c>
      <c r="L724" s="2" t="s">
        <v>39</v>
      </c>
      <c r="M724" s="2" t="s">
        <v>39</v>
      </c>
      <c r="N724" s="2" t="s">
        <v>38</v>
      </c>
      <c r="O724" s="2" t="s">
        <v>38</v>
      </c>
      <c r="P724" s="2" t="s">
        <v>38</v>
      </c>
      <c r="Q724" s="2" t="s">
        <v>38</v>
      </c>
      <c r="R724" s="2" t="s">
        <v>38</v>
      </c>
      <c r="S724" s="2" t="s">
        <v>38</v>
      </c>
      <c r="T724" s="2" t="s">
        <v>39</v>
      </c>
      <c r="U724" s="2" t="s">
        <v>38</v>
      </c>
      <c r="V724" s="2" t="s">
        <v>39</v>
      </c>
      <c r="W724" s="2" t="s">
        <v>38</v>
      </c>
      <c r="X724" s="2" t="s">
        <v>39</v>
      </c>
      <c r="Y724" s="2" t="s">
        <v>38</v>
      </c>
      <c r="Z724" s="2" t="s">
        <v>38</v>
      </c>
      <c r="AA724" s="2" t="s">
        <v>38</v>
      </c>
      <c r="AB724" s="2" t="s">
        <v>39</v>
      </c>
      <c r="AC724" s="2" t="s">
        <v>38</v>
      </c>
      <c r="AD724" s="2" t="s">
        <v>38</v>
      </c>
      <c r="AE724" s="2" t="s">
        <v>38</v>
      </c>
    </row>
    <row r="725" spans="1:31" ht="409.5">
      <c r="A725" s="2">
        <v>2677137</v>
      </c>
      <c r="B725" s="2">
        <f>HYPERLINK("https://platform.v2.vetology.net/cases/2677137/screening-report/18?type=pdf&amp;v=v6&amp;scorecard=1&amp;secret_key=BX%25IJ%24%2F65ieZ%29f6", 2677137)</f>
        <v>2677137</v>
      </c>
      <c r="C725" s="2">
        <f>HYPERLINK("https://platform.v2.vetology.net/report/v/final/"&amp;2677137, 2677137)</f>
        <v>2677137</v>
      </c>
      <c r="D725" s="2" t="s">
        <v>2257</v>
      </c>
      <c r="E725" s="2" t="s">
        <v>2258</v>
      </c>
      <c r="F725" s="2" t="s">
        <v>2259</v>
      </c>
      <c r="G725" s="2" t="s">
        <v>34</v>
      </c>
      <c r="H725" s="2" t="s">
        <v>54</v>
      </c>
      <c r="I725" s="2" t="s">
        <v>44</v>
      </c>
      <c r="J725" s="2"/>
      <c r="K725" s="2" t="s">
        <v>38</v>
      </c>
      <c r="L725" s="2" t="s">
        <v>38</v>
      </c>
      <c r="M725" s="2" t="s">
        <v>38</v>
      </c>
      <c r="N725" s="2" t="s">
        <v>38</v>
      </c>
      <c r="O725" s="2" t="s">
        <v>38</v>
      </c>
      <c r="P725" s="2" t="s">
        <v>38</v>
      </c>
      <c r="Q725" s="2" t="s">
        <v>38</v>
      </c>
      <c r="R725" s="2" t="s">
        <v>38</v>
      </c>
      <c r="S725" s="2" t="s">
        <v>38</v>
      </c>
      <c r="T725" s="2" t="s">
        <v>39</v>
      </c>
      <c r="U725" s="2" t="s">
        <v>38</v>
      </c>
      <c r="V725" s="2" t="s">
        <v>38</v>
      </c>
      <c r="W725" s="2" t="s">
        <v>38</v>
      </c>
      <c r="X725" s="2" t="s">
        <v>38</v>
      </c>
      <c r="Y725" s="2" t="s">
        <v>38</v>
      </c>
      <c r="Z725" s="2" t="s">
        <v>38</v>
      </c>
      <c r="AA725" s="2" t="s">
        <v>38</v>
      </c>
      <c r="AB725" s="2" t="s">
        <v>38</v>
      </c>
      <c r="AC725" s="2" t="s">
        <v>38</v>
      </c>
      <c r="AD725" s="2" t="s">
        <v>38</v>
      </c>
      <c r="AE725" s="2" t="s">
        <v>38</v>
      </c>
    </row>
    <row r="726" spans="1:31" ht="409.5">
      <c r="A726" s="2">
        <v>2676804</v>
      </c>
      <c r="B726" s="2">
        <f>HYPERLINK("https://platform.v2.vetology.net/cases/2676804/screening-report/18?type=pdf&amp;v=v6&amp;scorecard=1&amp;secret_key=BX%25IJ%24%2F65ieZ%29f6", 2676804)</f>
        <v>2676804</v>
      </c>
      <c r="C726" s="2">
        <f>HYPERLINK("https://platform.v2.vetology.net/report/v/final/"&amp;2676804, 2676804)</f>
        <v>2676804</v>
      </c>
      <c r="D726" s="2" t="s">
        <v>2260</v>
      </c>
      <c r="E726" s="2" t="s">
        <v>2261</v>
      </c>
      <c r="F726" s="2" t="s">
        <v>149</v>
      </c>
      <c r="G726" s="2" t="s">
        <v>150</v>
      </c>
      <c r="H726" s="2" t="s">
        <v>162</v>
      </c>
      <c r="I726" s="2" t="s">
        <v>124</v>
      </c>
      <c r="J726" s="2" t="s">
        <v>125</v>
      </c>
      <c r="K726" s="2" t="s">
        <v>38</v>
      </c>
      <c r="L726" s="2" t="s">
        <v>38</v>
      </c>
      <c r="M726" s="2" t="s">
        <v>39</v>
      </c>
      <c r="N726" s="2" t="s">
        <v>38</v>
      </c>
      <c r="O726" s="2" t="s">
        <v>38</v>
      </c>
      <c r="P726" s="2" t="s">
        <v>38</v>
      </c>
      <c r="Q726" s="2" t="s">
        <v>39</v>
      </c>
      <c r="R726" s="2" t="s">
        <v>38</v>
      </c>
      <c r="S726" s="2" t="s">
        <v>38</v>
      </c>
      <c r="T726" s="2" t="s">
        <v>38</v>
      </c>
      <c r="U726" s="2" t="s">
        <v>38</v>
      </c>
      <c r="V726" s="2" t="s">
        <v>38</v>
      </c>
      <c r="W726" s="2" t="s">
        <v>38</v>
      </c>
      <c r="X726" s="2" t="s">
        <v>38</v>
      </c>
      <c r="Y726" s="2" t="s">
        <v>38</v>
      </c>
      <c r="Z726" s="2" t="s">
        <v>38</v>
      </c>
      <c r="AA726" s="2" t="s">
        <v>38</v>
      </c>
      <c r="AB726" s="2" t="s">
        <v>38</v>
      </c>
      <c r="AC726" s="2" t="s">
        <v>38</v>
      </c>
      <c r="AD726" s="2" t="s">
        <v>38</v>
      </c>
      <c r="AE726" s="2" t="s">
        <v>38</v>
      </c>
    </row>
    <row r="727" spans="1:31" ht="409.5">
      <c r="A727" s="2">
        <v>2676685</v>
      </c>
      <c r="B727" s="2">
        <f>HYPERLINK("https://platform.v2.vetology.net/cases/2676685/screening-report/18?type=pdf&amp;v=v6&amp;scorecard=1&amp;secret_key=BX%25IJ%24%2F65ieZ%29f6", 2676685)</f>
        <v>2676685</v>
      </c>
      <c r="C727" s="2">
        <f>HYPERLINK("https://platform.v2.vetology.net/report/v/final/"&amp;2676685, 2676685)</f>
        <v>2676685</v>
      </c>
      <c r="D727" s="2" t="s">
        <v>2262</v>
      </c>
      <c r="E727" s="2" t="s">
        <v>2263</v>
      </c>
      <c r="F727" s="2" t="s">
        <v>2264</v>
      </c>
      <c r="G727" s="2" t="s">
        <v>212</v>
      </c>
      <c r="H727" s="2" t="s">
        <v>360</v>
      </c>
      <c r="I727" s="2" t="s">
        <v>284</v>
      </c>
      <c r="J727" s="2" t="s">
        <v>285</v>
      </c>
      <c r="K727" s="2" t="s">
        <v>38</v>
      </c>
      <c r="L727" s="2" t="s">
        <v>38</v>
      </c>
      <c r="M727" s="2" t="s">
        <v>38</v>
      </c>
      <c r="N727" s="2" t="s">
        <v>38</v>
      </c>
      <c r="O727" s="2" t="s">
        <v>38</v>
      </c>
      <c r="P727" s="2" t="s">
        <v>38</v>
      </c>
      <c r="Q727" s="2" t="s">
        <v>38</v>
      </c>
      <c r="R727" s="2" t="s">
        <v>38</v>
      </c>
      <c r="S727" s="2" t="s">
        <v>38</v>
      </c>
      <c r="T727" s="2" t="s">
        <v>38</v>
      </c>
      <c r="U727" s="2" t="s">
        <v>38</v>
      </c>
      <c r="V727" s="2" t="s">
        <v>38</v>
      </c>
      <c r="W727" s="2" t="s">
        <v>38</v>
      </c>
      <c r="X727" s="2" t="s">
        <v>38</v>
      </c>
      <c r="Y727" s="2" t="s">
        <v>38</v>
      </c>
      <c r="Z727" s="2" t="s">
        <v>38</v>
      </c>
      <c r="AA727" s="2" t="s">
        <v>38</v>
      </c>
      <c r="AB727" s="2" t="s">
        <v>38</v>
      </c>
      <c r="AC727" s="2" t="s">
        <v>38</v>
      </c>
      <c r="AD727" s="2" t="s">
        <v>38</v>
      </c>
      <c r="AE727" s="2" t="s">
        <v>38</v>
      </c>
    </row>
    <row r="728" spans="1:31" ht="409.5">
      <c r="A728" s="2">
        <v>2676640</v>
      </c>
      <c r="B728" s="2">
        <f>HYPERLINK("https://platform.v2.vetology.net/cases/2676640/screening-report/18?type=pdf&amp;v=v6&amp;scorecard=1&amp;secret_key=BX%25IJ%24%2F65ieZ%29f6", 2676640)</f>
        <v>2676640</v>
      </c>
      <c r="C728" s="2">
        <f>HYPERLINK("https://platform.v2.vetology.net/report/v/final/"&amp;2676640, 2676640)</f>
        <v>2676640</v>
      </c>
      <c r="D728" s="2" t="s">
        <v>2265</v>
      </c>
      <c r="E728" s="2" t="s">
        <v>2266</v>
      </c>
      <c r="F728" s="2" t="s">
        <v>2267</v>
      </c>
      <c r="G728" s="2" t="s">
        <v>58</v>
      </c>
      <c r="H728" s="2" t="s">
        <v>442</v>
      </c>
      <c r="I728" s="2" t="s">
        <v>36</v>
      </c>
      <c r="J728" s="2" t="s">
        <v>37</v>
      </c>
      <c r="K728" s="2" t="s">
        <v>38</v>
      </c>
      <c r="L728" s="2" t="s">
        <v>39</v>
      </c>
      <c r="M728" s="2" t="s">
        <v>38</v>
      </c>
      <c r="N728" s="2" t="s">
        <v>38</v>
      </c>
      <c r="O728" s="2" t="s">
        <v>38</v>
      </c>
      <c r="P728" s="2" t="s">
        <v>38</v>
      </c>
      <c r="Q728" s="2" t="s">
        <v>38</v>
      </c>
      <c r="R728" s="2" t="s">
        <v>38</v>
      </c>
      <c r="S728" s="2" t="s">
        <v>38</v>
      </c>
      <c r="T728" s="2" t="s">
        <v>39</v>
      </c>
      <c r="U728" s="2" t="s">
        <v>38</v>
      </c>
      <c r="V728" s="2" t="s">
        <v>39</v>
      </c>
      <c r="W728" s="2" t="s">
        <v>38</v>
      </c>
      <c r="X728" s="2" t="s">
        <v>39</v>
      </c>
      <c r="Y728" s="2" t="s">
        <v>38</v>
      </c>
      <c r="Z728" s="2" t="s">
        <v>39</v>
      </c>
      <c r="AA728" s="2" t="s">
        <v>38</v>
      </c>
      <c r="AB728" s="2" t="s">
        <v>39</v>
      </c>
      <c r="AC728" s="2" t="s">
        <v>38</v>
      </c>
      <c r="AD728" s="2" t="s">
        <v>38</v>
      </c>
      <c r="AE728" s="2" t="s">
        <v>38</v>
      </c>
    </row>
    <row r="729" spans="1:31" ht="409.5">
      <c r="A729" s="2">
        <v>2676457</v>
      </c>
      <c r="B729" s="2">
        <f>HYPERLINK("https://platform.v2.vetology.net/cases/2676457/screening-report/18?type=pdf&amp;v=v6&amp;scorecard=1&amp;secret_key=BX%25IJ%24%2F65ieZ%29f6", 2676457)</f>
        <v>2676457</v>
      </c>
      <c r="C729" s="2">
        <f>HYPERLINK("https://platform.v2.vetology.net/report/v/final/"&amp;2676457, 2676457)</f>
        <v>2676457</v>
      </c>
      <c r="D729" s="2" t="s">
        <v>2088</v>
      </c>
      <c r="E729" s="2" t="s">
        <v>387</v>
      </c>
      <c r="F729" s="2" t="s">
        <v>149</v>
      </c>
      <c r="G729" s="2" t="s">
        <v>150</v>
      </c>
      <c r="H729" s="2" t="s">
        <v>2268</v>
      </c>
      <c r="I729" s="2" t="s">
        <v>184</v>
      </c>
      <c r="J729" s="2" t="s">
        <v>185</v>
      </c>
      <c r="K729" s="2" t="s">
        <v>38</v>
      </c>
      <c r="L729" s="2" t="s">
        <v>38</v>
      </c>
      <c r="M729" s="2" t="s">
        <v>38</v>
      </c>
      <c r="N729" s="2" t="s">
        <v>39</v>
      </c>
      <c r="O729" s="2" t="s">
        <v>38</v>
      </c>
      <c r="P729" s="2" t="s">
        <v>39</v>
      </c>
      <c r="Q729" s="2" t="s">
        <v>39</v>
      </c>
      <c r="R729" s="2" t="s">
        <v>38</v>
      </c>
      <c r="S729" s="2" t="s">
        <v>38</v>
      </c>
      <c r="T729" s="2" t="s">
        <v>38</v>
      </c>
      <c r="U729" s="2" t="s">
        <v>38</v>
      </c>
      <c r="V729" s="2" t="s">
        <v>38</v>
      </c>
      <c r="W729" s="2" t="s">
        <v>38</v>
      </c>
      <c r="X729" s="2" t="s">
        <v>38</v>
      </c>
      <c r="Y729" s="2" t="s">
        <v>38</v>
      </c>
      <c r="Z729" s="2" t="s">
        <v>38</v>
      </c>
      <c r="AA729" s="2" t="s">
        <v>38</v>
      </c>
      <c r="AB729" s="2" t="s">
        <v>39</v>
      </c>
      <c r="AC729" s="2" t="s">
        <v>38</v>
      </c>
      <c r="AD729" s="2" t="s">
        <v>38</v>
      </c>
      <c r="AE729" s="2" t="s">
        <v>38</v>
      </c>
    </row>
    <row r="730" spans="1:31" ht="409.5">
      <c r="A730" s="2">
        <v>2676370</v>
      </c>
      <c r="B730" s="2">
        <f>HYPERLINK("https://platform.v2.vetology.net/cases/2676370/screening-report/18?type=pdf&amp;v=v6&amp;scorecard=1&amp;secret_key=BX%25IJ%24%2F65ieZ%29f6", 2676370)</f>
        <v>2676370</v>
      </c>
      <c r="C730" s="2">
        <f>HYPERLINK("https://platform.v2.vetology.net/report/v/final/"&amp;2676370, 2676370)</f>
        <v>2676370</v>
      </c>
      <c r="D730" s="2" t="s">
        <v>2269</v>
      </c>
      <c r="E730" s="2" t="s">
        <v>2270</v>
      </c>
      <c r="F730" s="2" t="s">
        <v>2271</v>
      </c>
      <c r="G730" s="2" t="s">
        <v>63</v>
      </c>
      <c r="H730" s="2" t="s">
        <v>136</v>
      </c>
      <c r="I730" s="2" t="s">
        <v>137</v>
      </c>
      <c r="J730" s="2" t="s">
        <v>66</v>
      </c>
      <c r="K730" s="2" t="s">
        <v>38</v>
      </c>
      <c r="L730" s="2" t="s">
        <v>38</v>
      </c>
      <c r="M730" s="2" t="s">
        <v>38</v>
      </c>
      <c r="N730" s="2" t="s">
        <v>38</v>
      </c>
      <c r="O730" s="2" t="s">
        <v>38</v>
      </c>
      <c r="P730" s="2" t="s">
        <v>38</v>
      </c>
      <c r="Q730" s="2" t="s">
        <v>38</v>
      </c>
      <c r="R730" s="2" t="s">
        <v>38</v>
      </c>
      <c r="S730" s="2" t="s">
        <v>38</v>
      </c>
      <c r="T730" s="2" t="s">
        <v>39</v>
      </c>
      <c r="U730" s="2" t="s">
        <v>38</v>
      </c>
      <c r="V730" s="2" t="s">
        <v>38</v>
      </c>
      <c r="W730" s="2" t="s">
        <v>38</v>
      </c>
      <c r="X730" s="2" t="s">
        <v>39</v>
      </c>
      <c r="Y730" s="2" t="s">
        <v>38</v>
      </c>
      <c r="Z730" s="2" t="s">
        <v>38</v>
      </c>
      <c r="AA730" s="2" t="s">
        <v>38</v>
      </c>
      <c r="AB730" s="2" t="s">
        <v>38</v>
      </c>
      <c r="AC730" s="2" t="s">
        <v>38</v>
      </c>
      <c r="AD730" s="2" t="s">
        <v>38</v>
      </c>
      <c r="AE730" s="2" t="s">
        <v>38</v>
      </c>
    </row>
    <row r="731" spans="1:31" ht="409.5">
      <c r="A731" s="2">
        <v>2676327</v>
      </c>
      <c r="B731" s="2">
        <f>HYPERLINK("https://platform.v2.vetology.net/cases/2676327/screening-report/18?type=pdf&amp;v=v6&amp;scorecard=1&amp;secret_key=BX%25IJ%24%2F65ieZ%29f6", 2676327)</f>
        <v>2676327</v>
      </c>
      <c r="C731" s="2">
        <f>HYPERLINK("https://platform.v2.vetology.net/report/v/final/"&amp;2676327, 2676327)</f>
        <v>2676327</v>
      </c>
      <c r="D731" s="2" t="s">
        <v>2272</v>
      </c>
      <c r="E731" s="2" t="s">
        <v>2273</v>
      </c>
      <c r="F731" s="2" t="s">
        <v>81</v>
      </c>
      <c r="G731" s="2" t="s">
        <v>150</v>
      </c>
      <c r="H731" s="2" t="s">
        <v>2274</v>
      </c>
      <c r="I731" s="2" t="s">
        <v>124</v>
      </c>
      <c r="J731" s="2" t="s">
        <v>125</v>
      </c>
      <c r="K731" s="2" t="s">
        <v>38</v>
      </c>
      <c r="L731" s="2" t="s">
        <v>38</v>
      </c>
      <c r="M731" s="2" t="s">
        <v>39</v>
      </c>
      <c r="N731" s="2" t="s">
        <v>38</v>
      </c>
      <c r="O731" s="2" t="s">
        <v>38</v>
      </c>
      <c r="P731" s="2" t="s">
        <v>38</v>
      </c>
      <c r="Q731" s="2" t="s">
        <v>38</v>
      </c>
      <c r="R731" s="2" t="s">
        <v>38</v>
      </c>
      <c r="S731" s="2" t="s">
        <v>39</v>
      </c>
      <c r="T731" s="2" t="s">
        <v>38</v>
      </c>
      <c r="U731" s="2" t="s">
        <v>38</v>
      </c>
      <c r="V731" s="2" t="s">
        <v>38</v>
      </c>
      <c r="W731" s="2" t="s">
        <v>38</v>
      </c>
      <c r="X731" s="2" t="s">
        <v>38</v>
      </c>
      <c r="Y731" s="2" t="s">
        <v>38</v>
      </c>
      <c r="Z731" s="2" t="s">
        <v>38</v>
      </c>
      <c r="AA731" s="2" t="s">
        <v>38</v>
      </c>
      <c r="AB731" s="2" t="s">
        <v>39</v>
      </c>
      <c r="AC731" s="2" t="s">
        <v>39</v>
      </c>
      <c r="AD731" s="2" t="s">
        <v>38</v>
      </c>
      <c r="AE731" s="2" t="s">
        <v>39</v>
      </c>
    </row>
    <row r="732" spans="1:31" ht="409.5">
      <c r="A732" s="2">
        <v>2676250</v>
      </c>
      <c r="B732" s="2">
        <f>HYPERLINK("https://platform.v2.vetology.net/cases/2676250/screening-report/18?type=pdf&amp;v=v6&amp;scorecard=1&amp;secret_key=BX%25IJ%24%2F65ieZ%29f6", 2676250)</f>
        <v>2676250</v>
      </c>
      <c r="C732" s="2">
        <f>HYPERLINK("https://platform.v2.vetology.net/report/v/final/"&amp;2676250, 2676250)</f>
        <v>2676250</v>
      </c>
      <c r="D732" s="2" t="s">
        <v>2275</v>
      </c>
      <c r="E732" s="2" t="s">
        <v>2276</v>
      </c>
      <c r="F732" s="2" t="s">
        <v>2277</v>
      </c>
      <c r="G732" s="2" t="s">
        <v>63</v>
      </c>
      <c r="H732" s="2" t="s">
        <v>2278</v>
      </c>
      <c r="I732" s="2" t="s">
        <v>1728</v>
      </c>
      <c r="J732" s="2" t="s">
        <v>208</v>
      </c>
      <c r="K732" s="2" t="s">
        <v>38</v>
      </c>
      <c r="L732" s="2" t="s">
        <v>39</v>
      </c>
      <c r="M732" s="2" t="s">
        <v>39</v>
      </c>
      <c r="N732" s="2" t="s">
        <v>39</v>
      </c>
      <c r="O732" s="2" t="s">
        <v>38</v>
      </c>
      <c r="P732" s="2" t="s">
        <v>39</v>
      </c>
      <c r="Q732" s="2" t="s">
        <v>39</v>
      </c>
      <c r="R732" s="2" t="s">
        <v>38</v>
      </c>
      <c r="S732" s="2" t="s">
        <v>39</v>
      </c>
      <c r="T732" s="2" t="s">
        <v>38</v>
      </c>
      <c r="U732" s="2" t="s">
        <v>38</v>
      </c>
      <c r="V732" s="2" t="s">
        <v>38</v>
      </c>
      <c r="W732" s="2" t="s">
        <v>38</v>
      </c>
      <c r="X732" s="2" t="s">
        <v>39</v>
      </c>
      <c r="Y732" s="2" t="s">
        <v>38</v>
      </c>
      <c r="Z732" s="2" t="s">
        <v>39</v>
      </c>
      <c r="AA732" s="2" t="s">
        <v>38</v>
      </c>
      <c r="AB732" s="2" t="s">
        <v>39</v>
      </c>
      <c r="AC732" s="2" t="s">
        <v>39</v>
      </c>
      <c r="AD732" s="2" t="s">
        <v>38</v>
      </c>
      <c r="AE732" s="2" t="s">
        <v>39</v>
      </c>
    </row>
    <row r="733" spans="1:31" ht="409.5">
      <c r="A733" s="2">
        <v>2676158</v>
      </c>
      <c r="B733" s="2">
        <f>HYPERLINK("https://platform.v2.vetology.net/cases/2676158/screening-report/18?type=pdf&amp;v=v6&amp;scorecard=1&amp;secret_key=BX%25IJ%24%2F65ieZ%29f6", 2676158)</f>
        <v>2676158</v>
      </c>
      <c r="C733" s="2">
        <f>HYPERLINK("https://platform.v2.vetology.net/report/v/final/"&amp;2676158, 2676158)</f>
        <v>2676158</v>
      </c>
      <c r="D733" s="2" t="s">
        <v>2279</v>
      </c>
      <c r="E733" s="2" t="s">
        <v>2280</v>
      </c>
      <c r="F733" s="2" t="s">
        <v>2281</v>
      </c>
      <c r="G733" s="2" t="s">
        <v>58</v>
      </c>
      <c r="H733" s="2" t="s">
        <v>1244</v>
      </c>
      <c r="I733" s="2" t="s">
        <v>1245</v>
      </c>
      <c r="J733" s="2" t="s">
        <v>66</v>
      </c>
      <c r="K733" s="2" t="s">
        <v>38</v>
      </c>
      <c r="L733" s="2" t="s">
        <v>38</v>
      </c>
      <c r="M733" s="2" t="s">
        <v>38</v>
      </c>
      <c r="N733" s="2" t="s">
        <v>38</v>
      </c>
      <c r="O733" s="2" t="s">
        <v>39</v>
      </c>
      <c r="P733" s="2" t="s">
        <v>39</v>
      </c>
      <c r="Q733" s="2" t="s">
        <v>38</v>
      </c>
      <c r="R733" s="2" t="s">
        <v>38</v>
      </c>
      <c r="S733" s="2" t="s">
        <v>38</v>
      </c>
      <c r="T733" s="2" t="s">
        <v>38</v>
      </c>
      <c r="U733" s="2" t="s">
        <v>38</v>
      </c>
      <c r="V733" s="2" t="s">
        <v>38</v>
      </c>
      <c r="W733" s="2" t="s">
        <v>38</v>
      </c>
      <c r="X733" s="2" t="s">
        <v>39</v>
      </c>
      <c r="Y733" s="2" t="s">
        <v>38</v>
      </c>
      <c r="Z733" s="2" t="s">
        <v>38</v>
      </c>
      <c r="AA733" s="2" t="s">
        <v>38</v>
      </c>
      <c r="AB733" s="2" t="s">
        <v>39</v>
      </c>
      <c r="AC733" s="2" t="s">
        <v>38</v>
      </c>
      <c r="AD733" s="2" t="s">
        <v>38</v>
      </c>
      <c r="AE733" s="2" t="s">
        <v>38</v>
      </c>
    </row>
    <row r="734" spans="1:31" ht="409.5">
      <c r="A734" s="2">
        <v>2676150</v>
      </c>
      <c r="B734" s="2">
        <f>HYPERLINK("https://platform.v2.vetology.net/cases/2676150/screening-report/18?type=pdf&amp;v=v6&amp;scorecard=1&amp;secret_key=BX%25IJ%24%2F65ieZ%29f6", 2676150)</f>
        <v>2676150</v>
      </c>
      <c r="C734" s="2">
        <f>HYPERLINK("https://platform.v2.vetology.net/report/v/final/"&amp;2676150, 2676150)</f>
        <v>2676150</v>
      </c>
      <c r="D734" s="2" t="s">
        <v>2282</v>
      </c>
      <c r="E734" s="2" t="s">
        <v>2283</v>
      </c>
      <c r="F734" s="2" t="s">
        <v>2284</v>
      </c>
      <c r="G734" s="2" t="s">
        <v>212</v>
      </c>
      <c r="H734" s="2" t="s">
        <v>283</v>
      </c>
      <c r="I734" s="2" t="s">
        <v>284</v>
      </c>
      <c r="J734" s="2" t="s">
        <v>285</v>
      </c>
      <c r="K734" s="2" t="s">
        <v>38</v>
      </c>
      <c r="L734" s="2" t="s">
        <v>38</v>
      </c>
      <c r="M734" s="2" t="s">
        <v>38</v>
      </c>
      <c r="N734" s="2" t="s">
        <v>38</v>
      </c>
      <c r="O734" s="2" t="s">
        <v>38</v>
      </c>
      <c r="P734" s="2" t="s">
        <v>38</v>
      </c>
      <c r="Q734" s="2" t="s">
        <v>38</v>
      </c>
      <c r="R734" s="2" t="s">
        <v>38</v>
      </c>
      <c r="S734" s="2" t="s">
        <v>38</v>
      </c>
      <c r="T734" s="2" t="s">
        <v>39</v>
      </c>
      <c r="U734" s="2" t="s">
        <v>38</v>
      </c>
      <c r="V734" s="2" t="s">
        <v>39</v>
      </c>
      <c r="W734" s="2" t="s">
        <v>38</v>
      </c>
      <c r="X734" s="2" t="s">
        <v>39</v>
      </c>
      <c r="Y734" s="2" t="s">
        <v>38</v>
      </c>
      <c r="Z734" s="2" t="s">
        <v>38</v>
      </c>
      <c r="AA734" s="2" t="s">
        <v>38</v>
      </c>
      <c r="AB734" s="2" t="s">
        <v>38</v>
      </c>
      <c r="AC734" s="2" t="s">
        <v>38</v>
      </c>
      <c r="AD734" s="2" t="s">
        <v>38</v>
      </c>
      <c r="AE734" s="2" t="s">
        <v>38</v>
      </c>
    </row>
    <row r="735" spans="1:31" ht="409.5">
      <c r="A735" s="2">
        <v>2675624</v>
      </c>
      <c r="B735" s="2">
        <f>HYPERLINK("https://platform.v2.vetology.net/cases/2675624/screening-report/18?type=pdf&amp;v=v6&amp;scorecard=1&amp;secret_key=BX%25IJ%24%2F65ieZ%29f6", 2675624)</f>
        <v>2675624</v>
      </c>
      <c r="C735" s="2">
        <f>HYPERLINK("https://platform.v2.vetology.net/report/v/final/"&amp;2675624, 2675624)</f>
        <v>2675624</v>
      </c>
      <c r="D735" s="2" t="s">
        <v>2285</v>
      </c>
      <c r="E735" s="2" t="s">
        <v>2286</v>
      </c>
      <c r="F735" s="2" t="s">
        <v>81</v>
      </c>
      <c r="G735" s="2" t="s">
        <v>150</v>
      </c>
      <c r="H735" s="2" t="s">
        <v>101</v>
      </c>
      <c r="I735" s="2" t="s">
        <v>44</v>
      </c>
      <c r="J735" s="2"/>
      <c r="K735" s="2" t="s">
        <v>38</v>
      </c>
      <c r="L735" s="2" t="s">
        <v>39</v>
      </c>
      <c r="M735" s="2" t="s">
        <v>38</v>
      </c>
      <c r="N735" s="2" t="s">
        <v>38</v>
      </c>
      <c r="O735" s="2" t="s">
        <v>38</v>
      </c>
      <c r="P735" s="2" t="s">
        <v>39</v>
      </c>
      <c r="Q735" s="2" t="s">
        <v>38</v>
      </c>
      <c r="R735" s="2" t="s">
        <v>38</v>
      </c>
      <c r="S735" s="2" t="s">
        <v>38</v>
      </c>
      <c r="T735" s="2" t="s">
        <v>39</v>
      </c>
      <c r="U735" s="2" t="s">
        <v>38</v>
      </c>
      <c r="V735" s="2" t="s">
        <v>38</v>
      </c>
      <c r="W735" s="2" t="s">
        <v>38</v>
      </c>
      <c r="X735" s="2" t="s">
        <v>39</v>
      </c>
      <c r="Y735" s="2" t="s">
        <v>38</v>
      </c>
      <c r="Z735" s="2" t="s">
        <v>38</v>
      </c>
      <c r="AA735" s="2" t="s">
        <v>38</v>
      </c>
      <c r="AB735" s="2" t="s">
        <v>39</v>
      </c>
      <c r="AC735" s="2" t="s">
        <v>38</v>
      </c>
      <c r="AD735" s="2" t="s">
        <v>38</v>
      </c>
      <c r="AE735" s="2" t="s">
        <v>38</v>
      </c>
    </row>
    <row r="736" spans="1:31" ht="409.5">
      <c r="A736" s="2">
        <v>2675610</v>
      </c>
      <c r="B736" s="2">
        <f>HYPERLINK("https://platform.v2.vetology.net/cases/2675610/screening-report/18?type=pdf&amp;v=v6&amp;scorecard=1&amp;secret_key=BX%25IJ%24%2F65ieZ%29f6", 2675610)</f>
        <v>2675610</v>
      </c>
      <c r="C736" s="2">
        <f>HYPERLINK("https://platform.v2.vetology.net/report/v/final/"&amp;2675610, 2675610)</f>
        <v>2675610</v>
      </c>
      <c r="D736" s="2" t="s">
        <v>2287</v>
      </c>
      <c r="E736" s="2" t="s">
        <v>2288</v>
      </c>
      <c r="F736" s="2" t="s">
        <v>2289</v>
      </c>
      <c r="G736" s="2" t="s">
        <v>63</v>
      </c>
      <c r="H736" s="2" t="s">
        <v>1872</v>
      </c>
      <c r="I736" s="2" t="s">
        <v>681</v>
      </c>
      <c r="J736" s="2" t="s">
        <v>50</v>
      </c>
      <c r="K736" s="2" t="s">
        <v>38</v>
      </c>
      <c r="L736" s="2" t="s">
        <v>39</v>
      </c>
      <c r="M736" s="2" t="s">
        <v>39</v>
      </c>
      <c r="N736" s="2" t="s">
        <v>38</v>
      </c>
      <c r="O736" s="2" t="s">
        <v>38</v>
      </c>
      <c r="P736" s="2" t="s">
        <v>38</v>
      </c>
      <c r="Q736" s="2" t="s">
        <v>38</v>
      </c>
      <c r="R736" s="2" t="s">
        <v>38</v>
      </c>
      <c r="S736" s="2" t="s">
        <v>38</v>
      </c>
      <c r="T736" s="2" t="s">
        <v>38</v>
      </c>
      <c r="U736" s="2" t="s">
        <v>38</v>
      </c>
      <c r="V736" s="2" t="s">
        <v>38</v>
      </c>
      <c r="W736" s="2" t="s">
        <v>38</v>
      </c>
      <c r="X736" s="2" t="s">
        <v>38</v>
      </c>
      <c r="Y736" s="2" t="s">
        <v>38</v>
      </c>
      <c r="Z736" s="2" t="s">
        <v>38</v>
      </c>
      <c r="AA736" s="2" t="s">
        <v>38</v>
      </c>
      <c r="AB736" s="2" t="s">
        <v>38</v>
      </c>
      <c r="AC736" s="2" t="s">
        <v>38</v>
      </c>
      <c r="AD736" s="2" t="s">
        <v>38</v>
      </c>
      <c r="AE736" s="2" t="s">
        <v>39</v>
      </c>
    </row>
    <row r="737" spans="1:31" ht="409.5">
      <c r="A737" s="2">
        <v>2675562</v>
      </c>
      <c r="B737" s="2">
        <f>HYPERLINK("https://platform.v2.vetology.net/cases/2675562/screening-report/18?type=pdf&amp;v=v6&amp;scorecard=1&amp;secret_key=BX%25IJ%24%2F65ieZ%29f6", 2675562)</f>
        <v>2675562</v>
      </c>
      <c r="C737" s="2">
        <f>HYPERLINK("https://platform.v2.vetology.net/report/v/final/"&amp;2675562, 2675562)</f>
        <v>2675562</v>
      </c>
      <c r="D737" s="2" t="s">
        <v>2290</v>
      </c>
      <c r="E737" s="2" t="s">
        <v>2291</v>
      </c>
      <c r="F737" s="2"/>
      <c r="G737" s="2" t="s">
        <v>141</v>
      </c>
      <c r="H737" s="2" t="s">
        <v>345</v>
      </c>
      <c r="I737" s="2" t="s">
        <v>346</v>
      </c>
      <c r="J737" s="2" t="s">
        <v>347</v>
      </c>
      <c r="K737" s="2" t="s">
        <v>39</v>
      </c>
      <c r="L737" s="2" t="s">
        <v>39</v>
      </c>
      <c r="M737" s="2" t="s">
        <v>39</v>
      </c>
      <c r="N737" s="2" t="s">
        <v>39</v>
      </c>
      <c r="O737" s="2" t="s">
        <v>39</v>
      </c>
      <c r="P737" s="2" t="s">
        <v>38</v>
      </c>
      <c r="Q737" s="2" t="s">
        <v>38</v>
      </c>
      <c r="R737" s="2" t="s">
        <v>38</v>
      </c>
      <c r="S737" s="2" t="s">
        <v>39</v>
      </c>
      <c r="T737" s="2" t="s">
        <v>39</v>
      </c>
      <c r="U737" s="2" t="s">
        <v>38</v>
      </c>
      <c r="V737" s="2" t="s">
        <v>39</v>
      </c>
      <c r="W737" s="2" t="s">
        <v>38</v>
      </c>
      <c r="X737" s="2" t="s">
        <v>39</v>
      </c>
      <c r="Y737" s="2" t="s">
        <v>38</v>
      </c>
      <c r="Z737" s="2" t="s">
        <v>39</v>
      </c>
      <c r="AA737" s="2" t="s">
        <v>38</v>
      </c>
      <c r="AB737" s="2" t="s">
        <v>39</v>
      </c>
      <c r="AC737" s="2" t="s">
        <v>39</v>
      </c>
      <c r="AD737" s="2" t="s">
        <v>38</v>
      </c>
      <c r="AE737" s="2" t="s">
        <v>38</v>
      </c>
    </row>
    <row r="738" spans="1:31" ht="409.5">
      <c r="A738" s="2">
        <v>2675357</v>
      </c>
      <c r="B738" s="2">
        <f>HYPERLINK("https://platform.v2.vetology.net/cases/2675357/screening-report/18?type=pdf&amp;v=v6&amp;scorecard=1&amp;secret_key=BX%25IJ%24%2F65ieZ%29f6", 2675357)</f>
        <v>2675357</v>
      </c>
      <c r="C738" s="2">
        <f>HYPERLINK("https://platform.v2.vetology.net/report/v/final/"&amp;2675357, 2675357)</f>
        <v>2675357</v>
      </c>
      <c r="D738" s="2" t="s">
        <v>2292</v>
      </c>
      <c r="E738" s="2" t="s">
        <v>2293</v>
      </c>
      <c r="F738" s="2" t="s">
        <v>2294</v>
      </c>
      <c r="G738" s="2" t="s">
        <v>58</v>
      </c>
      <c r="H738" s="2" t="s">
        <v>43</v>
      </c>
      <c r="I738" s="2" t="s">
        <v>199</v>
      </c>
      <c r="J738" s="2"/>
      <c r="K738" s="2" t="s">
        <v>38</v>
      </c>
      <c r="L738" s="2" t="s">
        <v>39</v>
      </c>
      <c r="M738" s="2" t="s">
        <v>39</v>
      </c>
      <c r="N738" s="2" t="s">
        <v>38</v>
      </c>
      <c r="O738" s="2" t="s">
        <v>38</v>
      </c>
      <c r="P738" s="2" t="s">
        <v>39</v>
      </c>
      <c r="Q738" s="2" t="s">
        <v>38</v>
      </c>
      <c r="R738" s="2" t="s">
        <v>38</v>
      </c>
      <c r="S738" s="2" t="s">
        <v>38</v>
      </c>
      <c r="T738" s="2" t="s">
        <v>39</v>
      </c>
      <c r="U738" s="2" t="s">
        <v>38</v>
      </c>
      <c r="V738" s="2" t="s">
        <v>39</v>
      </c>
      <c r="W738" s="2" t="s">
        <v>38</v>
      </c>
      <c r="X738" s="2" t="s">
        <v>39</v>
      </c>
      <c r="Y738" s="2" t="s">
        <v>38</v>
      </c>
      <c r="Z738" s="2" t="s">
        <v>38</v>
      </c>
      <c r="AA738" s="2" t="s">
        <v>38</v>
      </c>
      <c r="AB738" s="2" t="s">
        <v>39</v>
      </c>
      <c r="AC738" s="2" t="s">
        <v>39</v>
      </c>
      <c r="AD738" s="2" t="s">
        <v>38</v>
      </c>
      <c r="AE738" s="2" t="s">
        <v>38</v>
      </c>
    </row>
    <row r="739" spans="1:31" ht="409.5">
      <c r="A739" s="2">
        <v>2675354</v>
      </c>
      <c r="B739" s="2">
        <f>HYPERLINK("https://platform.v2.vetology.net/cases/2675354/screening-report/18?type=pdf&amp;v=v6&amp;scorecard=1&amp;secret_key=BX%25IJ%24%2F65ieZ%29f6", 2675354)</f>
        <v>2675354</v>
      </c>
      <c r="C739" s="2">
        <f>HYPERLINK("https://platform.v2.vetology.net/report/v/final/"&amp;2675354, 2675354)</f>
        <v>2675354</v>
      </c>
      <c r="D739" s="2" t="s">
        <v>2295</v>
      </c>
      <c r="E739" s="2" t="s">
        <v>2296</v>
      </c>
      <c r="F739" s="2" t="s">
        <v>2297</v>
      </c>
      <c r="G739" s="2" t="s">
        <v>58</v>
      </c>
      <c r="H739" s="2" t="s">
        <v>78</v>
      </c>
      <c r="I739" s="2" t="s">
        <v>44</v>
      </c>
      <c r="J739" s="2"/>
      <c r="K739" s="2" t="s">
        <v>38</v>
      </c>
      <c r="L739" s="2" t="s">
        <v>39</v>
      </c>
      <c r="M739" s="2" t="s">
        <v>38</v>
      </c>
      <c r="N739" s="2" t="s">
        <v>38</v>
      </c>
      <c r="O739" s="2" t="s">
        <v>38</v>
      </c>
      <c r="P739" s="2" t="s">
        <v>39</v>
      </c>
      <c r="Q739" s="2" t="s">
        <v>38</v>
      </c>
      <c r="R739" s="2" t="s">
        <v>38</v>
      </c>
      <c r="S739" s="2" t="s">
        <v>38</v>
      </c>
      <c r="T739" s="2" t="s">
        <v>38</v>
      </c>
      <c r="U739" s="2" t="s">
        <v>38</v>
      </c>
      <c r="V739" s="2" t="s">
        <v>38</v>
      </c>
      <c r="W739" s="2" t="s">
        <v>38</v>
      </c>
      <c r="X739" s="2" t="s">
        <v>38</v>
      </c>
      <c r="Y739" s="2" t="s">
        <v>38</v>
      </c>
      <c r="Z739" s="2" t="s">
        <v>38</v>
      </c>
      <c r="AA739" s="2" t="s">
        <v>38</v>
      </c>
      <c r="AB739" s="2" t="s">
        <v>39</v>
      </c>
      <c r="AC739" s="2" t="s">
        <v>39</v>
      </c>
      <c r="AD739" s="2" t="s">
        <v>38</v>
      </c>
      <c r="AE739" s="2" t="s">
        <v>39</v>
      </c>
    </row>
    <row r="740" spans="1:31" ht="409.5">
      <c r="A740" s="2">
        <v>2675262</v>
      </c>
      <c r="B740" s="2">
        <f>HYPERLINK("https://platform.v2.vetology.net/cases/2675262/screening-report/18?type=pdf&amp;v=v6&amp;scorecard=1&amp;secret_key=BX%25IJ%24%2F65ieZ%29f6", 2675262)</f>
        <v>2675262</v>
      </c>
      <c r="C740" s="2">
        <f>HYPERLINK("https://platform.v2.vetology.net/report/v/final/"&amp;2675262, 2675262)</f>
        <v>2675262</v>
      </c>
      <c r="D740" s="2" t="s">
        <v>2298</v>
      </c>
      <c r="E740" s="2" t="s">
        <v>2299</v>
      </c>
      <c r="F740" s="2" t="s">
        <v>2300</v>
      </c>
      <c r="G740" s="2" t="s">
        <v>150</v>
      </c>
      <c r="H740" s="2" t="s">
        <v>129</v>
      </c>
      <c r="I740" s="2" t="s">
        <v>44</v>
      </c>
      <c r="J740" s="2" t="s">
        <v>106</v>
      </c>
      <c r="K740" s="2" t="s">
        <v>38</v>
      </c>
      <c r="L740" s="2" t="s">
        <v>38</v>
      </c>
      <c r="M740" s="2" t="s">
        <v>38</v>
      </c>
      <c r="N740" s="2" t="s">
        <v>38</v>
      </c>
      <c r="O740" s="2" t="s">
        <v>38</v>
      </c>
      <c r="P740" s="2" t="s">
        <v>38</v>
      </c>
      <c r="Q740" s="2" t="s">
        <v>38</v>
      </c>
      <c r="R740" s="2" t="s">
        <v>38</v>
      </c>
      <c r="S740" s="2" t="s">
        <v>38</v>
      </c>
      <c r="T740" s="2" t="s">
        <v>38</v>
      </c>
      <c r="U740" s="2" t="s">
        <v>38</v>
      </c>
      <c r="V740" s="2" t="s">
        <v>38</v>
      </c>
      <c r="W740" s="2" t="s">
        <v>38</v>
      </c>
      <c r="X740" s="2" t="s">
        <v>38</v>
      </c>
      <c r="Y740" s="2" t="s">
        <v>38</v>
      </c>
      <c r="Z740" s="2" t="s">
        <v>38</v>
      </c>
      <c r="AA740" s="2" t="s">
        <v>38</v>
      </c>
      <c r="AB740" s="2" t="s">
        <v>38</v>
      </c>
      <c r="AC740" s="2" t="s">
        <v>38</v>
      </c>
      <c r="AD740" s="2" t="s">
        <v>38</v>
      </c>
      <c r="AE740" s="2" t="s">
        <v>38</v>
      </c>
    </row>
    <row r="741" spans="1:31" ht="409.5">
      <c r="A741" s="2">
        <v>2674984</v>
      </c>
      <c r="B741" s="2">
        <f>HYPERLINK("https://platform.v2.vetology.net/cases/2674984/screening-report/18?type=pdf&amp;v=v6&amp;scorecard=1&amp;secret_key=BX%25IJ%24%2F65ieZ%29f6", 2674984)</f>
        <v>2674984</v>
      </c>
      <c r="C741" s="2">
        <f>HYPERLINK("https://platform.v2.vetology.net/report/v/final/"&amp;2674984, 2674984)</f>
        <v>2674984</v>
      </c>
      <c r="D741" s="2" t="s">
        <v>2301</v>
      </c>
      <c r="E741" s="2" t="s">
        <v>2302</v>
      </c>
      <c r="F741" s="2" t="s">
        <v>2303</v>
      </c>
      <c r="G741" s="2" t="s">
        <v>58</v>
      </c>
      <c r="H741" s="2" t="s">
        <v>2304</v>
      </c>
      <c r="I741" s="2" t="s">
        <v>407</v>
      </c>
      <c r="J741" s="2" t="s">
        <v>66</v>
      </c>
      <c r="K741" s="2" t="s">
        <v>38</v>
      </c>
      <c r="L741" s="2" t="s">
        <v>38</v>
      </c>
      <c r="M741" s="2" t="s">
        <v>39</v>
      </c>
      <c r="N741" s="2" t="s">
        <v>38</v>
      </c>
      <c r="O741" s="2" t="s">
        <v>39</v>
      </c>
      <c r="P741" s="2" t="s">
        <v>38</v>
      </c>
      <c r="Q741" s="2" t="s">
        <v>38</v>
      </c>
      <c r="R741" s="2" t="s">
        <v>38</v>
      </c>
      <c r="S741" s="2" t="s">
        <v>38</v>
      </c>
      <c r="T741" s="2" t="s">
        <v>38</v>
      </c>
      <c r="U741" s="2" t="s">
        <v>38</v>
      </c>
      <c r="V741" s="2" t="s">
        <v>38</v>
      </c>
      <c r="W741" s="2" t="s">
        <v>38</v>
      </c>
      <c r="X741" s="2" t="s">
        <v>38</v>
      </c>
      <c r="Y741" s="2" t="s">
        <v>38</v>
      </c>
      <c r="Z741" s="2" t="s">
        <v>38</v>
      </c>
      <c r="AA741" s="2" t="s">
        <v>38</v>
      </c>
      <c r="AB741" s="2" t="s">
        <v>38</v>
      </c>
      <c r="AC741" s="2" t="s">
        <v>39</v>
      </c>
      <c r="AD741" s="2" t="s">
        <v>38</v>
      </c>
      <c r="AE741" s="2" t="s">
        <v>38</v>
      </c>
    </row>
    <row r="742" spans="1:31" ht="409.5">
      <c r="A742" s="2">
        <v>2674976</v>
      </c>
      <c r="B742" s="2">
        <f>HYPERLINK("https://platform.v2.vetology.net/cases/2674976/screening-report/18?type=pdf&amp;v=v6&amp;scorecard=1&amp;secret_key=BX%25IJ%24%2F65ieZ%29f6", 2674976)</f>
        <v>2674976</v>
      </c>
      <c r="C742" s="2">
        <f>HYPERLINK("https://platform.v2.vetology.net/report/v/final/"&amp;2674976, 2674976)</f>
        <v>2674976</v>
      </c>
      <c r="D742" s="2" t="s">
        <v>2305</v>
      </c>
      <c r="E742" s="2" t="s">
        <v>2306</v>
      </c>
      <c r="F742" s="2" t="s">
        <v>81</v>
      </c>
      <c r="G742" s="2" t="s">
        <v>82</v>
      </c>
      <c r="H742" s="2" t="s">
        <v>2307</v>
      </c>
      <c r="I742" s="2" t="s">
        <v>418</v>
      </c>
      <c r="J742" s="2" t="s">
        <v>419</v>
      </c>
      <c r="K742" s="2" t="s">
        <v>38</v>
      </c>
      <c r="L742" s="2" t="s">
        <v>39</v>
      </c>
      <c r="M742" s="2" t="s">
        <v>38</v>
      </c>
      <c r="N742" s="2" t="s">
        <v>38</v>
      </c>
      <c r="O742" s="2" t="s">
        <v>38</v>
      </c>
      <c r="P742" s="2" t="s">
        <v>38</v>
      </c>
      <c r="Q742" s="2" t="s">
        <v>38</v>
      </c>
      <c r="R742" s="2" t="s">
        <v>38</v>
      </c>
      <c r="S742" s="2" t="s">
        <v>38</v>
      </c>
      <c r="T742" s="2" t="s">
        <v>38</v>
      </c>
      <c r="U742" s="2" t="s">
        <v>39</v>
      </c>
      <c r="V742" s="2" t="s">
        <v>38</v>
      </c>
      <c r="W742" s="2" t="s">
        <v>38</v>
      </c>
      <c r="X742" s="2" t="s">
        <v>38</v>
      </c>
      <c r="Y742" s="2" t="s">
        <v>38</v>
      </c>
      <c r="Z742" s="2" t="s">
        <v>38</v>
      </c>
      <c r="AA742" s="2" t="s">
        <v>38</v>
      </c>
      <c r="AB742" s="2" t="s">
        <v>38</v>
      </c>
      <c r="AC742" s="2" t="s">
        <v>39</v>
      </c>
      <c r="AD742" s="2" t="s">
        <v>38</v>
      </c>
      <c r="AE742" s="2" t="s">
        <v>38</v>
      </c>
    </row>
    <row r="743" spans="1:31" ht="409.5">
      <c r="A743" s="2">
        <v>2674888</v>
      </c>
      <c r="B743" s="2">
        <f>HYPERLINK("https://platform.v2.vetology.net/cases/2674888/screening-report/18?type=pdf&amp;v=v6&amp;scorecard=1&amp;secret_key=BX%25IJ%24%2F65ieZ%29f6", 2674888)</f>
        <v>2674888</v>
      </c>
      <c r="C743" s="2">
        <f>HYPERLINK("https://platform.v2.vetology.net/report/v/final/"&amp;2674888, 2674888)</f>
        <v>2674888</v>
      </c>
      <c r="D743" s="2" t="s">
        <v>2308</v>
      </c>
      <c r="E743" s="2" t="s">
        <v>2309</v>
      </c>
      <c r="F743" s="2" t="s">
        <v>2310</v>
      </c>
      <c r="G743" s="2" t="s">
        <v>58</v>
      </c>
      <c r="H743" s="2" t="s">
        <v>43</v>
      </c>
      <c r="I743" s="2" t="s">
        <v>44</v>
      </c>
      <c r="J743" s="2"/>
      <c r="K743" s="2" t="s">
        <v>38</v>
      </c>
      <c r="L743" s="2" t="s">
        <v>38</v>
      </c>
      <c r="M743" s="2" t="s">
        <v>38</v>
      </c>
      <c r="N743" s="2" t="s">
        <v>38</v>
      </c>
      <c r="O743" s="2" t="s">
        <v>38</v>
      </c>
      <c r="P743" s="2" t="s">
        <v>38</v>
      </c>
      <c r="Q743" s="2" t="s">
        <v>38</v>
      </c>
      <c r="R743" s="2" t="s">
        <v>38</v>
      </c>
      <c r="S743" s="2" t="s">
        <v>38</v>
      </c>
      <c r="T743" s="2" t="s">
        <v>39</v>
      </c>
      <c r="U743" s="2" t="s">
        <v>38</v>
      </c>
      <c r="V743" s="2" t="s">
        <v>39</v>
      </c>
      <c r="W743" s="2" t="s">
        <v>38</v>
      </c>
      <c r="X743" s="2" t="s">
        <v>39</v>
      </c>
      <c r="Y743" s="2" t="s">
        <v>38</v>
      </c>
      <c r="Z743" s="2" t="s">
        <v>38</v>
      </c>
      <c r="AA743" s="2" t="s">
        <v>38</v>
      </c>
      <c r="AB743" s="2" t="s">
        <v>38</v>
      </c>
      <c r="AC743" s="2" t="s">
        <v>38</v>
      </c>
      <c r="AD743" s="2" t="s">
        <v>38</v>
      </c>
      <c r="AE743" s="2" t="s">
        <v>38</v>
      </c>
    </row>
    <row r="744" spans="1:31" ht="409.5">
      <c r="A744" s="2">
        <v>2674698</v>
      </c>
      <c r="B744" s="2">
        <f>HYPERLINK("https://platform.v2.vetology.net/cases/2674698/screening-report/18?type=pdf&amp;v=v6&amp;scorecard=1&amp;secret_key=BX%25IJ%24%2F65ieZ%29f6", 2674698)</f>
        <v>2674698</v>
      </c>
      <c r="C744" s="2">
        <f>HYPERLINK("https://platform.v2.vetology.net/report/v/final/"&amp;2674698, 2674698)</f>
        <v>2674698</v>
      </c>
      <c r="D744" s="2" t="s">
        <v>2311</v>
      </c>
      <c r="E744" s="2" t="s">
        <v>2312</v>
      </c>
      <c r="F744" s="2" t="s">
        <v>81</v>
      </c>
      <c r="G744" s="2" t="s">
        <v>268</v>
      </c>
      <c r="H744" s="2" t="s">
        <v>54</v>
      </c>
      <c r="I744" s="2" t="s">
        <v>44</v>
      </c>
      <c r="J744" s="2" t="s">
        <v>106</v>
      </c>
      <c r="K744" s="2" t="s">
        <v>38</v>
      </c>
      <c r="L744" s="2" t="s">
        <v>39</v>
      </c>
      <c r="M744" s="2" t="s">
        <v>39</v>
      </c>
      <c r="N744" s="2" t="s">
        <v>38</v>
      </c>
      <c r="O744" s="2" t="s">
        <v>39</v>
      </c>
      <c r="P744" s="2" t="s">
        <v>38</v>
      </c>
      <c r="Q744" s="2" t="s">
        <v>38</v>
      </c>
      <c r="R744" s="2" t="s">
        <v>38</v>
      </c>
      <c r="S744" s="2" t="s">
        <v>38</v>
      </c>
      <c r="T744" s="2" t="s">
        <v>38</v>
      </c>
      <c r="U744" s="2" t="s">
        <v>38</v>
      </c>
      <c r="V744" s="2" t="s">
        <v>38</v>
      </c>
      <c r="W744" s="2" t="s">
        <v>38</v>
      </c>
      <c r="X744" s="2" t="s">
        <v>38</v>
      </c>
      <c r="Y744" s="2" t="s">
        <v>39</v>
      </c>
      <c r="Z744" s="2" t="s">
        <v>38</v>
      </c>
      <c r="AA744" s="2" t="s">
        <v>38</v>
      </c>
      <c r="AB744" s="2" t="s">
        <v>39</v>
      </c>
      <c r="AC744" s="2" t="s">
        <v>39</v>
      </c>
      <c r="AD744" s="2" t="s">
        <v>38</v>
      </c>
      <c r="AE744" s="2" t="s">
        <v>38</v>
      </c>
    </row>
    <row r="745" spans="1:31" ht="409.5">
      <c r="A745" s="2">
        <v>2674632</v>
      </c>
      <c r="B745" s="2">
        <f>HYPERLINK("https://platform.v2.vetology.net/cases/2674632/screening-report/18?type=pdf&amp;v=v6&amp;scorecard=1&amp;secret_key=BX%25IJ%24%2F65ieZ%29f6", 2674632)</f>
        <v>2674632</v>
      </c>
      <c r="C745" s="2">
        <f>HYPERLINK("https://platform.v2.vetology.net/report/v/final/"&amp;2674632, 2674632)</f>
        <v>2674632</v>
      </c>
      <c r="D745" s="2" t="s">
        <v>2313</v>
      </c>
      <c r="E745" s="2" t="s">
        <v>2314</v>
      </c>
      <c r="F745" s="2" t="s">
        <v>81</v>
      </c>
      <c r="G745" s="2" t="s">
        <v>150</v>
      </c>
      <c r="H745" s="2" t="s">
        <v>937</v>
      </c>
      <c r="I745" s="2" t="s">
        <v>418</v>
      </c>
      <c r="J745" s="2" t="s">
        <v>419</v>
      </c>
      <c r="K745" s="2" t="s">
        <v>38</v>
      </c>
      <c r="L745" s="2" t="s">
        <v>38</v>
      </c>
      <c r="M745" s="2" t="s">
        <v>39</v>
      </c>
      <c r="N745" s="2" t="s">
        <v>38</v>
      </c>
      <c r="O745" s="2" t="s">
        <v>38</v>
      </c>
      <c r="P745" s="2" t="s">
        <v>39</v>
      </c>
      <c r="Q745" s="2" t="s">
        <v>38</v>
      </c>
      <c r="R745" s="2" t="s">
        <v>38</v>
      </c>
      <c r="S745" s="2" t="s">
        <v>38</v>
      </c>
      <c r="T745" s="2" t="s">
        <v>38</v>
      </c>
      <c r="U745" s="2" t="s">
        <v>38</v>
      </c>
      <c r="V745" s="2" t="s">
        <v>38</v>
      </c>
      <c r="W745" s="2" t="s">
        <v>38</v>
      </c>
      <c r="X745" s="2" t="s">
        <v>39</v>
      </c>
      <c r="Y745" s="2" t="s">
        <v>38</v>
      </c>
      <c r="Z745" s="2" t="s">
        <v>39</v>
      </c>
      <c r="AA745" s="2" t="s">
        <v>38</v>
      </c>
      <c r="AB745" s="2" t="s">
        <v>39</v>
      </c>
      <c r="AC745" s="2" t="s">
        <v>38</v>
      </c>
      <c r="AD745" s="2" t="s">
        <v>38</v>
      </c>
      <c r="AE745" s="2" t="s">
        <v>38</v>
      </c>
    </row>
    <row r="746" spans="1:31" ht="409.5">
      <c r="A746" s="2">
        <v>2674546</v>
      </c>
      <c r="B746" s="2">
        <f>HYPERLINK("https://platform.v2.vetology.net/cases/2674546/screening-report/18?type=pdf&amp;v=v6&amp;scorecard=1&amp;secret_key=BX%25IJ%24%2F65ieZ%29f6", 2674546)</f>
        <v>2674546</v>
      </c>
      <c r="C746" s="2">
        <f>HYPERLINK("https://platform.v2.vetology.net/report/v/final/"&amp;2674546, 2674546)</f>
        <v>2674546</v>
      </c>
      <c r="D746" s="2" t="s">
        <v>2315</v>
      </c>
      <c r="E746" s="2" t="s">
        <v>2316</v>
      </c>
      <c r="F746" s="2" t="s">
        <v>81</v>
      </c>
      <c r="G746" s="2" t="s">
        <v>150</v>
      </c>
      <c r="H746" s="2" t="s">
        <v>54</v>
      </c>
      <c r="I746" s="2" t="s">
        <v>44</v>
      </c>
      <c r="J746" s="2" t="s">
        <v>106</v>
      </c>
      <c r="K746" s="2" t="s">
        <v>38</v>
      </c>
      <c r="L746" s="2" t="s">
        <v>39</v>
      </c>
      <c r="M746" s="2" t="s">
        <v>38</v>
      </c>
      <c r="N746" s="2" t="s">
        <v>38</v>
      </c>
      <c r="O746" s="2" t="s">
        <v>38</v>
      </c>
      <c r="P746" s="2" t="s">
        <v>38</v>
      </c>
      <c r="Q746" s="2" t="s">
        <v>38</v>
      </c>
      <c r="R746" s="2" t="s">
        <v>38</v>
      </c>
      <c r="S746" s="2" t="s">
        <v>38</v>
      </c>
      <c r="T746" s="2" t="s">
        <v>39</v>
      </c>
      <c r="U746" s="2" t="s">
        <v>38</v>
      </c>
      <c r="V746" s="2" t="s">
        <v>39</v>
      </c>
      <c r="W746" s="2" t="s">
        <v>38</v>
      </c>
      <c r="X746" s="2" t="s">
        <v>39</v>
      </c>
      <c r="Y746" s="2" t="s">
        <v>38</v>
      </c>
      <c r="Z746" s="2" t="s">
        <v>38</v>
      </c>
      <c r="AA746" s="2" t="s">
        <v>38</v>
      </c>
      <c r="AB746" s="2" t="s">
        <v>38</v>
      </c>
      <c r="AC746" s="2" t="s">
        <v>38</v>
      </c>
      <c r="AD746" s="2" t="s">
        <v>38</v>
      </c>
      <c r="AE746" s="2" t="s">
        <v>38</v>
      </c>
    </row>
    <row r="747" spans="1:31" ht="409.5">
      <c r="A747" s="2">
        <v>2674475</v>
      </c>
      <c r="B747" s="2">
        <f>HYPERLINK("https://platform.v2.vetology.net/cases/2674475/screening-report/18?type=pdf&amp;v=v6&amp;scorecard=1&amp;secret_key=BX%25IJ%24%2F65ieZ%29f6", 2674475)</f>
        <v>2674475</v>
      </c>
      <c r="C747" s="2">
        <f>HYPERLINK("https://platform.v2.vetology.net/report/v/final/"&amp;2674475, 2674475)</f>
        <v>2674475</v>
      </c>
      <c r="D747" s="2" t="s">
        <v>2317</v>
      </c>
      <c r="E747" s="2" t="s">
        <v>2318</v>
      </c>
      <c r="F747" s="2" t="s">
        <v>2319</v>
      </c>
      <c r="G747" s="2" t="s">
        <v>58</v>
      </c>
      <c r="H747" s="2" t="s">
        <v>2320</v>
      </c>
      <c r="I747" s="2" t="s">
        <v>137</v>
      </c>
      <c r="J747" s="2" t="s">
        <v>66</v>
      </c>
      <c r="K747" s="2" t="s">
        <v>38</v>
      </c>
      <c r="L747" s="2" t="s">
        <v>39</v>
      </c>
      <c r="M747" s="2" t="s">
        <v>38</v>
      </c>
      <c r="N747" s="2" t="s">
        <v>38</v>
      </c>
      <c r="O747" s="2" t="s">
        <v>38</v>
      </c>
      <c r="P747" s="2" t="s">
        <v>38</v>
      </c>
      <c r="Q747" s="2" t="s">
        <v>38</v>
      </c>
      <c r="R747" s="2" t="s">
        <v>38</v>
      </c>
      <c r="S747" s="2" t="s">
        <v>38</v>
      </c>
      <c r="T747" s="2" t="s">
        <v>38</v>
      </c>
      <c r="U747" s="2" t="s">
        <v>38</v>
      </c>
      <c r="V747" s="2" t="s">
        <v>38</v>
      </c>
      <c r="W747" s="2" t="s">
        <v>38</v>
      </c>
      <c r="X747" s="2" t="s">
        <v>38</v>
      </c>
      <c r="Y747" s="2" t="s">
        <v>38</v>
      </c>
      <c r="Z747" s="2" t="s">
        <v>38</v>
      </c>
      <c r="AA747" s="2" t="s">
        <v>38</v>
      </c>
      <c r="AB747" s="2" t="s">
        <v>39</v>
      </c>
      <c r="AC747" s="2" t="s">
        <v>39</v>
      </c>
      <c r="AD747" s="2" t="s">
        <v>38</v>
      </c>
      <c r="AE747" s="2" t="s">
        <v>39</v>
      </c>
    </row>
    <row r="748" spans="1:31" ht="409.5">
      <c r="A748" s="2">
        <v>2674460</v>
      </c>
      <c r="B748" s="2">
        <f>HYPERLINK("https://platform.v2.vetology.net/cases/2674460/screening-report/18?type=pdf&amp;v=v6&amp;scorecard=1&amp;secret_key=BX%25IJ%24%2F65ieZ%29f6", 2674460)</f>
        <v>2674460</v>
      </c>
      <c r="C748" s="2">
        <f>HYPERLINK("https://platform.v2.vetology.net/report/v/final/"&amp;2674460, 2674460)</f>
        <v>2674460</v>
      </c>
      <c r="D748" s="2" t="s">
        <v>2321</v>
      </c>
      <c r="E748" s="2" t="s">
        <v>2322</v>
      </c>
      <c r="F748" s="2" t="s">
        <v>2323</v>
      </c>
      <c r="G748" s="2" t="s">
        <v>34</v>
      </c>
      <c r="H748" s="2" t="s">
        <v>54</v>
      </c>
      <c r="I748" s="2" t="s">
        <v>44</v>
      </c>
      <c r="J748" s="2"/>
      <c r="K748" s="2" t="s">
        <v>38</v>
      </c>
      <c r="L748" s="2" t="s">
        <v>38</v>
      </c>
      <c r="M748" s="2" t="s">
        <v>39</v>
      </c>
      <c r="N748" s="2" t="s">
        <v>38</v>
      </c>
      <c r="O748" s="2" t="s">
        <v>38</v>
      </c>
      <c r="P748" s="2" t="s">
        <v>39</v>
      </c>
      <c r="Q748" s="2" t="s">
        <v>38</v>
      </c>
      <c r="R748" s="2" t="s">
        <v>38</v>
      </c>
      <c r="S748" s="2" t="s">
        <v>39</v>
      </c>
      <c r="T748" s="2" t="s">
        <v>39</v>
      </c>
      <c r="U748" s="2" t="s">
        <v>38</v>
      </c>
      <c r="V748" s="2" t="s">
        <v>39</v>
      </c>
      <c r="W748" s="2" t="s">
        <v>38</v>
      </c>
      <c r="X748" s="2" t="s">
        <v>38</v>
      </c>
      <c r="Y748" s="2" t="s">
        <v>38</v>
      </c>
      <c r="Z748" s="2" t="s">
        <v>38</v>
      </c>
      <c r="AA748" s="2" t="s">
        <v>38</v>
      </c>
      <c r="AB748" s="2" t="s">
        <v>38</v>
      </c>
      <c r="AC748" s="2" t="s">
        <v>38</v>
      </c>
      <c r="AD748" s="2" t="s">
        <v>38</v>
      </c>
      <c r="AE748" s="2" t="s">
        <v>38</v>
      </c>
    </row>
    <row r="749" spans="1:31" ht="409.5">
      <c r="A749" s="2">
        <v>2674445</v>
      </c>
      <c r="B749" s="2">
        <f>HYPERLINK("https://platform.v2.vetology.net/cases/2674445/screening-report/18?type=pdf&amp;v=v6&amp;scorecard=1&amp;secret_key=BX%25IJ%24%2F65ieZ%29f6", 2674445)</f>
        <v>2674445</v>
      </c>
      <c r="C749" s="2">
        <f>HYPERLINK("https://platform.v2.vetology.net/report/v/final/"&amp;2674445, 2674445)</f>
        <v>2674445</v>
      </c>
      <c r="D749" s="2" t="s">
        <v>2324</v>
      </c>
      <c r="E749" s="2" t="s">
        <v>2325</v>
      </c>
      <c r="F749" s="2" t="s">
        <v>2326</v>
      </c>
      <c r="G749" s="2" t="s">
        <v>34</v>
      </c>
      <c r="H749" s="2" t="s">
        <v>794</v>
      </c>
      <c r="I749" s="2" t="s">
        <v>137</v>
      </c>
      <c r="J749" s="2" t="s">
        <v>66</v>
      </c>
      <c r="K749" s="2" t="s">
        <v>38</v>
      </c>
      <c r="L749" s="2" t="s">
        <v>38</v>
      </c>
      <c r="M749" s="2" t="s">
        <v>39</v>
      </c>
      <c r="N749" s="2" t="s">
        <v>38</v>
      </c>
      <c r="O749" s="2" t="s">
        <v>38</v>
      </c>
      <c r="P749" s="2" t="s">
        <v>38</v>
      </c>
      <c r="Q749" s="2" t="s">
        <v>38</v>
      </c>
      <c r="R749" s="2" t="s">
        <v>38</v>
      </c>
      <c r="S749" s="2" t="s">
        <v>38</v>
      </c>
      <c r="T749" s="2" t="s">
        <v>38</v>
      </c>
      <c r="U749" s="2" t="s">
        <v>38</v>
      </c>
      <c r="V749" s="2" t="s">
        <v>38</v>
      </c>
      <c r="W749" s="2" t="s">
        <v>38</v>
      </c>
      <c r="X749" s="2" t="s">
        <v>38</v>
      </c>
      <c r="Y749" s="2" t="s">
        <v>38</v>
      </c>
      <c r="Z749" s="2" t="s">
        <v>38</v>
      </c>
      <c r="AA749" s="2" t="s">
        <v>38</v>
      </c>
      <c r="AB749" s="2" t="s">
        <v>39</v>
      </c>
      <c r="AC749" s="2" t="s">
        <v>38</v>
      </c>
      <c r="AD749" s="2" t="s">
        <v>38</v>
      </c>
      <c r="AE749" s="2" t="s">
        <v>38</v>
      </c>
    </row>
    <row r="750" spans="1:31" ht="409.5">
      <c r="A750" s="2">
        <v>2674374</v>
      </c>
      <c r="B750" s="2">
        <f>HYPERLINK("https://platform.v2.vetology.net/cases/2674374/screening-report/18?type=pdf&amp;v=v6&amp;scorecard=1&amp;secret_key=BX%25IJ%24%2F65ieZ%29f6", 2674374)</f>
        <v>2674374</v>
      </c>
      <c r="C750" s="2">
        <f>HYPERLINK("https://platform.v2.vetology.net/report/v/final/"&amp;2674374, 2674374)</f>
        <v>2674374</v>
      </c>
      <c r="D750" s="2" t="s">
        <v>2327</v>
      </c>
      <c r="E750" s="2" t="s">
        <v>2328</v>
      </c>
      <c r="F750" s="2" t="s">
        <v>2329</v>
      </c>
      <c r="G750" s="2" t="s">
        <v>58</v>
      </c>
      <c r="H750" s="2" t="s">
        <v>71</v>
      </c>
      <c r="I750" s="2" t="s">
        <v>44</v>
      </c>
      <c r="J750" s="2"/>
      <c r="K750" s="2" t="s">
        <v>38</v>
      </c>
      <c r="L750" s="2" t="s">
        <v>39</v>
      </c>
      <c r="M750" s="2" t="s">
        <v>38</v>
      </c>
      <c r="N750" s="2" t="s">
        <v>38</v>
      </c>
      <c r="O750" s="2" t="s">
        <v>38</v>
      </c>
      <c r="P750" s="2" t="s">
        <v>38</v>
      </c>
      <c r="Q750" s="2" t="s">
        <v>38</v>
      </c>
      <c r="R750" s="2" t="s">
        <v>38</v>
      </c>
      <c r="S750" s="2" t="s">
        <v>38</v>
      </c>
      <c r="T750" s="2" t="s">
        <v>39</v>
      </c>
      <c r="U750" s="2" t="s">
        <v>38</v>
      </c>
      <c r="V750" s="2" t="s">
        <v>38</v>
      </c>
      <c r="W750" s="2" t="s">
        <v>38</v>
      </c>
      <c r="X750" s="2" t="s">
        <v>39</v>
      </c>
      <c r="Y750" s="2" t="s">
        <v>38</v>
      </c>
      <c r="Z750" s="2" t="s">
        <v>38</v>
      </c>
      <c r="AA750" s="2" t="s">
        <v>38</v>
      </c>
      <c r="AB750" s="2" t="s">
        <v>39</v>
      </c>
      <c r="AC750" s="2" t="s">
        <v>38</v>
      </c>
      <c r="AD750" s="2" t="s">
        <v>38</v>
      </c>
      <c r="AE750" s="2" t="s">
        <v>38</v>
      </c>
    </row>
    <row r="751" spans="1:31" ht="409.5">
      <c r="A751" s="2">
        <v>2674250</v>
      </c>
      <c r="B751" s="2">
        <f>HYPERLINK("https://platform.v2.vetology.net/cases/2674250/screening-report/18?type=pdf&amp;v=v6&amp;scorecard=1&amp;secret_key=BX%25IJ%24%2F65ieZ%29f6", 2674250)</f>
        <v>2674250</v>
      </c>
      <c r="C751" s="2">
        <f>HYPERLINK("https://platform.v2.vetology.net/report/v/final/"&amp;2674250, 2674250)</f>
        <v>2674250</v>
      </c>
      <c r="D751" s="2" t="s">
        <v>2330</v>
      </c>
      <c r="E751" s="2" t="s">
        <v>2331</v>
      </c>
      <c r="F751" s="2" t="s">
        <v>2332</v>
      </c>
      <c r="G751" s="2" t="s">
        <v>212</v>
      </c>
      <c r="H751" s="2" t="s">
        <v>1166</v>
      </c>
      <c r="I751" s="2" t="s">
        <v>1167</v>
      </c>
      <c r="J751" s="2" t="s">
        <v>1168</v>
      </c>
      <c r="K751" s="2" t="s">
        <v>38</v>
      </c>
      <c r="L751" s="2" t="s">
        <v>38</v>
      </c>
      <c r="M751" s="2" t="s">
        <v>39</v>
      </c>
      <c r="N751" s="2" t="s">
        <v>38</v>
      </c>
      <c r="O751" s="2" t="s">
        <v>39</v>
      </c>
      <c r="P751" s="2" t="s">
        <v>38</v>
      </c>
      <c r="Q751" s="2" t="s">
        <v>38</v>
      </c>
      <c r="R751" s="2" t="s">
        <v>38</v>
      </c>
      <c r="S751" s="2" t="s">
        <v>39</v>
      </c>
      <c r="T751" s="2" t="s">
        <v>39</v>
      </c>
      <c r="U751" s="2" t="s">
        <v>39</v>
      </c>
      <c r="V751" s="2" t="s">
        <v>39</v>
      </c>
      <c r="W751" s="2" t="s">
        <v>38</v>
      </c>
      <c r="X751" s="2" t="s">
        <v>39</v>
      </c>
      <c r="Y751" s="2" t="s">
        <v>38</v>
      </c>
      <c r="Z751" s="2" t="s">
        <v>39</v>
      </c>
      <c r="AA751" s="2" t="s">
        <v>38</v>
      </c>
      <c r="AB751" s="2" t="s">
        <v>38</v>
      </c>
      <c r="AC751" s="2" t="s">
        <v>39</v>
      </c>
      <c r="AD751" s="2" t="s">
        <v>38</v>
      </c>
      <c r="AE751" s="2" t="s">
        <v>39</v>
      </c>
    </row>
    <row r="752" spans="1:31" ht="409.5">
      <c r="A752" s="2">
        <v>2674106</v>
      </c>
      <c r="B752" s="2">
        <f>HYPERLINK("https://platform.v2.vetology.net/cases/2674106/screening-report/18?type=pdf&amp;v=v6&amp;scorecard=1&amp;secret_key=BX%25IJ%24%2F65ieZ%29f6", 2674106)</f>
        <v>2674106</v>
      </c>
      <c r="C752" s="2">
        <f>HYPERLINK("https://platform.v2.vetology.net/report/v/final/"&amp;2674106, 2674106)</f>
        <v>2674106</v>
      </c>
      <c r="D752" s="2" t="s">
        <v>2333</v>
      </c>
      <c r="E752" s="2" t="s">
        <v>2334</v>
      </c>
      <c r="F752" s="2" t="s">
        <v>81</v>
      </c>
      <c r="G752" s="2" t="s">
        <v>268</v>
      </c>
      <c r="H752" s="2" t="s">
        <v>762</v>
      </c>
      <c r="I752" s="2" t="s">
        <v>184</v>
      </c>
      <c r="J752" s="2" t="s">
        <v>185</v>
      </c>
      <c r="K752" s="2" t="s">
        <v>38</v>
      </c>
      <c r="L752" s="2" t="s">
        <v>39</v>
      </c>
      <c r="M752" s="2" t="s">
        <v>38</v>
      </c>
      <c r="N752" s="2" t="s">
        <v>38</v>
      </c>
      <c r="O752" s="2" t="s">
        <v>38</v>
      </c>
      <c r="P752" s="2" t="s">
        <v>38</v>
      </c>
      <c r="Q752" s="2" t="s">
        <v>38</v>
      </c>
      <c r="R752" s="2" t="s">
        <v>38</v>
      </c>
      <c r="S752" s="2" t="s">
        <v>38</v>
      </c>
      <c r="T752" s="2" t="s">
        <v>38</v>
      </c>
      <c r="U752" s="2" t="s">
        <v>38</v>
      </c>
      <c r="V752" s="2" t="s">
        <v>38</v>
      </c>
      <c r="W752" s="2" t="s">
        <v>38</v>
      </c>
      <c r="X752" s="2" t="s">
        <v>38</v>
      </c>
      <c r="Y752" s="2" t="s">
        <v>38</v>
      </c>
      <c r="Z752" s="2" t="s">
        <v>38</v>
      </c>
      <c r="AA752" s="2" t="s">
        <v>38</v>
      </c>
      <c r="AB752" s="2" t="s">
        <v>39</v>
      </c>
      <c r="AC752" s="2" t="s">
        <v>38</v>
      </c>
      <c r="AD752" s="2" t="s">
        <v>38</v>
      </c>
      <c r="AE752" s="2" t="s">
        <v>39</v>
      </c>
    </row>
    <row r="753" spans="1:31" ht="409.5">
      <c r="A753" s="2">
        <v>2674075</v>
      </c>
      <c r="B753" s="2">
        <f>HYPERLINK("https://platform.v2.vetology.net/cases/2674075/screening-report/18?type=pdf&amp;v=v6&amp;scorecard=1&amp;secret_key=BX%25IJ%24%2F65ieZ%29f6", 2674075)</f>
        <v>2674075</v>
      </c>
      <c r="C753" s="2">
        <f>HYPERLINK("https://platform.v2.vetology.net/report/v/final/"&amp;2674075, 2674075)</f>
        <v>2674075</v>
      </c>
      <c r="D753" s="2" t="s">
        <v>2335</v>
      </c>
      <c r="E753" s="2" t="s">
        <v>2336</v>
      </c>
      <c r="F753" s="2" t="s">
        <v>515</v>
      </c>
      <c r="G753" s="2" t="s">
        <v>268</v>
      </c>
      <c r="H753" s="2" t="s">
        <v>71</v>
      </c>
      <c r="I753" s="2" t="s">
        <v>44</v>
      </c>
      <c r="J753" s="2" t="s">
        <v>106</v>
      </c>
      <c r="K753" s="2" t="s">
        <v>38</v>
      </c>
      <c r="L753" s="2" t="s">
        <v>39</v>
      </c>
      <c r="M753" s="2" t="s">
        <v>39</v>
      </c>
      <c r="N753" s="2" t="s">
        <v>38</v>
      </c>
      <c r="O753" s="2" t="s">
        <v>38</v>
      </c>
      <c r="P753" s="2" t="s">
        <v>39</v>
      </c>
      <c r="Q753" s="2" t="s">
        <v>38</v>
      </c>
      <c r="R753" s="2" t="s">
        <v>38</v>
      </c>
      <c r="S753" s="2" t="s">
        <v>38</v>
      </c>
      <c r="T753" s="2" t="s">
        <v>39</v>
      </c>
      <c r="U753" s="2" t="s">
        <v>39</v>
      </c>
      <c r="V753" s="2" t="s">
        <v>39</v>
      </c>
      <c r="W753" s="2" t="s">
        <v>38</v>
      </c>
      <c r="X753" s="2" t="s">
        <v>39</v>
      </c>
      <c r="Y753" s="2" t="s">
        <v>38</v>
      </c>
      <c r="Z753" s="2" t="s">
        <v>38</v>
      </c>
      <c r="AA753" s="2" t="s">
        <v>38</v>
      </c>
      <c r="AB753" s="2" t="s">
        <v>39</v>
      </c>
      <c r="AC753" s="2" t="s">
        <v>38</v>
      </c>
      <c r="AD753" s="2" t="s">
        <v>38</v>
      </c>
      <c r="AE753" s="2" t="s">
        <v>38</v>
      </c>
    </row>
    <row r="754" spans="1:31" ht="409.5">
      <c r="A754" s="2">
        <v>2673672</v>
      </c>
      <c r="B754" s="2">
        <f>HYPERLINK("https://platform.v2.vetology.net/cases/2673672/screening-report/18?type=pdf&amp;v=v6&amp;scorecard=1&amp;secret_key=BX%25IJ%24%2F65ieZ%29f6", 2673672)</f>
        <v>2673672</v>
      </c>
      <c r="C754" s="2">
        <f>HYPERLINK("https://platform.v2.vetology.net/report/v/final/"&amp;2673672, 2673672)</f>
        <v>2673672</v>
      </c>
      <c r="D754" s="2" t="s">
        <v>229</v>
      </c>
      <c r="E754" s="2" t="s">
        <v>148</v>
      </c>
      <c r="F754" s="2" t="s">
        <v>149</v>
      </c>
      <c r="G754" s="2" t="s">
        <v>150</v>
      </c>
      <c r="H754" s="2" t="s">
        <v>129</v>
      </c>
      <c r="I754" s="2" t="s">
        <v>199</v>
      </c>
      <c r="J754" s="2"/>
      <c r="K754" s="2" t="s">
        <v>38</v>
      </c>
      <c r="L754" s="2" t="s">
        <v>38</v>
      </c>
      <c r="M754" s="2" t="s">
        <v>39</v>
      </c>
      <c r="N754" s="2" t="s">
        <v>38</v>
      </c>
      <c r="O754" s="2" t="s">
        <v>38</v>
      </c>
      <c r="P754" s="2" t="s">
        <v>39</v>
      </c>
      <c r="Q754" s="2" t="s">
        <v>38</v>
      </c>
      <c r="R754" s="2" t="s">
        <v>38</v>
      </c>
      <c r="S754" s="2" t="s">
        <v>38</v>
      </c>
      <c r="T754" s="2" t="s">
        <v>39</v>
      </c>
      <c r="U754" s="2" t="s">
        <v>38</v>
      </c>
      <c r="V754" s="2" t="s">
        <v>38</v>
      </c>
      <c r="W754" s="2" t="s">
        <v>38</v>
      </c>
      <c r="X754" s="2" t="s">
        <v>39</v>
      </c>
      <c r="Y754" s="2" t="s">
        <v>38</v>
      </c>
      <c r="Z754" s="2" t="s">
        <v>38</v>
      </c>
      <c r="AA754" s="2" t="s">
        <v>38</v>
      </c>
      <c r="AB754" s="2" t="s">
        <v>39</v>
      </c>
      <c r="AC754" s="2" t="s">
        <v>38</v>
      </c>
      <c r="AD754" s="2" t="s">
        <v>38</v>
      </c>
      <c r="AE754" s="2" t="s">
        <v>38</v>
      </c>
    </row>
    <row r="755" spans="1:31" ht="409.5">
      <c r="A755" s="2">
        <v>2673445</v>
      </c>
      <c r="B755" s="2">
        <f>HYPERLINK("https://platform.v2.vetology.net/cases/2673445/screening-report/18?type=pdf&amp;v=v6&amp;scorecard=1&amp;secret_key=BX%25IJ%24%2F65ieZ%29f6", 2673445)</f>
        <v>2673445</v>
      </c>
      <c r="C755" s="2">
        <f>HYPERLINK("https://platform.v2.vetology.net/report/v/final/"&amp;2673445, 2673445)</f>
        <v>2673445</v>
      </c>
      <c r="D755" s="2" t="s">
        <v>2337</v>
      </c>
      <c r="E755" s="2" t="s">
        <v>2338</v>
      </c>
      <c r="F755" s="2" t="s">
        <v>1122</v>
      </c>
      <c r="G755" s="2" t="s">
        <v>58</v>
      </c>
      <c r="H755" s="2" t="s">
        <v>794</v>
      </c>
      <c r="I755" s="2" t="s">
        <v>137</v>
      </c>
      <c r="J755" s="2" t="s">
        <v>66</v>
      </c>
      <c r="K755" s="2" t="s">
        <v>38</v>
      </c>
      <c r="L755" s="2" t="s">
        <v>38</v>
      </c>
      <c r="M755" s="2" t="s">
        <v>38</v>
      </c>
      <c r="N755" s="2" t="s">
        <v>38</v>
      </c>
      <c r="O755" s="2" t="s">
        <v>38</v>
      </c>
      <c r="P755" s="2" t="s">
        <v>38</v>
      </c>
      <c r="Q755" s="2" t="s">
        <v>38</v>
      </c>
      <c r="R755" s="2" t="s">
        <v>38</v>
      </c>
      <c r="S755" s="2" t="s">
        <v>38</v>
      </c>
      <c r="T755" s="2" t="s">
        <v>39</v>
      </c>
      <c r="U755" s="2" t="s">
        <v>38</v>
      </c>
      <c r="V755" s="2" t="s">
        <v>39</v>
      </c>
      <c r="W755" s="2" t="s">
        <v>38</v>
      </c>
      <c r="X755" s="2" t="s">
        <v>39</v>
      </c>
      <c r="Y755" s="2" t="s">
        <v>38</v>
      </c>
      <c r="Z755" s="2" t="s">
        <v>38</v>
      </c>
      <c r="AA755" s="2" t="s">
        <v>38</v>
      </c>
      <c r="AB755" s="2" t="s">
        <v>38</v>
      </c>
      <c r="AC755" s="2" t="s">
        <v>38</v>
      </c>
      <c r="AD755" s="2" t="s">
        <v>38</v>
      </c>
      <c r="AE755" s="2" t="s">
        <v>39</v>
      </c>
    </row>
    <row r="756" spans="1:31" ht="409.5">
      <c r="A756" s="2">
        <v>2673368</v>
      </c>
      <c r="B756" s="2">
        <f>HYPERLINK("https://platform.v2.vetology.net/cases/2673368/screening-report/18?type=pdf&amp;v=v6&amp;scorecard=1&amp;secret_key=BX%25IJ%24%2F65ieZ%29f6", 2673368)</f>
        <v>2673368</v>
      </c>
      <c r="C756" s="2">
        <f>HYPERLINK("https://platform.v2.vetology.net/report/v/final/"&amp;2673368, 2673368)</f>
        <v>2673368</v>
      </c>
      <c r="D756" s="2" t="s">
        <v>2339</v>
      </c>
      <c r="E756" s="2" t="s">
        <v>2340</v>
      </c>
      <c r="F756" s="2" t="s">
        <v>2341</v>
      </c>
      <c r="G756" s="2" t="s">
        <v>58</v>
      </c>
      <c r="H756" s="2" t="s">
        <v>744</v>
      </c>
      <c r="I756" s="2" t="s">
        <v>89</v>
      </c>
      <c r="J756" s="2" t="s">
        <v>66</v>
      </c>
      <c r="K756" s="2" t="s">
        <v>38</v>
      </c>
      <c r="L756" s="2" t="s">
        <v>39</v>
      </c>
      <c r="M756" s="2" t="s">
        <v>38</v>
      </c>
      <c r="N756" s="2" t="s">
        <v>38</v>
      </c>
      <c r="O756" s="2" t="s">
        <v>38</v>
      </c>
      <c r="P756" s="2" t="s">
        <v>38</v>
      </c>
      <c r="Q756" s="2" t="s">
        <v>38</v>
      </c>
      <c r="R756" s="2" t="s">
        <v>38</v>
      </c>
      <c r="S756" s="2" t="s">
        <v>38</v>
      </c>
      <c r="T756" s="2" t="s">
        <v>39</v>
      </c>
      <c r="U756" s="2" t="s">
        <v>38</v>
      </c>
      <c r="V756" s="2" t="s">
        <v>38</v>
      </c>
      <c r="W756" s="2" t="s">
        <v>38</v>
      </c>
      <c r="X756" s="2" t="s">
        <v>39</v>
      </c>
      <c r="Y756" s="2" t="s">
        <v>38</v>
      </c>
      <c r="Z756" s="2" t="s">
        <v>38</v>
      </c>
      <c r="AA756" s="2" t="s">
        <v>38</v>
      </c>
      <c r="AB756" s="2" t="s">
        <v>38</v>
      </c>
      <c r="AC756" s="2" t="s">
        <v>38</v>
      </c>
      <c r="AD756" s="2" t="s">
        <v>38</v>
      </c>
      <c r="AE756" s="2" t="s">
        <v>39</v>
      </c>
    </row>
    <row r="757" spans="1:31" ht="409.5">
      <c r="A757" s="2">
        <v>2673060</v>
      </c>
      <c r="B757" s="2">
        <f>HYPERLINK("https://platform.v2.vetology.net/cases/2673060/screening-report/18?type=pdf&amp;v=v6&amp;scorecard=1&amp;secret_key=BX%25IJ%24%2F65ieZ%29f6", 2673060)</f>
        <v>2673060</v>
      </c>
      <c r="C757" s="2">
        <f>HYPERLINK("https://platform.v2.vetology.net/report/v/final/"&amp;2673060, 2673060)</f>
        <v>2673060</v>
      </c>
      <c r="D757" s="2" t="s">
        <v>2342</v>
      </c>
      <c r="E757" s="2" t="s">
        <v>2343</v>
      </c>
      <c r="F757" s="2" t="s">
        <v>2344</v>
      </c>
      <c r="G757" s="2" t="s">
        <v>93</v>
      </c>
      <c r="H757" s="2" t="s">
        <v>646</v>
      </c>
      <c r="I757" s="2" t="s">
        <v>167</v>
      </c>
      <c r="J757" s="2" t="s">
        <v>168</v>
      </c>
      <c r="K757" s="2" t="s">
        <v>38</v>
      </c>
      <c r="L757" s="2" t="s">
        <v>39</v>
      </c>
      <c r="M757" s="2" t="s">
        <v>39</v>
      </c>
      <c r="N757" s="2" t="s">
        <v>38</v>
      </c>
      <c r="O757" s="2" t="s">
        <v>38</v>
      </c>
      <c r="P757" s="2" t="s">
        <v>38</v>
      </c>
      <c r="Q757" s="2" t="s">
        <v>39</v>
      </c>
      <c r="R757" s="2" t="s">
        <v>39</v>
      </c>
      <c r="S757" s="2" t="s">
        <v>39</v>
      </c>
      <c r="T757" s="2" t="s">
        <v>39</v>
      </c>
      <c r="U757" s="2" t="s">
        <v>39</v>
      </c>
      <c r="V757" s="2" t="s">
        <v>39</v>
      </c>
      <c r="W757" s="2" t="s">
        <v>38</v>
      </c>
      <c r="X757" s="2" t="s">
        <v>39</v>
      </c>
      <c r="Y757" s="2" t="s">
        <v>38</v>
      </c>
      <c r="Z757" s="2" t="s">
        <v>39</v>
      </c>
      <c r="AA757" s="2" t="s">
        <v>38</v>
      </c>
      <c r="AB757" s="2" t="s">
        <v>39</v>
      </c>
      <c r="AC757" s="2" t="s">
        <v>38</v>
      </c>
      <c r="AD757" s="2" t="s">
        <v>38</v>
      </c>
      <c r="AE757" s="2" t="s">
        <v>38</v>
      </c>
    </row>
    <row r="758" spans="1:31" ht="409.5">
      <c r="A758" s="2">
        <v>2672864</v>
      </c>
      <c r="B758" s="2">
        <f>HYPERLINK("https://platform.v2.vetology.net/cases/2672864/screening-report/18?type=pdf&amp;v=v6&amp;scorecard=1&amp;secret_key=BX%25IJ%24%2F65ieZ%29f6", 2672864)</f>
        <v>2672864</v>
      </c>
      <c r="C758" s="2">
        <f>HYPERLINK("https://platform.v2.vetology.net/report/v/final/"&amp;2672864, 2672864)</f>
        <v>2672864</v>
      </c>
      <c r="D758" s="2" t="s">
        <v>2345</v>
      </c>
      <c r="E758" s="2" t="s">
        <v>2346</v>
      </c>
      <c r="F758" s="2" t="s">
        <v>81</v>
      </c>
      <c r="G758" s="2" t="s">
        <v>268</v>
      </c>
      <c r="H758" s="2" t="s">
        <v>136</v>
      </c>
      <c r="I758" s="2" t="s">
        <v>137</v>
      </c>
      <c r="J758" s="2" t="s">
        <v>66</v>
      </c>
      <c r="K758" s="2" t="s">
        <v>38</v>
      </c>
      <c r="L758" s="2" t="s">
        <v>39</v>
      </c>
      <c r="M758" s="2" t="s">
        <v>39</v>
      </c>
      <c r="N758" s="2" t="s">
        <v>38</v>
      </c>
      <c r="O758" s="2" t="s">
        <v>38</v>
      </c>
      <c r="P758" s="2" t="s">
        <v>38</v>
      </c>
      <c r="Q758" s="2" t="s">
        <v>38</v>
      </c>
      <c r="R758" s="2" t="s">
        <v>38</v>
      </c>
      <c r="S758" s="2" t="s">
        <v>39</v>
      </c>
      <c r="T758" s="2" t="s">
        <v>38</v>
      </c>
      <c r="U758" s="2" t="s">
        <v>38</v>
      </c>
      <c r="V758" s="2" t="s">
        <v>38</v>
      </c>
      <c r="W758" s="2" t="s">
        <v>38</v>
      </c>
      <c r="X758" s="2" t="s">
        <v>38</v>
      </c>
      <c r="Y758" s="2" t="s">
        <v>38</v>
      </c>
      <c r="Z758" s="2" t="s">
        <v>38</v>
      </c>
      <c r="AA758" s="2" t="s">
        <v>38</v>
      </c>
      <c r="AB758" s="2" t="s">
        <v>39</v>
      </c>
      <c r="AC758" s="2" t="s">
        <v>38</v>
      </c>
      <c r="AD758" s="2" t="s">
        <v>38</v>
      </c>
      <c r="AE758" s="2" t="s">
        <v>38</v>
      </c>
    </row>
    <row r="759" spans="1:31" ht="409.5">
      <c r="A759" s="2">
        <v>2672644</v>
      </c>
      <c r="B759" s="2">
        <f>HYPERLINK("https://platform.v2.vetology.net/cases/2672644/screening-report/18?type=pdf&amp;v=v6&amp;scorecard=1&amp;secret_key=BX%25IJ%24%2F65ieZ%29f6", 2672644)</f>
        <v>2672644</v>
      </c>
      <c r="C759" s="2">
        <f>HYPERLINK("https://platform.v2.vetology.net/report/v/final/"&amp;2672644, 2672644)</f>
        <v>2672644</v>
      </c>
      <c r="D759" s="2" t="s">
        <v>2347</v>
      </c>
      <c r="E759" s="2" t="s">
        <v>2348</v>
      </c>
      <c r="F759" s="2" t="s">
        <v>81</v>
      </c>
      <c r="G759" s="2" t="s">
        <v>268</v>
      </c>
      <c r="H759" s="2" t="s">
        <v>723</v>
      </c>
      <c r="I759" s="2" t="s">
        <v>44</v>
      </c>
      <c r="J759" s="2"/>
      <c r="K759" s="2" t="s">
        <v>38</v>
      </c>
      <c r="L759" s="2" t="s">
        <v>39</v>
      </c>
      <c r="M759" s="2" t="s">
        <v>38</v>
      </c>
      <c r="N759" s="2" t="s">
        <v>38</v>
      </c>
      <c r="O759" s="2" t="s">
        <v>38</v>
      </c>
      <c r="P759" s="2" t="s">
        <v>38</v>
      </c>
      <c r="Q759" s="2" t="s">
        <v>38</v>
      </c>
      <c r="R759" s="2" t="s">
        <v>38</v>
      </c>
      <c r="S759" s="2" t="s">
        <v>39</v>
      </c>
      <c r="T759" s="2" t="s">
        <v>39</v>
      </c>
      <c r="U759" s="2" t="s">
        <v>38</v>
      </c>
      <c r="V759" s="2" t="s">
        <v>39</v>
      </c>
      <c r="W759" s="2" t="s">
        <v>38</v>
      </c>
      <c r="X759" s="2" t="s">
        <v>39</v>
      </c>
      <c r="Y759" s="2" t="s">
        <v>38</v>
      </c>
      <c r="Z759" s="2" t="s">
        <v>38</v>
      </c>
      <c r="AA759" s="2" t="s">
        <v>38</v>
      </c>
      <c r="AB759" s="2" t="s">
        <v>38</v>
      </c>
      <c r="AC759" s="2" t="s">
        <v>38</v>
      </c>
      <c r="AD759" s="2" t="s">
        <v>38</v>
      </c>
      <c r="AE759" s="2" t="s">
        <v>38</v>
      </c>
    </row>
    <row r="760" spans="1:31" ht="409.5">
      <c r="A760" s="2">
        <v>2672393</v>
      </c>
      <c r="B760" s="2">
        <f>HYPERLINK("https://platform.v2.vetology.net/cases/2672393/screening-report/18?type=pdf&amp;v=v6&amp;scorecard=1&amp;secret_key=BX%25IJ%24%2F65ieZ%29f6", 2672393)</f>
        <v>2672393</v>
      </c>
      <c r="C760" s="2">
        <f>HYPERLINK("https://platform.v2.vetology.net/report/v/final/"&amp;2672393, 2672393)</f>
        <v>2672393</v>
      </c>
      <c r="D760" s="2" t="s">
        <v>2349</v>
      </c>
      <c r="E760" s="2" t="s">
        <v>2350</v>
      </c>
      <c r="F760" s="2" t="s">
        <v>81</v>
      </c>
      <c r="G760" s="2" t="s">
        <v>268</v>
      </c>
      <c r="H760" s="2" t="s">
        <v>183</v>
      </c>
      <c r="I760" s="2" t="s">
        <v>184</v>
      </c>
      <c r="J760" s="2" t="s">
        <v>185</v>
      </c>
      <c r="K760" s="2" t="s">
        <v>38</v>
      </c>
      <c r="L760" s="2" t="s">
        <v>39</v>
      </c>
      <c r="M760" s="2" t="s">
        <v>38</v>
      </c>
      <c r="N760" s="2" t="s">
        <v>38</v>
      </c>
      <c r="O760" s="2" t="s">
        <v>38</v>
      </c>
      <c r="P760" s="2" t="s">
        <v>39</v>
      </c>
      <c r="Q760" s="2" t="s">
        <v>38</v>
      </c>
      <c r="R760" s="2" t="s">
        <v>38</v>
      </c>
      <c r="S760" s="2" t="s">
        <v>38</v>
      </c>
      <c r="T760" s="2" t="s">
        <v>39</v>
      </c>
      <c r="U760" s="2" t="s">
        <v>38</v>
      </c>
      <c r="V760" s="2" t="s">
        <v>38</v>
      </c>
      <c r="W760" s="2" t="s">
        <v>38</v>
      </c>
      <c r="X760" s="2" t="s">
        <v>38</v>
      </c>
      <c r="Y760" s="2" t="s">
        <v>38</v>
      </c>
      <c r="Z760" s="2" t="s">
        <v>38</v>
      </c>
      <c r="AA760" s="2" t="s">
        <v>38</v>
      </c>
      <c r="AB760" s="2" t="s">
        <v>39</v>
      </c>
      <c r="AC760" s="2" t="s">
        <v>38</v>
      </c>
      <c r="AD760" s="2" t="s">
        <v>38</v>
      </c>
      <c r="AE760" s="2" t="s">
        <v>38</v>
      </c>
    </row>
    <row r="761" spans="1:31" ht="409.5">
      <c r="A761" s="2">
        <v>2671982</v>
      </c>
      <c r="B761" s="2">
        <f>HYPERLINK("https://platform.v2.vetology.net/cases/2671982/screening-report/18?type=pdf&amp;v=v6&amp;scorecard=1&amp;secret_key=BX%25IJ%24%2F65ieZ%29f6", 2671982)</f>
        <v>2671982</v>
      </c>
      <c r="C761" s="2">
        <f>HYPERLINK("https://platform.v2.vetology.net/report/v/final/"&amp;2671982, 2671982)</f>
        <v>2671982</v>
      </c>
      <c r="D761" s="2" t="s">
        <v>2351</v>
      </c>
      <c r="E761" s="2" t="s">
        <v>2352</v>
      </c>
      <c r="F761" s="2" t="s">
        <v>2353</v>
      </c>
      <c r="G761" s="2" t="s">
        <v>63</v>
      </c>
      <c r="H761" s="2" t="s">
        <v>129</v>
      </c>
      <c r="I761" s="2" t="s">
        <v>44</v>
      </c>
      <c r="J761" s="2"/>
      <c r="K761" s="2" t="s">
        <v>38</v>
      </c>
      <c r="L761" s="2" t="s">
        <v>39</v>
      </c>
      <c r="M761" s="2" t="s">
        <v>39</v>
      </c>
      <c r="N761" s="2" t="s">
        <v>38</v>
      </c>
      <c r="O761" s="2" t="s">
        <v>38</v>
      </c>
      <c r="P761" s="2" t="s">
        <v>38</v>
      </c>
      <c r="Q761" s="2" t="s">
        <v>38</v>
      </c>
      <c r="R761" s="2" t="s">
        <v>38</v>
      </c>
      <c r="S761" s="2" t="s">
        <v>38</v>
      </c>
      <c r="T761" s="2" t="s">
        <v>39</v>
      </c>
      <c r="U761" s="2" t="s">
        <v>38</v>
      </c>
      <c r="V761" s="2" t="s">
        <v>39</v>
      </c>
      <c r="W761" s="2" t="s">
        <v>38</v>
      </c>
      <c r="X761" s="2" t="s">
        <v>38</v>
      </c>
      <c r="Y761" s="2" t="s">
        <v>38</v>
      </c>
      <c r="Z761" s="2" t="s">
        <v>38</v>
      </c>
      <c r="AA761" s="2" t="s">
        <v>38</v>
      </c>
      <c r="AB761" s="2" t="s">
        <v>38</v>
      </c>
      <c r="AC761" s="2" t="s">
        <v>38</v>
      </c>
      <c r="AD761" s="2" t="s">
        <v>38</v>
      </c>
      <c r="AE761" s="2" t="s">
        <v>39</v>
      </c>
    </row>
    <row r="762" spans="1:31" ht="409.5">
      <c r="A762" s="2">
        <v>2671974</v>
      </c>
      <c r="B762" s="2">
        <f>HYPERLINK("https://platform.v2.vetology.net/cases/2671974/screening-report/18?type=pdf&amp;v=v6&amp;scorecard=1&amp;secret_key=BX%25IJ%24%2F65ieZ%29f6", 2671974)</f>
        <v>2671974</v>
      </c>
      <c r="C762" s="2">
        <f>HYPERLINK("https://platform.v2.vetology.net/report/v/final/"&amp;2671974, 2671974)</f>
        <v>2671974</v>
      </c>
      <c r="D762" s="2" t="s">
        <v>2354</v>
      </c>
      <c r="E762" s="2" t="s">
        <v>2355</v>
      </c>
      <c r="F762" s="2" t="s">
        <v>81</v>
      </c>
      <c r="G762" s="2" t="s">
        <v>82</v>
      </c>
      <c r="H762" s="2" t="s">
        <v>88</v>
      </c>
      <c r="I762" s="2" t="s">
        <v>89</v>
      </c>
      <c r="J762" s="2" t="s">
        <v>66</v>
      </c>
      <c r="K762" s="2" t="s">
        <v>38</v>
      </c>
      <c r="L762" s="2" t="s">
        <v>38</v>
      </c>
      <c r="M762" s="2" t="s">
        <v>39</v>
      </c>
      <c r="N762" s="2" t="s">
        <v>38</v>
      </c>
      <c r="O762" s="2" t="s">
        <v>38</v>
      </c>
      <c r="P762" s="2" t="s">
        <v>38</v>
      </c>
      <c r="Q762" s="2" t="s">
        <v>38</v>
      </c>
      <c r="R762" s="2" t="s">
        <v>38</v>
      </c>
      <c r="S762" s="2" t="s">
        <v>38</v>
      </c>
      <c r="T762" s="2" t="s">
        <v>38</v>
      </c>
      <c r="U762" s="2" t="s">
        <v>38</v>
      </c>
      <c r="V762" s="2" t="s">
        <v>38</v>
      </c>
      <c r="W762" s="2" t="s">
        <v>38</v>
      </c>
      <c r="X762" s="2" t="s">
        <v>39</v>
      </c>
      <c r="Y762" s="2" t="s">
        <v>38</v>
      </c>
      <c r="Z762" s="2" t="s">
        <v>38</v>
      </c>
      <c r="AA762" s="2" t="s">
        <v>38</v>
      </c>
      <c r="AB762" s="2" t="s">
        <v>38</v>
      </c>
      <c r="AC762" s="2" t="s">
        <v>38</v>
      </c>
      <c r="AD762" s="2" t="s">
        <v>38</v>
      </c>
      <c r="AE762" s="2" t="s">
        <v>39</v>
      </c>
    </row>
    <row r="763" spans="1:31" ht="409.5">
      <c r="A763" s="2">
        <v>2671778</v>
      </c>
      <c r="B763" s="2">
        <f>HYPERLINK("https://platform.v2.vetology.net/cases/2671778/screening-report/18?type=pdf&amp;v=v6&amp;scorecard=1&amp;secret_key=BX%25IJ%24%2F65ieZ%29f6", 2671778)</f>
        <v>2671778</v>
      </c>
      <c r="C763" s="2">
        <f>HYPERLINK("https://platform.v2.vetology.net/report/v/final/"&amp;2671778, 2671778)</f>
        <v>2671778</v>
      </c>
      <c r="D763" s="2" t="s">
        <v>2356</v>
      </c>
      <c r="E763" s="2" t="s">
        <v>2357</v>
      </c>
      <c r="F763" s="2" t="s">
        <v>2358</v>
      </c>
      <c r="G763" s="2" t="s">
        <v>464</v>
      </c>
      <c r="H763" s="2" t="s">
        <v>1177</v>
      </c>
      <c r="I763" s="2" t="s">
        <v>111</v>
      </c>
      <c r="J763" s="2" t="s">
        <v>112</v>
      </c>
      <c r="K763" s="2" t="s">
        <v>39</v>
      </c>
      <c r="L763" s="2" t="s">
        <v>39</v>
      </c>
      <c r="M763" s="2" t="s">
        <v>39</v>
      </c>
      <c r="N763" s="2" t="s">
        <v>39</v>
      </c>
      <c r="O763" s="2" t="s">
        <v>39</v>
      </c>
      <c r="P763" s="2" t="s">
        <v>39</v>
      </c>
      <c r="Q763" s="2" t="s">
        <v>39</v>
      </c>
      <c r="R763" s="2" t="s">
        <v>39</v>
      </c>
      <c r="S763" s="2" t="s">
        <v>39</v>
      </c>
      <c r="T763" s="2" t="s">
        <v>39</v>
      </c>
      <c r="U763" s="2" t="s">
        <v>39</v>
      </c>
      <c r="V763" s="2" t="s">
        <v>39</v>
      </c>
      <c r="W763" s="2" t="s">
        <v>39</v>
      </c>
      <c r="X763" s="2" t="s">
        <v>39</v>
      </c>
      <c r="Y763" s="2" t="s">
        <v>39</v>
      </c>
      <c r="Z763" s="2" t="s">
        <v>39</v>
      </c>
      <c r="AA763" s="2" t="s">
        <v>39</v>
      </c>
      <c r="AB763" s="2" t="s">
        <v>39</v>
      </c>
      <c r="AC763" s="2" t="s">
        <v>39</v>
      </c>
      <c r="AD763" s="2" t="s">
        <v>39</v>
      </c>
      <c r="AE763" s="2" t="s">
        <v>39</v>
      </c>
    </row>
    <row r="764" spans="1:31" ht="409.5">
      <c r="A764" s="2">
        <v>2671597</v>
      </c>
      <c r="B764" s="2">
        <f>HYPERLINK("https://platform.v2.vetology.net/cases/2671597/screening-report/18?type=pdf&amp;v=v6&amp;scorecard=1&amp;secret_key=BX%25IJ%24%2F65ieZ%29f6", 2671597)</f>
        <v>2671597</v>
      </c>
      <c r="C764" s="2">
        <f>HYPERLINK("https://platform.v2.vetology.net/report/v/final/"&amp;2671597, 2671597)</f>
        <v>2671597</v>
      </c>
      <c r="D764" s="2" t="s">
        <v>2359</v>
      </c>
      <c r="E764" s="2" t="s">
        <v>2360</v>
      </c>
      <c r="F764" s="2"/>
      <c r="G764" s="2" t="s">
        <v>150</v>
      </c>
      <c r="H764" s="2" t="s">
        <v>54</v>
      </c>
      <c r="I764" s="2" t="s">
        <v>199</v>
      </c>
      <c r="J764" s="2"/>
      <c r="K764" s="2" t="s">
        <v>38</v>
      </c>
      <c r="L764" s="2" t="s">
        <v>39</v>
      </c>
      <c r="M764" s="2" t="s">
        <v>38</v>
      </c>
      <c r="N764" s="2" t="s">
        <v>38</v>
      </c>
      <c r="O764" s="2" t="s">
        <v>38</v>
      </c>
      <c r="P764" s="2" t="s">
        <v>38</v>
      </c>
      <c r="Q764" s="2" t="s">
        <v>38</v>
      </c>
      <c r="R764" s="2" t="s">
        <v>38</v>
      </c>
      <c r="S764" s="2" t="s">
        <v>38</v>
      </c>
      <c r="T764" s="2" t="s">
        <v>39</v>
      </c>
      <c r="U764" s="2" t="s">
        <v>39</v>
      </c>
      <c r="V764" s="2" t="s">
        <v>39</v>
      </c>
      <c r="W764" s="2" t="s">
        <v>38</v>
      </c>
      <c r="X764" s="2" t="s">
        <v>39</v>
      </c>
      <c r="Y764" s="2" t="s">
        <v>38</v>
      </c>
      <c r="Z764" s="2" t="s">
        <v>39</v>
      </c>
      <c r="AA764" s="2" t="s">
        <v>38</v>
      </c>
      <c r="AB764" s="2" t="s">
        <v>39</v>
      </c>
      <c r="AC764" s="2" t="s">
        <v>39</v>
      </c>
      <c r="AD764" s="2" t="s">
        <v>38</v>
      </c>
      <c r="AE764" s="2" t="s">
        <v>38</v>
      </c>
    </row>
    <row r="765" spans="1:31" ht="409.5">
      <c r="A765" s="2">
        <v>2671263</v>
      </c>
      <c r="B765" s="2">
        <f>HYPERLINK("https://platform.v2.vetology.net/cases/2671263/screening-report/18?type=pdf&amp;v=v6&amp;scorecard=1&amp;secret_key=BX%25IJ%24%2F65ieZ%29f6", 2671263)</f>
        <v>2671263</v>
      </c>
      <c r="C765" s="2">
        <f>HYPERLINK("https://platform.v2.vetology.net/report/v/final/"&amp;2671263, 2671263)</f>
        <v>2671263</v>
      </c>
      <c r="D765" s="2" t="s">
        <v>2361</v>
      </c>
      <c r="E765" s="2" t="s">
        <v>2362</v>
      </c>
      <c r="F765" s="2" t="s">
        <v>2363</v>
      </c>
      <c r="G765" s="2" t="s">
        <v>464</v>
      </c>
      <c r="H765" s="2" t="s">
        <v>78</v>
      </c>
      <c r="I765" s="2" t="s">
        <v>44</v>
      </c>
      <c r="J765" s="2"/>
      <c r="K765" s="2" t="s">
        <v>38</v>
      </c>
      <c r="L765" s="2" t="s">
        <v>39</v>
      </c>
      <c r="M765" s="2" t="s">
        <v>38</v>
      </c>
      <c r="N765" s="2" t="s">
        <v>38</v>
      </c>
      <c r="O765" s="2" t="s">
        <v>38</v>
      </c>
      <c r="P765" s="2" t="s">
        <v>38</v>
      </c>
      <c r="Q765" s="2" t="s">
        <v>38</v>
      </c>
      <c r="R765" s="2" t="s">
        <v>38</v>
      </c>
      <c r="S765" s="2" t="s">
        <v>38</v>
      </c>
      <c r="T765" s="2" t="s">
        <v>39</v>
      </c>
      <c r="U765" s="2" t="s">
        <v>38</v>
      </c>
      <c r="V765" s="2" t="s">
        <v>39</v>
      </c>
      <c r="W765" s="2" t="s">
        <v>38</v>
      </c>
      <c r="X765" s="2" t="s">
        <v>39</v>
      </c>
      <c r="Y765" s="2" t="s">
        <v>38</v>
      </c>
      <c r="Z765" s="2" t="s">
        <v>38</v>
      </c>
      <c r="AA765" s="2" t="s">
        <v>38</v>
      </c>
      <c r="AB765" s="2" t="s">
        <v>39</v>
      </c>
      <c r="AC765" s="2" t="s">
        <v>38</v>
      </c>
      <c r="AD765" s="2" t="s">
        <v>38</v>
      </c>
      <c r="AE765" s="2" t="s">
        <v>38</v>
      </c>
    </row>
    <row r="766" spans="1:31" ht="409.5">
      <c r="A766" s="2">
        <v>2671062</v>
      </c>
      <c r="B766" s="2">
        <f>HYPERLINK("https://platform.v2.vetology.net/cases/2671062/screening-report/18?type=pdf&amp;v=v6&amp;scorecard=1&amp;secret_key=BX%25IJ%24%2F65ieZ%29f6", 2671062)</f>
        <v>2671062</v>
      </c>
      <c r="C766" s="2">
        <f>HYPERLINK("https://platform.v2.vetology.net/report/v/final/"&amp;2671062, 2671062)</f>
        <v>2671062</v>
      </c>
      <c r="D766" s="2" t="s">
        <v>2364</v>
      </c>
      <c r="E766" s="2" t="s">
        <v>2365</v>
      </c>
      <c r="F766" s="2" t="s">
        <v>81</v>
      </c>
      <c r="G766" s="2" t="s">
        <v>268</v>
      </c>
      <c r="H766" s="2" t="s">
        <v>101</v>
      </c>
      <c r="I766" s="2" t="s">
        <v>44</v>
      </c>
      <c r="J766" s="2"/>
      <c r="K766" s="2" t="s">
        <v>38</v>
      </c>
      <c r="L766" s="2" t="s">
        <v>38</v>
      </c>
      <c r="M766" s="2" t="s">
        <v>38</v>
      </c>
      <c r="N766" s="2" t="s">
        <v>38</v>
      </c>
      <c r="O766" s="2" t="s">
        <v>38</v>
      </c>
      <c r="P766" s="2" t="s">
        <v>38</v>
      </c>
      <c r="Q766" s="2" t="s">
        <v>38</v>
      </c>
      <c r="R766" s="2" t="s">
        <v>38</v>
      </c>
      <c r="S766" s="2" t="s">
        <v>38</v>
      </c>
      <c r="T766" s="2" t="s">
        <v>39</v>
      </c>
      <c r="U766" s="2" t="s">
        <v>38</v>
      </c>
      <c r="V766" s="2" t="s">
        <v>39</v>
      </c>
      <c r="W766" s="2" t="s">
        <v>38</v>
      </c>
      <c r="X766" s="2" t="s">
        <v>39</v>
      </c>
      <c r="Y766" s="2" t="s">
        <v>38</v>
      </c>
      <c r="Z766" s="2" t="s">
        <v>38</v>
      </c>
      <c r="AA766" s="2" t="s">
        <v>38</v>
      </c>
      <c r="AB766" s="2" t="s">
        <v>38</v>
      </c>
      <c r="AC766" s="2" t="s">
        <v>38</v>
      </c>
      <c r="AD766" s="2" t="s">
        <v>38</v>
      </c>
      <c r="AE766" s="2" t="s">
        <v>39</v>
      </c>
    </row>
    <row r="767" spans="1:31" ht="409.5">
      <c r="A767" s="2">
        <v>2670963</v>
      </c>
      <c r="B767" s="2">
        <f>HYPERLINK("https://platform.v2.vetology.net/cases/2670963/screening-report/18?type=pdf&amp;v=v6&amp;scorecard=1&amp;secret_key=BX%25IJ%24%2F65ieZ%29f6", 2670963)</f>
        <v>2670963</v>
      </c>
      <c r="C767" s="2">
        <f>HYPERLINK("https://platform.v2.vetology.net/report/v/final/"&amp;2670963, 2670963)</f>
        <v>2670963</v>
      </c>
      <c r="D767" s="2" t="s">
        <v>2366</v>
      </c>
      <c r="E767" s="2" t="s">
        <v>2367</v>
      </c>
      <c r="F767" s="2"/>
      <c r="G767" s="2" t="s">
        <v>141</v>
      </c>
      <c r="H767" s="2" t="s">
        <v>2368</v>
      </c>
      <c r="I767" s="2" t="s">
        <v>137</v>
      </c>
      <c r="J767" s="2" t="s">
        <v>66</v>
      </c>
      <c r="K767" s="2" t="s">
        <v>38</v>
      </c>
      <c r="L767" s="2" t="s">
        <v>39</v>
      </c>
      <c r="M767" s="2" t="s">
        <v>38</v>
      </c>
      <c r="N767" s="2" t="s">
        <v>38</v>
      </c>
      <c r="O767" s="2" t="s">
        <v>38</v>
      </c>
      <c r="P767" s="2" t="s">
        <v>39</v>
      </c>
      <c r="Q767" s="2" t="s">
        <v>38</v>
      </c>
      <c r="R767" s="2" t="s">
        <v>38</v>
      </c>
      <c r="S767" s="2" t="s">
        <v>38</v>
      </c>
      <c r="T767" s="2" t="s">
        <v>39</v>
      </c>
      <c r="U767" s="2" t="s">
        <v>38</v>
      </c>
      <c r="V767" s="2" t="s">
        <v>38</v>
      </c>
      <c r="W767" s="2" t="s">
        <v>38</v>
      </c>
      <c r="X767" s="2" t="s">
        <v>38</v>
      </c>
      <c r="Y767" s="2" t="s">
        <v>38</v>
      </c>
      <c r="Z767" s="2" t="s">
        <v>39</v>
      </c>
      <c r="AA767" s="2" t="s">
        <v>38</v>
      </c>
      <c r="AB767" s="2" t="s">
        <v>39</v>
      </c>
      <c r="AC767" s="2" t="s">
        <v>38</v>
      </c>
      <c r="AD767" s="2" t="s">
        <v>38</v>
      </c>
      <c r="AE767" s="2" t="s">
        <v>39</v>
      </c>
    </row>
    <row r="768" spans="1:31" ht="409.5">
      <c r="A768" s="2">
        <v>2670909</v>
      </c>
      <c r="B768" s="2">
        <f>HYPERLINK("https://platform.v2.vetology.net/cases/2670909/screening-report/18?type=pdf&amp;v=v6&amp;scorecard=1&amp;secret_key=BX%25IJ%24%2F65ieZ%29f6", 2670909)</f>
        <v>2670909</v>
      </c>
      <c r="C768" s="2">
        <f>HYPERLINK("https://platform.v2.vetology.net/report/v/final/"&amp;2670909, 2670909)</f>
        <v>2670909</v>
      </c>
      <c r="D768" s="2" t="s">
        <v>2369</v>
      </c>
      <c r="E768" s="2" t="s">
        <v>2370</v>
      </c>
      <c r="F768" s="2" t="s">
        <v>2371</v>
      </c>
      <c r="G768" s="2" t="s">
        <v>150</v>
      </c>
      <c r="H768" s="2" t="s">
        <v>2372</v>
      </c>
      <c r="I768" s="2" t="s">
        <v>2373</v>
      </c>
      <c r="J768" s="2" t="s">
        <v>2374</v>
      </c>
      <c r="K768" s="2" t="s">
        <v>39</v>
      </c>
      <c r="L768" s="2" t="s">
        <v>39</v>
      </c>
      <c r="M768" s="2" t="s">
        <v>39</v>
      </c>
      <c r="N768" s="2" t="s">
        <v>39</v>
      </c>
      <c r="O768" s="2" t="s">
        <v>39</v>
      </c>
      <c r="P768" s="2" t="s">
        <v>39</v>
      </c>
      <c r="Q768" s="2" t="s">
        <v>39</v>
      </c>
      <c r="R768" s="2" t="s">
        <v>39</v>
      </c>
      <c r="S768" s="2" t="s">
        <v>39</v>
      </c>
      <c r="T768" s="2" t="s">
        <v>39</v>
      </c>
      <c r="U768" s="2" t="s">
        <v>39</v>
      </c>
      <c r="V768" s="2" t="s">
        <v>39</v>
      </c>
      <c r="W768" s="2" t="s">
        <v>39</v>
      </c>
      <c r="X768" s="2" t="s">
        <v>39</v>
      </c>
      <c r="Y768" s="2" t="s">
        <v>39</v>
      </c>
      <c r="Z768" s="2" t="s">
        <v>39</v>
      </c>
      <c r="AA768" s="2" t="s">
        <v>39</v>
      </c>
      <c r="AB768" s="2" t="s">
        <v>39</v>
      </c>
      <c r="AC768" s="2" t="s">
        <v>39</v>
      </c>
      <c r="AD768" s="2" t="s">
        <v>38</v>
      </c>
      <c r="AE768" s="2" t="s">
        <v>39</v>
      </c>
    </row>
    <row r="769" spans="1:31" ht="409.5">
      <c r="A769" s="2">
        <v>2670818</v>
      </c>
      <c r="B769" s="2">
        <f>HYPERLINK("https://platform.v2.vetology.net/cases/2670818/screening-report/18?type=pdf&amp;v=v6&amp;scorecard=1&amp;secret_key=BX%25IJ%24%2F65ieZ%29f6", 2670818)</f>
        <v>2670818</v>
      </c>
      <c r="C769" s="2">
        <f>HYPERLINK("https://platform.v2.vetology.net/report/v/final/"&amp;2670818, 2670818)</f>
        <v>2670818</v>
      </c>
      <c r="D769" s="2" t="s">
        <v>2375</v>
      </c>
      <c r="E769" s="2" t="s">
        <v>2376</v>
      </c>
      <c r="F769" s="2" t="s">
        <v>2377</v>
      </c>
      <c r="G769" s="2" t="s">
        <v>150</v>
      </c>
      <c r="H769" s="2" t="s">
        <v>2378</v>
      </c>
      <c r="I769" s="2" t="s">
        <v>119</v>
      </c>
      <c r="J769" s="2" t="s">
        <v>112</v>
      </c>
      <c r="K769" s="2" t="s">
        <v>39</v>
      </c>
      <c r="L769" s="2" t="s">
        <v>39</v>
      </c>
      <c r="M769" s="2" t="s">
        <v>39</v>
      </c>
      <c r="N769" s="2" t="s">
        <v>39</v>
      </c>
      <c r="O769" s="2" t="s">
        <v>39</v>
      </c>
      <c r="P769" s="2" t="s">
        <v>39</v>
      </c>
      <c r="Q769" s="2" t="s">
        <v>39</v>
      </c>
      <c r="R769" s="2" t="s">
        <v>39</v>
      </c>
      <c r="S769" s="2" t="s">
        <v>39</v>
      </c>
      <c r="T769" s="2" t="s">
        <v>39</v>
      </c>
      <c r="U769" s="2" t="s">
        <v>39</v>
      </c>
      <c r="V769" s="2" t="s">
        <v>39</v>
      </c>
      <c r="W769" s="2" t="s">
        <v>39</v>
      </c>
      <c r="X769" s="2" t="s">
        <v>39</v>
      </c>
      <c r="Y769" s="2" t="s">
        <v>39</v>
      </c>
      <c r="Z769" s="2" t="s">
        <v>39</v>
      </c>
      <c r="AA769" s="2" t="s">
        <v>39</v>
      </c>
      <c r="AB769" s="2" t="s">
        <v>39</v>
      </c>
      <c r="AC769" s="2" t="s">
        <v>39</v>
      </c>
      <c r="AD769" s="2" t="s">
        <v>39</v>
      </c>
      <c r="AE769" s="2" t="s">
        <v>39</v>
      </c>
    </row>
    <row r="770" spans="1:31" ht="409.5">
      <c r="A770" s="2">
        <v>2670795</v>
      </c>
      <c r="B770" s="2">
        <f>HYPERLINK("https://platform.v2.vetology.net/cases/2670795/screening-report/18?type=pdf&amp;v=v6&amp;scorecard=1&amp;secret_key=BX%25IJ%24%2F65ieZ%29f6", 2670795)</f>
        <v>2670795</v>
      </c>
      <c r="C770" s="2">
        <f>HYPERLINK("https://platform.v2.vetology.net/report/v/final/"&amp;2670795, 2670795)</f>
        <v>2670795</v>
      </c>
      <c r="D770" s="2" t="s">
        <v>2379</v>
      </c>
      <c r="E770" s="2" t="s">
        <v>2380</v>
      </c>
      <c r="F770" s="2" t="s">
        <v>2381</v>
      </c>
      <c r="G770" s="2" t="s">
        <v>63</v>
      </c>
      <c r="H770" s="2" t="s">
        <v>105</v>
      </c>
      <c r="I770" s="2" t="s">
        <v>44</v>
      </c>
      <c r="J770" s="2" t="s">
        <v>106</v>
      </c>
      <c r="K770" s="2" t="s">
        <v>38</v>
      </c>
      <c r="L770" s="2" t="s">
        <v>38</v>
      </c>
      <c r="M770" s="2" t="s">
        <v>39</v>
      </c>
      <c r="N770" s="2" t="s">
        <v>38</v>
      </c>
      <c r="O770" s="2" t="s">
        <v>38</v>
      </c>
      <c r="P770" s="2" t="s">
        <v>38</v>
      </c>
      <c r="Q770" s="2" t="s">
        <v>38</v>
      </c>
      <c r="R770" s="2" t="s">
        <v>38</v>
      </c>
      <c r="S770" s="2" t="s">
        <v>38</v>
      </c>
      <c r="T770" s="2" t="s">
        <v>38</v>
      </c>
      <c r="U770" s="2" t="s">
        <v>38</v>
      </c>
      <c r="V770" s="2" t="s">
        <v>38</v>
      </c>
      <c r="W770" s="2" t="s">
        <v>38</v>
      </c>
      <c r="X770" s="2" t="s">
        <v>38</v>
      </c>
      <c r="Y770" s="2" t="s">
        <v>38</v>
      </c>
      <c r="Z770" s="2" t="s">
        <v>38</v>
      </c>
      <c r="AA770" s="2" t="s">
        <v>38</v>
      </c>
      <c r="AB770" s="2" t="s">
        <v>39</v>
      </c>
      <c r="AC770" s="2" t="s">
        <v>38</v>
      </c>
      <c r="AD770" s="2" t="s">
        <v>38</v>
      </c>
      <c r="AE770" s="2" t="s">
        <v>39</v>
      </c>
    </row>
    <row r="771" spans="1:31" ht="409.5">
      <c r="A771" s="2">
        <v>2670719</v>
      </c>
      <c r="B771" s="2">
        <f>HYPERLINK("https://platform.v2.vetology.net/cases/2670719/screening-report/18?type=pdf&amp;v=v6&amp;scorecard=1&amp;secret_key=BX%25IJ%24%2F65ieZ%29f6", 2670719)</f>
        <v>2670719</v>
      </c>
      <c r="C771" s="2">
        <f>HYPERLINK("https://platform.v2.vetology.net/report/v/final/"&amp;2670719, 2670719)</f>
        <v>2670719</v>
      </c>
      <c r="D771" s="2" t="s">
        <v>2382</v>
      </c>
      <c r="E771" s="2" t="s">
        <v>2383</v>
      </c>
      <c r="F771" s="2" t="s">
        <v>2384</v>
      </c>
      <c r="G771" s="2" t="s">
        <v>63</v>
      </c>
      <c r="H771" s="2" t="s">
        <v>54</v>
      </c>
      <c r="I771" s="2" t="s">
        <v>44</v>
      </c>
      <c r="J771" s="2"/>
      <c r="K771" s="2" t="s">
        <v>38</v>
      </c>
      <c r="L771" s="2" t="s">
        <v>38</v>
      </c>
      <c r="M771" s="2" t="s">
        <v>38</v>
      </c>
      <c r="N771" s="2" t="s">
        <v>38</v>
      </c>
      <c r="O771" s="2" t="s">
        <v>38</v>
      </c>
      <c r="P771" s="2" t="s">
        <v>38</v>
      </c>
      <c r="Q771" s="2" t="s">
        <v>38</v>
      </c>
      <c r="R771" s="2" t="s">
        <v>38</v>
      </c>
      <c r="S771" s="2" t="s">
        <v>38</v>
      </c>
      <c r="T771" s="2" t="s">
        <v>39</v>
      </c>
      <c r="U771" s="2" t="s">
        <v>38</v>
      </c>
      <c r="V771" s="2" t="s">
        <v>39</v>
      </c>
      <c r="W771" s="2" t="s">
        <v>38</v>
      </c>
      <c r="X771" s="2" t="s">
        <v>39</v>
      </c>
      <c r="Y771" s="2" t="s">
        <v>38</v>
      </c>
      <c r="Z771" s="2" t="s">
        <v>38</v>
      </c>
      <c r="AA771" s="2" t="s">
        <v>38</v>
      </c>
      <c r="AB771" s="2" t="s">
        <v>38</v>
      </c>
      <c r="AC771" s="2" t="s">
        <v>38</v>
      </c>
      <c r="AD771" s="2" t="s">
        <v>38</v>
      </c>
      <c r="AE771" s="2" t="s">
        <v>38</v>
      </c>
    </row>
    <row r="772" spans="1:31" ht="409.5">
      <c r="A772" s="2">
        <v>2670542</v>
      </c>
      <c r="B772" s="2">
        <f>HYPERLINK("https://platform.v2.vetology.net/cases/2670542/screening-report/18?type=pdf&amp;v=v6&amp;scorecard=1&amp;secret_key=BX%25IJ%24%2F65ieZ%29f6", 2670542)</f>
        <v>2670542</v>
      </c>
      <c r="C772" s="2">
        <f>HYPERLINK("https://platform.v2.vetology.net/report/v/final/"&amp;2670542, 2670542)</f>
        <v>2670542</v>
      </c>
      <c r="D772" s="2" t="s">
        <v>2385</v>
      </c>
      <c r="E772" s="2" t="s">
        <v>2386</v>
      </c>
      <c r="F772" s="2" t="s">
        <v>2387</v>
      </c>
      <c r="G772" s="2" t="s">
        <v>63</v>
      </c>
      <c r="H772" s="2" t="s">
        <v>283</v>
      </c>
      <c r="I772" s="2" t="s">
        <v>284</v>
      </c>
      <c r="J772" s="2" t="s">
        <v>285</v>
      </c>
      <c r="K772" s="2" t="s">
        <v>38</v>
      </c>
      <c r="L772" s="2" t="s">
        <v>38</v>
      </c>
      <c r="M772" s="2" t="s">
        <v>38</v>
      </c>
      <c r="N772" s="2" t="s">
        <v>38</v>
      </c>
      <c r="O772" s="2" t="s">
        <v>38</v>
      </c>
      <c r="P772" s="2" t="s">
        <v>38</v>
      </c>
      <c r="Q772" s="2" t="s">
        <v>38</v>
      </c>
      <c r="R772" s="2" t="s">
        <v>38</v>
      </c>
      <c r="S772" s="2" t="s">
        <v>38</v>
      </c>
      <c r="T772" s="2" t="s">
        <v>39</v>
      </c>
      <c r="U772" s="2" t="s">
        <v>38</v>
      </c>
      <c r="V772" s="2" t="s">
        <v>39</v>
      </c>
      <c r="W772" s="2" t="s">
        <v>38</v>
      </c>
      <c r="X772" s="2" t="s">
        <v>39</v>
      </c>
      <c r="Y772" s="2" t="s">
        <v>38</v>
      </c>
      <c r="Z772" s="2" t="s">
        <v>38</v>
      </c>
      <c r="AA772" s="2" t="s">
        <v>38</v>
      </c>
      <c r="AB772" s="2" t="s">
        <v>39</v>
      </c>
      <c r="AC772" s="2" t="s">
        <v>38</v>
      </c>
      <c r="AD772" s="2" t="s">
        <v>38</v>
      </c>
      <c r="AE772" s="2" t="s">
        <v>38</v>
      </c>
    </row>
    <row r="773" spans="1:31" ht="409.5">
      <c r="A773" s="2">
        <v>2670317</v>
      </c>
      <c r="B773" s="2">
        <f>HYPERLINK("https://platform.v2.vetology.net/cases/2670317/screening-report/18?type=pdf&amp;v=v6&amp;scorecard=1&amp;secret_key=BX%25IJ%24%2F65ieZ%29f6", 2670317)</f>
        <v>2670317</v>
      </c>
      <c r="C773" s="2">
        <f>HYPERLINK("https://platform.v2.vetology.net/report/v/final/"&amp;2670317, 2670317)</f>
        <v>2670317</v>
      </c>
      <c r="D773" s="2" t="s">
        <v>2388</v>
      </c>
      <c r="E773" s="2" t="s">
        <v>2389</v>
      </c>
      <c r="F773" s="2" t="s">
        <v>2390</v>
      </c>
      <c r="G773" s="2" t="s">
        <v>135</v>
      </c>
      <c r="H773" s="2" t="s">
        <v>509</v>
      </c>
      <c r="I773" s="2" t="s">
        <v>36</v>
      </c>
      <c r="J773" s="2" t="s">
        <v>37</v>
      </c>
      <c r="K773" s="2" t="s">
        <v>38</v>
      </c>
      <c r="L773" s="2" t="s">
        <v>39</v>
      </c>
      <c r="M773" s="2" t="s">
        <v>38</v>
      </c>
      <c r="N773" s="2" t="s">
        <v>38</v>
      </c>
      <c r="O773" s="2" t="s">
        <v>38</v>
      </c>
      <c r="P773" s="2" t="s">
        <v>38</v>
      </c>
      <c r="Q773" s="2" t="s">
        <v>38</v>
      </c>
      <c r="R773" s="2" t="s">
        <v>38</v>
      </c>
      <c r="S773" s="2" t="s">
        <v>38</v>
      </c>
      <c r="T773" s="2" t="s">
        <v>39</v>
      </c>
      <c r="U773" s="2" t="s">
        <v>38</v>
      </c>
      <c r="V773" s="2" t="s">
        <v>39</v>
      </c>
      <c r="W773" s="2" t="s">
        <v>38</v>
      </c>
      <c r="X773" s="2" t="s">
        <v>39</v>
      </c>
      <c r="Y773" s="2" t="s">
        <v>38</v>
      </c>
      <c r="Z773" s="2" t="s">
        <v>38</v>
      </c>
      <c r="AA773" s="2" t="s">
        <v>38</v>
      </c>
      <c r="AB773" s="2" t="s">
        <v>38</v>
      </c>
      <c r="AC773" s="2" t="s">
        <v>38</v>
      </c>
      <c r="AD773" s="2" t="s">
        <v>38</v>
      </c>
      <c r="AE773" s="2" t="s">
        <v>39</v>
      </c>
    </row>
    <row r="774" spans="1:31" ht="409.5">
      <c r="A774" s="2">
        <v>2670195</v>
      </c>
      <c r="B774" s="2">
        <f>HYPERLINK("https://platform.v2.vetology.net/cases/2670195/screening-report/18?type=pdf&amp;v=v6&amp;scorecard=1&amp;secret_key=BX%25IJ%24%2F65ieZ%29f6", 2670195)</f>
        <v>2670195</v>
      </c>
      <c r="C774" s="2">
        <f>HYPERLINK("https://platform.v2.vetology.net/report/v/final/"&amp;2670195, 2670195)</f>
        <v>2670195</v>
      </c>
      <c r="D774" s="2" t="s">
        <v>2391</v>
      </c>
      <c r="E774" s="2" t="s">
        <v>2392</v>
      </c>
      <c r="F774" s="2" t="s">
        <v>81</v>
      </c>
      <c r="G774" s="2" t="s">
        <v>268</v>
      </c>
      <c r="H774" s="2" t="s">
        <v>283</v>
      </c>
      <c r="I774" s="2" t="s">
        <v>284</v>
      </c>
      <c r="J774" s="2" t="s">
        <v>285</v>
      </c>
      <c r="K774" s="2" t="s">
        <v>38</v>
      </c>
      <c r="L774" s="2" t="s">
        <v>38</v>
      </c>
      <c r="M774" s="2" t="s">
        <v>38</v>
      </c>
      <c r="N774" s="2" t="s">
        <v>38</v>
      </c>
      <c r="O774" s="2" t="s">
        <v>38</v>
      </c>
      <c r="P774" s="2" t="s">
        <v>38</v>
      </c>
      <c r="Q774" s="2" t="s">
        <v>38</v>
      </c>
      <c r="R774" s="2" t="s">
        <v>38</v>
      </c>
      <c r="S774" s="2" t="s">
        <v>38</v>
      </c>
      <c r="T774" s="2" t="s">
        <v>38</v>
      </c>
      <c r="U774" s="2" t="s">
        <v>38</v>
      </c>
      <c r="V774" s="2" t="s">
        <v>38</v>
      </c>
      <c r="W774" s="2" t="s">
        <v>38</v>
      </c>
      <c r="X774" s="2" t="s">
        <v>38</v>
      </c>
      <c r="Y774" s="2" t="s">
        <v>38</v>
      </c>
      <c r="Z774" s="2" t="s">
        <v>38</v>
      </c>
      <c r="AA774" s="2" t="s">
        <v>38</v>
      </c>
      <c r="AB774" s="2" t="s">
        <v>38</v>
      </c>
      <c r="AC774" s="2" t="s">
        <v>38</v>
      </c>
      <c r="AD774" s="2" t="s">
        <v>38</v>
      </c>
      <c r="AE774" s="2" t="s">
        <v>38</v>
      </c>
    </row>
    <row r="775" spans="1:31" ht="409.5">
      <c r="A775" s="2">
        <v>2670133</v>
      </c>
      <c r="B775" s="2">
        <f>HYPERLINK("https://platform.v2.vetology.net/cases/2670133/screening-report/18?type=pdf&amp;v=v6&amp;scorecard=1&amp;secret_key=BX%25IJ%24%2F65ieZ%29f6", 2670133)</f>
        <v>2670133</v>
      </c>
      <c r="C775" s="2">
        <f>HYPERLINK("https://platform.v2.vetology.net/report/v/final/"&amp;2670133, 2670133)</f>
        <v>2670133</v>
      </c>
      <c r="D775" s="2" t="s">
        <v>2393</v>
      </c>
      <c r="E775" s="2" t="s">
        <v>2394</v>
      </c>
      <c r="F775" s="2" t="s">
        <v>81</v>
      </c>
      <c r="G775" s="2" t="s">
        <v>268</v>
      </c>
      <c r="H775" s="2" t="s">
        <v>54</v>
      </c>
      <c r="I775" s="2" t="s">
        <v>44</v>
      </c>
      <c r="J775" s="2"/>
      <c r="K775" s="2" t="s">
        <v>38</v>
      </c>
      <c r="L775" s="2" t="s">
        <v>39</v>
      </c>
      <c r="M775" s="2" t="s">
        <v>38</v>
      </c>
      <c r="N775" s="2" t="s">
        <v>38</v>
      </c>
      <c r="O775" s="2" t="s">
        <v>38</v>
      </c>
      <c r="P775" s="2" t="s">
        <v>38</v>
      </c>
      <c r="Q775" s="2" t="s">
        <v>38</v>
      </c>
      <c r="R775" s="2" t="s">
        <v>38</v>
      </c>
      <c r="S775" s="2" t="s">
        <v>38</v>
      </c>
      <c r="T775" s="2" t="s">
        <v>38</v>
      </c>
      <c r="U775" s="2" t="s">
        <v>38</v>
      </c>
      <c r="V775" s="2" t="s">
        <v>38</v>
      </c>
      <c r="W775" s="2" t="s">
        <v>38</v>
      </c>
      <c r="X775" s="2" t="s">
        <v>38</v>
      </c>
      <c r="Y775" s="2" t="s">
        <v>38</v>
      </c>
      <c r="Z775" s="2" t="s">
        <v>38</v>
      </c>
      <c r="AA775" s="2" t="s">
        <v>38</v>
      </c>
      <c r="AB775" s="2" t="s">
        <v>38</v>
      </c>
      <c r="AC775" s="2" t="s">
        <v>39</v>
      </c>
      <c r="AD775" s="2" t="s">
        <v>38</v>
      </c>
      <c r="AE775" s="2" t="s">
        <v>38</v>
      </c>
    </row>
    <row r="776" spans="1:31" ht="409.5">
      <c r="A776" s="2">
        <v>2669916</v>
      </c>
      <c r="B776" s="2">
        <f>HYPERLINK("https://platform.v2.vetology.net/cases/2669916/screening-report/18?type=pdf&amp;v=v6&amp;scorecard=1&amp;secret_key=BX%25IJ%24%2F65ieZ%29f6", 2669916)</f>
        <v>2669916</v>
      </c>
      <c r="C776" s="2">
        <f>HYPERLINK("https://platform.v2.vetology.net/report/v/final/"&amp;2669916, 2669916)</f>
        <v>2669916</v>
      </c>
      <c r="D776" s="2" t="s">
        <v>2395</v>
      </c>
      <c r="E776" s="2" t="s">
        <v>2396</v>
      </c>
      <c r="F776" s="2" t="s">
        <v>81</v>
      </c>
      <c r="G776" s="2" t="s">
        <v>268</v>
      </c>
      <c r="H776" s="2" t="s">
        <v>283</v>
      </c>
      <c r="I776" s="2" t="s">
        <v>284</v>
      </c>
      <c r="J776" s="2" t="s">
        <v>285</v>
      </c>
      <c r="K776" s="2" t="s">
        <v>38</v>
      </c>
      <c r="L776" s="2" t="s">
        <v>39</v>
      </c>
      <c r="M776" s="2" t="s">
        <v>38</v>
      </c>
      <c r="N776" s="2" t="s">
        <v>38</v>
      </c>
      <c r="O776" s="2" t="s">
        <v>38</v>
      </c>
      <c r="P776" s="2" t="s">
        <v>38</v>
      </c>
      <c r="Q776" s="2" t="s">
        <v>38</v>
      </c>
      <c r="R776" s="2" t="s">
        <v>38</v>
      </c>
      <c r="S776" s="2" t="s">
        <v>38</v>
      </c>
      <c r="T776" s="2" t="s">
        <v>39</v>
      </c>
      <c r="U776" s="2" t="s">
        <v>38</v>
      </c>
      <c r="V776" s="2" t="s">
        <v>39</v>
      </c>
      <c r="W776" s="2" t="s">
        <v>38</v>
      </c>
      <c r="X776" s="2" t="s">
        <v>39</v>
      </c>
      <c r="Y776" s="2" t="s">
        <v>38</v>
      </c>
      <c r="Z776" s="2" t="s">
        <v>38</v>
      </c>
      <c r="AA776" s="2" t="s">
        <v>38</v>
      </c>
      <c r="AB776" s="2" t="s">
        <v>38</v>
      </c>
      <c r="AC776" s="2" t="s">
        <v>38</v>
      </c>
      <c r="AD776" s="2" t="s">
        <v>38</v>
      </c>
      <c r="AE776" s="2" t="s">
        <v>38</v>
      </c>
    </row>
    <row r="777" spans="1:31" ht="409.5">
      <c r="A777" s="2">
        <v>2669892</v>
      </c>
      <c r="B777" s="2">
        <f>HYPERLINK("https://platform.v2.vetology.net/cases/2669892/screening-report/18?type=pdf&amp;v=v6&amp;scorecard=1&amp;secret_key=BX%25IJ%24%2F65ieZ%29f6", 2669892)</f>
        <v>2669892</v>
      </c>
      <c r="C777" s="2">
        <f>HYPERLINK("https://platform.v2.vetology.net/report/v/final/"&amp;2669892, 2669892)</f>
        <v>2669892</v>
      </c>
      <c r="D777" s="2" t="s">
        <v>2397</v>
      </c>
      <c r="E777" s="2" t="s">
        <v>2398</v>
      </c>
      <c r="F777" s="2" t="s">
        <v>81</v>
      </c>
      <c r="G777" s="2" t="s">
        <v>268</v>
      </c>
      <c r="H777" s="2" t="s">
        <v>78</v>
      </c>
      <c r="I777" s="2" t="s">
        <v>44</v>
      </c>
      <c r="J777" s="2"/>
      <c r="K777" s="2" t="s">
        <v>38</v>
      </c>
      <c r="L777" s="2" t="s">
        <v>38</v>
      </c>
      <c r="M777" s="2" t="s">
        <v>38</v>
      </c>
      <c r="N777" s="2" t="s">
        <v>38</v>
      </c>
      <c r="O777" s="2" t="s">
        <v>38</v>
      </c>
      <c r="P777" s="2" t="s">
        <v>38</v>
      </c>
      <c r="Q777" s="2" t="s">
        <v>38</v>
      </c>
      <c r="R777" s="2" t="s">
        <v>38</v>
      </c>
      <c r="S777" s="2" t="s">
        <v>38</v>
      </c>
      <c r="T777" s="2" t="s">
        <v>38</v>
      </c>
      <c r="U777" s="2" t="s">
        <v>38</v>
      </c>
      <c r="V777" s="2" t="s">
        <v>38</v>
      </c>
      <c r="W777" s="2" t="s">
        <v>38</v>
      </c>
      <c r="X777" s="2" t="s">
        <v>38</v>
      </c>
      <c r="Y777" s="2" t="s">
        <v>38</v>
      </c>
      <c r="Z777" s="2" t="s">
        <v>38</v>
      </c>
      <c r="AA777" s="2" t="s">
        <v>38</v>
      </c>
      <c r="AB777" s="2" t="s">
        <v>38</v>
      </c>
      <c r="AC777" s="2" t="s">
        <v>38</v>
      </c>
      <c r="AD777" s="2" t="s">
        <v>38</v>
      </c>
      <c r="AE777" s="2" t="s">
        <v>38</v>
      </c>
    </row>
    <row r="778" spans="1:31" ht="409.5">
      <c r="A778" s="2">
        <v>2669880</v>
      </c>
      <c r="B778" s="2">
        <f>HYPERLINK("https://platform.v2.vetology.net/cases/2669880/screening-report/18?type=pdf&amp;v=v6&amp;scorecard=1&amp;secret_key=BX%25IJ%24%2F65ieZ%29f6", 2669880)</f>
        <v>2669880</v>
      </c>
      <c r="C778" s="2">
        <f>HYPERLINK("https://platform.v2.vetology.net/report/v/final/"&amp;2669880, 2669880)</f>
        <v>2669880</v>
      </c>
      <c r="D778" s="2" t="s">
        <v>2399</v>
      </c>
      <c r="E778" s="2" t="s">
        <v>2400</v>
      </c>
      <c r="F778" s="2" t="s">
        <v>2401</v>
      </c>
      <c r="G778" s="2" t="s">
        <v>70</v>
      </c>
      <c r="H778" s="2" t="s">
        <v>166</v>
      </c>
      <c r="I778" s="2" t="s">
        <v>167</v>
      </c>
      <c r="J778" s="2" t="s">
        <v>168</v>
      </c>
      <c r="K778" s="2" t="s">
        <v>38</v>
      </c>
      <c r="L778" s="2" t="s">
        <v>39</v>
      </c>
      <c r="M778" s="2" t="s">
        <v>39</v>
      </c>
      <c r="N778" s="2" t="s">
        <v>38</v>
      </c>
      <c r="O778" s="2" t="s">
        <v>39</v>
      </c>
      <c r="P778" s="2" t="s">
        <v>38</v>
      </c>
      <c r="Q778" s="2" t="s">
        <v>38</v>
      </c>
      <c r="R778" s="2" t="s">
        <v>38</v>
      </c>
      <c r="S778" s="2" t="s">
        <v>39</v>
      </c>
      <c r="T778" s="2" t="s">
        <v>39</v>
      </c>
      <c r="U778" s="2" t="s">
        <v>39</v>
      </c>
      <c r="V778" s="2" t="s">
        <v>39</v>
      </c>
      <c r="W778" s="2" t="s">
        <v>38</v>
      </c>
      <c r="X778" s="2" t="s">
        <v>39</v>
      </c>
      <c r="Y778" s="2" t="s">
        <v>38</v>
      </c>
      <c r="Z778" s="2" t="s">
        <v>38</v>
      </c>
      <c r="AA778" s="2" t="s">
        <v>38</v>
      </c>
      <c r="AB778" s="2" t="s">
        <v>38</v>
      </c>
      <c r="AC778" s="2" t="s">
        <v>38</v>
      </c>
      <c r="AD778" s="2" t="s">
        <v>38</v>
      </c>
      <c r="AE778" s="2" t="s">
        <v>38</v>
      </c>
    </row>
    <row r="779" spans="1:31" ht="409.5">
      <c r="A779" s="2">
        <v>2669774</v>
      </c>
      <c r="B779" s="2">
        <f>HYPERLINK("https://platform.v2.vetology.net/cases/2669774/screening-report/18?type=pdf&amp;v=v6&amp;scorecard=1&amp;secret_key=BX%25IJ%24%2F65ieZ%29f6", 2669774)</f>
        <v>2669774</v>
      </c>
      <c r="C779" s="2">
        <f>HYPERLINK("https://platform.v2.vetology.net/report/v/final/"&amp;2669774, 2669774)</f>
        <v>2669774</v>
      </c>
      <c r="D779" s="2" t="s">
        <v>2402</v>
      </c>
      <c r="E779" s="2" t="s">
        <v>2403</v>
      </c>
      <c r="F779" s="2" t="s">
        <v>81</v>
      </c>
      <c r="G779" s="2" t="s">
        <v>268</v>
      </c>
      <c r="H779" s="2" t="s">
        <v>1155</v>
      </c>
      <c r="I779" s="2" t="s">
        <v>1156</v>
      </c>
      <c r="J779" s="2" t="s">
        <v>66</v>
      </c>
      <c r="K779" s="2" t="s">
        <v>38</v>
      </c>
      <c r="L779" s="2" t="s">
        <v>39</v>
      </c>
      <c r="M779" s="2" t="s">
        <v>39</v>
      </c>
      <c r="N779" s="2" t="s">
        <v>38</v>
      </c>
      <c r="O779" s="2" t="s">
        <v>39</v>
      </c>
      <c r="P779" s="2" t="s">
        <v>38</v>
      </c>
      <c r="Q779" s="2" t="s">
        <v>38</v>
      </c>
      <c r="R779" s="2" t="s">
        <v>38</v>
      </c>
      <c r="S779" s="2" t="s">
        <v>39</v>
      </c>
      <c r="T779" s="2" t="s">
        <v>39</v>
      </c>
      <c r="U779" s="2" t="s">
        <v>38</v>
      </c>
      <c r="V779" s="2" t="s">
        <v>39</v>
      </c>
      <c r="W779" s="2" t="s">
        <v>38</v>
      </c>
      <c r="X779" s="2" t="s">
        <v>39</v>
      </c>
      <c r="Y779" s="2" t="s">
        <v>38</v>
      </c>
      <c r="Z779" s="2" t="s">
        <v>39</v>
      </c>
      <c r="AA779" s="2" t="s">
        <v>38</v>
      </c>
      <c r="AB779" s="2" t="s">
        <v>39</v>
      </c>
      <c r="AC779" s="2" t="s">
        <v>38</v>
      </c>
      <c r="AD779" s="2" t="s">
        <v>38</v>
      </c>
      <c r="AE779" s="2" t="s">
        <v>38</v>
      </c>
    </row>
    <row r="780" spans="1:31" ht="409.5">
      <c r="A780" s="2">
        <v>2669645</v>
      </c>
      <c r="B780" s="2">
        <f>HYPERLINK("https://platform.v2.vetology.net/cases/2669645/screening-report/18?type=pdf&amp;v=v6&amp;scorecard=1&amp;secret_key=BX%25IJ%24%2F65ieZ%29f6", 2669645)</f>
        <v>2669645</v>
      </c>
      <c r="C780" s="2">
        <f>HYPERLINK("https://platform.v2.vetology.net/report/v/final/"&amp;2669645, 2669645)</f>
        <v>2669645</v>
      </c>
      <c r="D780" s="2" t="s">
        <v>2404</v>
      </c>
      <c r="E780" s="2" t="s">
        <v>2405</v>
      </c>
      <c r="F780" s="2" t="s">
        <v>1751</v>
      </c>
      <c r="G780" s="2" t="s">
        <v>135</v>
      </c>
      <c r="H780" s="2" t="s">
        <v>909</v>
      </c>
      <c r="I780" s="2" t="s">
        <v>84</v>
      </c>
      <c r="J780" s="2" t="s">
        <v>85</v>
      </c>
      <c r="K780" s="2" t="s">
        <v>38</v>
      </c>
      <c r="L780" s="2" t="s">
        <v>38</v>
      </c>
      <c r="M780" s="2" t="s">
        <v>38</v>
      </c>
      <c r="N780" s="2" t="s">
        <v>38</v>
      </c>
      <c r="O780" s="2" t="s">
        <v>38</v>
      </c>
      <c r="P780" s="2" t="s">
        <v>39</v>
      </c>
      <c r="Q780" s="2" t="s">
        <v>38</v>
      </c>
      <c r="R780" s="2" t="s">
        <v>38</v>
      </c>
      <c r="S780" s="2" t="s">
        <v>38</v>
      </c>
      <c r="T780" s="2" t="s">
        <v>38</v>
      </c>
      <c r="U780" s="2" t="s">
        <v>38</v>
      </c>
      <c r="V780" s="2" t="s">
        <v>38</v>
      </c>
      <c r="W780" s="2" t="s">
        <v>38</v>
      </c>
      <c r="X780" s="2" t="s">
        <v>38</v>
      </c>
      <c r="Y780" s="2" t="s">
        <v>38</v>
      </c>
      <c r="Z780" s="2" t="s">
        <v>38</v>
      </c>
      <c r="AA780" s="2" t="s">
        <v>38</v>
      </c>
      <c r="AB780" s="2" t="s">
        <v>38</v>
      </c>
      <c r="AC780" s="2" t="s">
        <v>39</v>
      </c>
      <c r="AD780" s="2" t="s">
        <v>38</v>
      </c>
      <c r="AE780" s="2" t="s">
        <v>38</v>
      </c>
    </row>
    <row r="781" spans="1:31" ht="409.5">
      <c r="A781" s="2">
        <v>2669618</v>
      </c>
      <c r="B781" s="2">
        <f>HYPERLINK("https://platform.v2.vetology.net/cases/2669618/screening-report/18?type=pdf&amp;v=v6&amp;scorecard=1&amp;secret_key=BX%25IJ%24%2F65ieZ%29f6", 2669618)</f>
        <v>2669618</v>
      </c>
      <c r="C781" s="2">
        <f>HYPERLINK("https://platform.v2.vetology.net/report/v/final/"&amp;2669618, 2669618)</f>
        <v>2669618</v>
      </c>
      <c r="D781" s="2" t="s">
        <v>2406</v>
      </c>
      <c r="E781" s="2" t="s">
        <v>2407</v>
      </c>
      <c r="F781" s="2" t="s">
        <v>2408</v>
      </c>
      <c r="G781" s="2" t="s">
        <v>58</v>
      </c>
      <c r="H781" s="2" t="s">
        <v>1261</v>
      </c>
      <c r="I781" s="2" t="s">
        <v>137</v>
      </c>
      <c r="J781" s="2" t="s">
        <v>66</v>
      </c>
      <c r="K781" s="2" t="s">
        <v>38</v>
      </c>
      <c r="L781" s="2" t="s">
        <v>39</v>
      </c>
      <c r="M781" s="2" t="s">
        <v>38</v>
      </c>
      <c r="N781" s="2" t="s">
        <v>38</v>
      </c>
      <c r="O781" s="2" t="s">
        <v>38</v>
      </c>
      <c r="P781" s="2" t="s">
        <v>39</v>
      </c>
      <c r="Q781" s="2" t="s">
        <v>38</v>
      </c>
      <c r="R781" s="2" t="s">
        <v>38</v>
      </c>
      <c r="S781" s="2" t="s">
        <v>38</v>
      </c>
      <c r="T781" s="2" t="s">
        <v>38</v>
      </c>
      <c r="U781" s="2" t="s">
        <v>38</v>
      </c>
      <c r="V781" s="2" t="s">
        <v>38</v>
      </c>
      <c r="W781" s="2" t="s">
        <v>38</v>
      </c>
      <c r="X781" s="2" t="s">
        <v>38</v>
      </c>
      <c r="Y781" s="2" t="s">
        <v>38</v>
      </c>
      <c r="Z781" s="2" t="s">
        <v>39</v>
      </c>
      <c r="AA781" s="2" t="s">
        <v>38</v>
      </c>
      <c r="AB781" s="2" t="s">
        <v>39</v>
      </c>
      <c r="AC781" s="2" t="s">
        <v>39</v>
      </c>
      <c r="AD781" s="2" t="s">
        <v>38</v>
      </c>
      <c r="AE781" s="2" t="s">
        <v>38</v>
      </c>
    </row>
    <row r="782" spans="1:31" ht="409.5">
      <c r="A782" s="2">
        <v>2669481</v>
      </c>
      <c r="B782" s="2">
        <f>HYPERLINK("https://platform.v2.vetology.net/cases/2669481/screening-report/18?type=pdf&amp;v=v6&amp;scorecard=1&amp;secret_key=BX%25IJ%24%2F65ieZ%29f6", 2669481)</f>
        <v>2669481</v>
      </c>
      <c r="C782" s="2">
        <f>HYPERLINK("https://platform.v2.vetology.net/report/v/final/"&amp;2669481, 2669481)</f>
        <v>2669481</v>
      </c>
      <c r="D782" s="2" t="s">
        <v>2409</v>
      </c>
      <c r="E782" s="2" t="s">
        <v>2410</v>
      </c>
      <c r="F782" s="2" t="s">
        <v>2411</v>
      </c>
      <c r="G782" s="2" t="s">
        <v>135</v>
      </c>
      <c r="H782" s="2" t="s">
        <v>488</v>
      </c>
      <c r="I782" s="2" t="s">
        <v>89</v>
      </c>
      <c r="J782" s="2" t="s">
        <v>66</v>
      </c>
      <c r="K782" s="2" t="s">
        <v>38</v>
      </c>
      <c r="L782" s="2" t="s">
        <v>38</v>
      </c>
      <c r="M782" s="2" t="s">
        <v>38</v>
      </c>
      <c r="N782" s="2" t="s">
        <v>38</v>
      </c>
      <c r="O782" s="2" t="s">
        <v>38</v>
      </c>
      <c r="P782" s="2" t="s">
        <v>38</v>
      </c>
      <c r="Q782" s="2" t="s">
        <v>38</v>
      </c>
      <c r="R782" s="2" t="s">
        <v>38</v>
      </c>
      <c r="S782" s="2" t="s">
        <v>38</v>
      </c>
      <c r="T782" s="2" t="s">
        <v>39</v>
      </c>
      <c r="U782" s="2" t="s">
        <v>38</v>
      </c>
      <c r="V782" s="2" t="s">
        <v>38</v>
      </c>
      <c r="W782" s="2" t="s">
        <v>38</v>
      </c>
      <c r="X782" s="2" t="s">
        <v>39</v>
      </c>
      <c r="Y782" s="2" t="s">
        <v>38</v>
      </c>
      <c r="Z782" s="2" t="s">
        <v>38</v>
      </c>
      <c r="AA782" s="2" t="s">
        <v>38</v>
      </c>
      <c r="AB782" s="2" t="s">
        <v>39</v>
      </c>
      <c r="AC782" s="2" t="s">
        <v>38</v>
      </c>
      <c r="AD782" s="2" t="s">
        <v>38</v>
      </c>
      <c r="AE782" s="2" t="s">
        <v>39</v>
      </c>
    </row>
    <row r="783" spans="1:31" ht="409.5">
      <c r="A783" s="2">
        <v>2669395</v>
      </c>
      <c r="B783" s="2">
        <f>HYPERLINK("https://platform.v2.vetology.net/cases/2669395/screening-report/18?type=pdf&amp;v=v6&amp;scorecard=1&amp;secret_key=BX%25IJ%24%2F65ieZ%29f6", 2669395)</f>
        <v>2669395</v>
      </c>
      <c r="C783" s="2">
        <f>HYPERLINK("https://platform.v2.vetology.net/report/v/final/"&amp;2669395, 2669395)</f>
        <v>2669395</v>
      </c>
      <c r="D783" s="2" t="s">
        <v>608</v>
      </c>
      <c r="E783" s="2" t="s">
        <v>617</v>
      </c>
      <c r="F783" s="2" t="s">
        <v>1780</v>
      </c>
      <c r="G783" s="2" t="s">
        <v>135</v>
      </c>
      <c r="H783" s="2" t="s">
        <v>1180</v>
      </c>
      <c r="I783" s="2" t="s">
        <v>158</v>
      </c>
      <c r="J783" s="2" t="s">
        <v>50</v>
      </c>
      <c r="K783" s="2" t="s">
        <v>38</v>
      </c>
      <c r="L783" s="2" t="s">
        <v>39</v>
      </c>
      <c r="M783" s="2" t="s">
        <v>39</v>
      </c>
      <c r="N783" s="2" t="s">
        <v>39</v>
      </c>
      <c r="O783" s="2" t="s">
        <v>38</v>
      </c>
      <c r="P783" s="2" t="s">
        <v>39</v>
      </c>
      <c r="Q783" s="2" t="s">
        <v>38</v>
      </c>
      <c r="R783" s="2" t="s">
        <v>38</v>
      </c>
      <c r="S783" s="2" t="s">
        <v>38</v>
      </c>
      <c r="T783" s="2" t="s">
        <v>38</v>
      </c>
      <c r="U783" s="2" t="s">
        <v>38</v>
      </c>
      <c r="V783" s="2" t="s">
        <v>38</v>
      </c>
      <c r="W783" s="2" t="s">
        <v>38</v>
      </c>
      <c r="X783" s="2" t="s">
        <v>38</v>
      </c>
      <c r="Y783" s="2" t="s">
        <v>38</v>
      </c>
      <c r="Z783" s="2" t="s">
        <v>38</v>
      </c>
      <c r="AA783" s="2" t="s">
        <v>38</v>
      </c>
      <c r="AB783" s="2" t="s">
        <v>39</v>
      </c>
      <c r="AC783" s="2" t="s">
        <v>38</v>
      </c>
      <c r="AD783" s="2" t="s">
        <v>38</v>
      </c>
      <c r="AE783" s="2" t="s">
        <v>38</v>
      </c>
    </row>
    <row r="784" spans="1:31" ht="409.5">
      <c r="A784" s="2">
        <v>2669392</v>
      </c>
      <c r="B784" s="2">
        <f>HYPERLINK("https://platform.v2.vetology.net/cases/2669392/screening-report/18?type=pdf&amp;v=v6&amp;scorecard=1&amp;secret_key=BX%25IJ%24%2F65ieZ%29f6", 2669392)</f>
        <v>2669392</v>
      </c>
      <c r="C784" s="2">
        <f>HYPERLINK("https://platform.v2.vetology.net/report/v/final/"&amp;2669392, 2669392)</f>
        <v>2669392</v>
      </c>
      <c r="D784" s="2" t="s">
        <v>2412</v>
      </c>
      <c r="E784" s="2" t="s">
        <v>2413</v>
      </c>
      <c r="F784" s="2" t="s">
        <v>2414</v>
      </c>
      <c r="G784" s="2" t="s">
        <v>93</v>
      </c>
      <c r="H784" s="2" t="s">
        <v>78</v>
      </c>
      <c r="I784" s="2" t="s">
        <v>44</v>
      </c>
      <c r="J784" s="2"/>
      <c r="K784" s="2" t="s">
        <v>38</v>
      </c>
      <c r="L784" s="2" t="s">
        <v>38</v>
      </c>
      <c r="M784" s="2" t="s">
        <v>39</v>
      </c>
      <c r="N784" s="2" t="s">
        <v>38</v>
      </c>
      <c r="O784" s="2" t="s">
        <v>38</v>
      </c>
      <c r="P784" s="2" t="s">
        <v>38</v>
      </c>
      <c r="Q784" s="2" t="s">
        <v>38</v>
      </c>
      <c r="R784" s="2" t="s">
        <v>38</v>
      </c>
      <c r="S784" s="2" t="s">
        <v>38</v>
      </c>
      <c r="T784" s="2" t="s">
        <v>38</v>
      </c>
      <c r="U784" s="2" t="s">
        <v>38</v>
      </c>
      <c r="V784" s="2" t="s">
        <v>38</v>
      </c>
      <c r="W784" s="2" t="s">
        <v>38</v>
      </c>
      <c r="X784" s="2" t="s">
        <v>38</v>
      </c>
      <c r="Y784" s="2" t="s">
        <v>38</v>
      </c>
      <c r="Z784" s="2" t="s">
        <v>38</v>
      </c>
      <c r="AA784" s="2" t="s">
        <v>38</v>
      </c>
      <c r="AB784" s="2" t="s">
        <v>38</v>
      </c>
      <c r="AC784" s="2" t="s">
        <v>38</v>
      </c>
      <c r="AD784" s="2" t="s">
        <v>38</v>
      </c>
      <c r="AE784" s="2" t="s">
        <v>38</v>
      </c>
    </row>
    <row r="785" spans="1:31" ht="409.5">
      <c r="A785" s="2">
        <v>2669087</v>
      </c>
      <c r="B785" s="2">
        <f>HYPERLINK("https://platform.v2.vetology.net/cases/2669087/screening-report/18?type=pdf&amp;v=v6&amp;scorecard=1&amp;secret_key=BX%25IJ%24%2F65ieZ%29f6", 2669087)</f>
        <v>2669087</v>
      </c>
      <c r="C785" s="2">
        <f>HYPERLINK("https://platform.v2.vetology.net/report/v/final/"&amp;2669087, 2669087)</f>
        <v>2669087</v>
      </c>
      <c r="D785" s="2" t="s">
        <v>414</v>
      </c>
      <c r="E785" s="2" t="s">
        <v>1093</v>
      </c>
      <c r="F785" s="2" t="s">
        <v>2415</v>
      </c>
      <c r="G785" s="2" t="s">
        <v>135</v>
      </c>
      <c r="H785" s="2" t="s">
        <v>78</v>
      </c>
      <c r="I785" s="2" t="s">
        <v>44</v>
      </c>
      <c r="J785" s="2"/>
      <c r="K785" s="2" t="s">
        <v>38</v>
      </c>
      <c r="L785" s="2" t="s">
        <v>39</v>
      </c>
      <c r="M785" s="2" t="s">
        <v>38</v>
      </c>
      <c r="N785" s="2" t="s">
        <v>38</v>
      </c>
      <c r="O785" s="2" t="s">
        <v>38</v>
      </c>
      <c r="P785" s="2" t="s">
        <v>38</v>
      </c>
      <c r="Q785" s="2" t="s">
        <v>38</v>
      </c>
      <c r="R785" s="2" t="s">
        <v>38</v>
      </c>
      <c r="S785" s="2" t="s">
        <v>39</v>
      </c>
      <c r="T785" s="2" t="s">
        <v>39</v>
      </c>
      <c r="U785" s="2" t="s">
        <v>38</v>
      </c>
      <c r="V785" s="2" t="s">
        <v>39</v>
      </c>
      <c r="W785" s="2" t="s">
        <v>38</v>
      </c>
      <c r="X785" s="2" t="s">
        <v>39</v>
      </c>
      <c r="Y785" s="2" t="s">
        <v>38</v>
      </c>
      <c r="Z785" s="2" t="s">
        <v>38</v>
      </c>
      <c r="AA785" s="2" t="s">
        <v>38</v>
      </c>
      <c r="AB785" s="2" t="s">
        <v>39</v>
      </c>
      <c r="AC785" s="2" t="s">
        <v>38</v>
      </c>
      <c r="AD785" s="2" t="s">
        <v>38</v>
      </c>
      <c r="AE785" s="2" t="s">
        <v>38</v>
      </c>
    </row>
    <row r="786" spans="1:31" ht="409.5">
      <c r="A786" s="2">
        <v>2668915</v>
      </c>
      <c r="B786" s="2">
        <f>HYPERLINK("https://platform.v2.vetology.net/cases/2668915/screening-report/18?type=pdf&amp;v=v6&amp;scorecard=1&amp;secret_key=BX%25IJ%24%2F65ieZ%29f6", 2668915)</f>
        <v>2668915</v>
      </c>
      <c r="C786" s="2">
        <f>HYPERLINK("https://platform.v2.vetology.net/report/v/final/"&amp;2668915, 2668915)</f>
        <v>2668915</v>
      </c>
      <c r="D786" s="2" t="s">
        <v>2088</v>
      </c>
      <c r="E786" s="2" t="s">
        <v>387</v>
      </c>
      <c r="F786" s="2" t="s">
        <v>149</v>
      </c>
      <c r="G786" s="2" t="s">
        <v>150</v>
      </c>
      <c r="H786" s="2" t="s">
        <v>1301</v>
      </c>
      <c r="I786" s="2" t="s">
        <v>1118</v>
      </c>
      <c r="J786" s="2" t="s">
        <v>1119</v>
      </c>
      <c r="K786" s="2" t="s">
        <v>38</v>
      </c>
      <c r="L786" s="2" t="s">
        <v>38</v>
      </c>
      <c r="M786" s="2" t="s">
        <v>39</v>
      </c>
      <c r="N786" s="2" t="s">
        <v>38</v>
      </c>
      <c r="O786" s="2" t="s">
        <v>38</v>
      </c>
      <c r="P786" s="2" t="s">
        <v>38</v>
      </c>
      <c r="Q786" s="2" t="s">
        <v>38</v>
      </c>
      <c r="R786" s="2" t="s">
        <v>38</v>
      </c>
      <c r="S786" s="2" t="s">
        <v>39</v>
      </c>
      <c r="T786" s="2" t="s">
        <v>38</v>
      </c>
      <c r="U786" s="2" t="s">
        <v>38</v>
      </c>
      <c r="V786" s="2" t="s">
        <v>38</v>
      </c>
      <c r="W786" s="2" t="s">
        <v>38</v>
      </c>
      <c r="X786" s="2" t="s">
        <v>38</v>
      </c>
      <c r="Y786" s="2" t="s">
        <v>38</v>
      </c>
      <c r="Z786" s="2" t="s">
        <v>38</v>
      </c>
      <c r="AA786" s="2" t="s">
        <v>38</v>
      </c>
      <c r="AB786" s="2" t="s">
        <v>38</v>
      </c>
      <c r="AC786" s="2" t="s">
        <v>38</v>
      </c>
      <c r="AD786" s="2" t="s">
        <v>38</v>
      </c>
      <c r="AE786" s="2" t="s">
        <v>38</v>
      </c>
    </row>
    <row r="787" spans="1:31" ht="409.5">
      <c r="A787" s="2">
        <v>2668894</v>
      </c>
      <c r="B787" s="2">
        <f>HYPERLINK("https://platform.v2.vetology.net/cases/2668894/screening-report/18?type=pdf&amp;v=v6&amp;scorecard=1&amp;secret_key=BX%25IJ%24%2F65ieZ%29f6", 2668894)</f>
        <v>2668894</v>
      </c>
      <c r="C787" s="2">
        <f>HYPERLINK("https://platform.v2.vetology.net/report/v/final/"&amp;2668894, 2668894)</f>
        <v>2668894</v>
      </c>
      <c r="D787" s="2" t="s">
        <v>2416</v>
      </c>
      <c r="E787" s="2" t="s">
        <v>2417</v>
      </c>
      <c r="F787" s="2" t="s">
        <v>2418</v>
      </c>
      <c r="G787" s="2" t="s">
        <v>212</v>
      </c>
      <c r="H787" s="2" t="s">
        <v>2419</v>
      </c>
      <c r="I787" s="2" t="s">
        <v>418</v>
      </c>
      <c r="J787" s="2" t="s">
        <v>419</v>
      </c>
      <c r="K787" s="2" t="s">
        <v>38</v>
      </c>
      <c r="L787" s="2" t="s">
        <v>38</v>
      </c>
      <c r="M787" s="2" t="s">
        <v>38</v>
      </c>
      <c r="N787" s="2" t="s">
        <v>38</v>
      </c>
      <c r="O787" s="2" t="s">
        <v>38</v>
      </c>
      <c r="P787" s="2" t="s">
        <v>38</v>
      </c>
      <c r="Q787" s="2" t="s">
        <v>38</v>
      </c>
      <c r="R787" s="2" t="s">
        <v>38</v>
      </c>
      <c r="S787" s="2" t="s">
        <v>38</v>
      </c>
      <c r="T787" s="2" t="s">
        <v>39</v>
      </c>
      <c r="U787" s="2" t="s">
        <v>38</v>
      </c>
      <c r="V787" s="2" t="s">
        <v>38</v>
      </c>
      <c r="W787" s="2" t="s">
        <v>38</v>
      </c>
      <c r="X787" s="2" t="s">
        <v>39</v>
      </c>
      <c r="Y787" s="2" t="s">
        <v>38</v>
      </c>
      <c r="Z787" s="2" t="s">
        <v>38</v>
      </c>
      <c r="AA787" s="2" t="s">
        <v>38</v>
      </c>
      <c r="AB787" s="2" t="s">
        <v>38</v>
      </c>
      <c r="AC787" s="2" t="s">
        <v>38</v>
      </c>
      <c r="AD787" s="2" t="s">
        <v>38</v>
      </c>
      <c r="AE787" s="2" t="s">
        <v>38</v>
      </c>
    </row>
    <row r="788" spans="1:31" ht="409.5">
      <c r="A788" s="2">
        <v>2668845</v>
      </c>
      <c r="B788" s="2">
        <f>HYPERLINK("https://platform.v2.vetology.net/cases/2668845/screening-report/18?type=pdf&amp;v=v6&amp;scorecard=1&amp;secret_key=BX%25IJ%24%2F65ieZ%29f6", 2668845)</f>
        <v>2668845</v>
      </c>
      <c r="C788" s="2">
        <f>HYPERLINK("https://platform.v2.vetology.net/report/v/final/"&amp;2668845, 2668845)</f>
        <v>2668845</v>
      </c>
      <c r="D788" s="2" t="s">
        <v>1974</v>
      </c>
      <c r="E788" s="2" t="s">
        <v>1590</v>
      </c>
      <c r="F788" s="2" t="s">
        <v>149</v>
      </c>
      <c r="G788" s="2" t="s">
        <v>150</v>
      </c>
      <c r="H788" s="2" t="s">
        <v>1684</v>
      </c>
      <c r="I788" s="2" t="s">
        <v>214</v>
      </c>
      <c r="J788" s="2" t="s">
        <v>50</v>
      </c>
      <c r="K788" s="2" t="s">
        <v>38</v>
      </c>
      <c r="L788" s="2" t="s">
        <v>38</v>
      </c>
      <c r="M788" s="2" t="s">
        <v>38</v>
      </c>
      <c r="N788" s="2" t="s">
        <v>38</v>
      </c>
      <c r="O788" s="2" t="s">
        <v>38</v>
      </c>
      <c r="P788" s="2" t="s">
        <v>39</v>
      </c>
      <c r="Q788" s="2" t="s">
        <v>38</v>
      </c>
      <c r="R788" s="2" t="s">
        <v>38</v>
      </c>
      <c r="S788" s="2" t="s">
        <v>38</v>
      </c>
      <c r="T788" s="2" t="s">
        <v>38</v>
      </c>
      <c r="U788" s="2" t="s">
        <v>38</v>
      </c>
      <c r="V788" s="2" t="s">
        <v>38</v>
      </c>
      <c r="W788" s="2" t="s">
        <v>38</v>
      </c>
      <c r="X788" s="2" t="s">
        <v>38</v>
      </c>
      <c r="Y788" s="2" t="s">
        <v>38</v>
      </c>
      <c r="Z788" s="2" t="s">
        <v>38</v>
      </c>
      <c r="AA788" s="2" t="s">
        <v>38</v>
      </c>
      <c r="AB788" s="2" t="s">
        <v>38</v>
      </c>
      <c r="AC788" s="2" t="s">
        <v>38</v>
      </c>
      <c r="AD788" s="2" t="s">
        <v>38</v>
      </c>
      <c r="AE788" s="2" t="s">
        <v>38</v>
      </c>
    </row>
    <row r="789" spans="1:31" ht="409.5">
      <c r="A789" s="2">
        <v>2668725</v>
      </c>
      <c r="B789" s="2">
        <f>HYPERLINK("https://platform.v2.vetology.net/cases/2668725/screening-report/18?type=pdf&amp;v=v6&amp;scorecard=1&amp;secret_key=BX%25IJ%24%2F65ieZ%29f6", 2668725)</f>
        <v>2668725</v>
      </c>
      <c r="C789" s="2">
        <f>HYPERLINK("https://platform.v2.vetology.net/report/v/final/"&amp;2668725, 2668725)</f>
        <v>2668725</v>
      </c>
      <c r="D789" s="2" t="s">
        <v>2420</v>
      </c>
      <c r="E789" s="2" t="s">
        <v>2421</v>
      </c>
      <c r="F789" s="2" t="s">
        <v>2422</v>
      </c>
      <c r="G789" s="2" t="s">
        <v>93</v>
      </c>
      <c r="H789" s="2" t="s">
        <v>101</v>
      </c>
      <c r="I789" s="2" t="s">
        <v>44</v>
      </c>
      <c r="J789" s="2"/>
      <c r="K789" s="2" t="s">
        <v>38</v>
      </c>
      <c r="L789" s="2" t="s">
        <v>39</v>
      </c>
      <c r="M789" s="2" t="s">
        <v>38</v>
      </c>
      <c r="N789" s="2" t="s">
        <v>38</v>
      </c>
      <c r="O789" s="2" t="s">
        <v>38</v>
      </c>
      <c r="P789" s="2" t="s">
        <v>38</v>
      </c>
      <c r="Q789" s="2" t="s">
        <v>38</v>
      </c>
      <c r="R789" s="2" t="s">
        <v>38</v>
      </c>
      <c r="S789" s="2" t="s">
        <v>38</v>
      </c>
      <c r="T789" s="2" t="s">
        <v>38</v>
      </c>
      <c r="U789" s="2" t="s">
        <v>38</v>
      </c>
      <c r="V789" s="2" t="s">
        <v>38</v>
      </c>
      <c r="W789" s="2" t="s">
        <v>38</v>
      </c>
      <c r="X789" s="2" t="s">
        <v>38</v>
      </c>
      <c r="Y789" s="2" t="s">
        <v>38</v>
      </c>
      <c r="Z789" s="2" t="s">
        <v>38</v>
      </c>
      <c r="AA789" s="2" t="s">
        <v>38</v>
      </c>
      <c r="AB789" s="2" t="s">
        <v>38</v>
      </c>
      <c r="AC789" s="2" t="s">
        <v>38</v>
      </c>
      <c r="AD789" s="2" t="s">
        <v>38</v>
      </c>
      <c r="AE789" s="2" t="s">
        <v>39</v>
      </c>
    </row>
    <row r="790" spans="1:31" ht="409.5">
      <c r="A790" s="2">
        <v>2668697</v>
      </c>
      <c r="B790" s="2">
        <f>HYPERLINK("https://platform.v2.vetology.net/cases/2668697/screening-report/18?type=pdf&amp;v=v6&amp;scorecard=1&amp;secret_key=BX%25IJ%24%2F65ieZ%29f6", 2668697)</f>
        <v>2668697</v>
      </c>
      <c r="C790" s="2">
        <f>HYPERLINK("https://platform.v2.vetology.net/report/v/final/"&amp;2668697, 2668697)</f>
        <v>2668697</v>
      </c>
      <c r="D790" s="2" t="s">
        <v>2423</v>
      </c>
      <c r="E790" s="2" t="s">
        <v>2424</v>
      </c>
      <c r="F790" s="2" t="s">
        <v>81</v>
      </c>
      <c r="G790" s="2" t="s">
        <v>82</v>
      </c>
      <c r="H790" s="2" t="s">
        <v>937</v>
      </c>
      <c r="I790" s="2" t="s">
        <v>418</v>
      </c>
      <c r="J790" s="2" t="s">
        <v>419</v>
      </c>
      <c r="K790" s="2" t="s">
        <v>39</v>
      </c>
      <c r="L790" s="2" t="s">
        <v>39</v>
      </c>
      <c r="M790" s="2" t="s">
        <v>39</v>
      </c>
      <c r="N790" s="2" t="s">
        <v>38</v>
      </c>
      <c r="O790" s="2" t="s">
        <v>38</v>
      </c>
      <c r="P790" s="2" t="s">
        <v>39</v>
      </c>
      <c r="Q790" s="2" t="s">
        <v>38</v>
      </c>
      <c r="R790" s="2" t="s">
        <v>38</v>
      </c>
      <c r="S790" s="2" t="s">
        <v>39</v>
      </c>
      <c r="T790" s="2" t="s">
        <v>38</v>
      </c>
      <c r="U790" s="2" t="s">
        <v>39</v>
      </c>
      <c r="V790" s="2" t="s">
        <v>38</v>
      </c>
      <c r="W790" s="2" t="s">
        <v>38</v>
      </c>
      <c r="X790" s="2" t="s">
        <v>38</v>
      </c>
      <c r="Y790" s="2" t="s">
        <v>38</v>
      </c>
      <c r="Z790" s="2" t="s">
        <v>39</v>
      </c>
      <c r="AA790" s="2" t="s">
        <v>38</v>
      </c>
      <c r="AB790" s="2" t="s">
        <v>38</v>
      </c>
      <c r="AC790" s="2" t="s">
        <v>39</v>
      </c>
      <c r="AD790" s="2" t="s">
        <v>38</v>
      </c>
      <c r="AE790" s="2" t="s">
        <v>38</v>
      </c>
    </row>
    <row r="791" spans="1:31" ht="409.5">
      <c r="A791" s="2">
        <v>2668560</v>
      </c>
      <c r="B791" s="2">
        <f>HYPERLINK("https://platform.v2.vetology.net/cases/2668560/screening-report/18?type=pdf&amp;v=v6&amp;scorecard=1&amp;secret_key=BX%25IJ%24%2F65ieZ%29f6", 2668560)</f>
        <v>2668560</v>
      </c>
      <c r="C791" s="2">
        <f>HYPERLINK("https://platform.v2.vetology.net/report/v/final/"&amp;2668560, 2668560)</f>
        <v>2668560</v>
      </c>
      <c r="D791" s="2" t="s">
        <v>2425</v>
      </c>
      <c r="E791" s="2" t="s">
        <v>2426</v>
      </c>
      <c r="F791" s="2" t="s">
        <v>2427</v>
      </c>
      <c r="G791" s="2" t="s">
        <v>63</v>
      </c>
      <c r="H791" s="2" t="s">
        <v>78</v>
      </c>
      <c r="I791" s="2" t="s">
        <v>44</v>
      </c>
      <c r="J791" s="2" t="s">
        <v>106</v>
      </c>
      <c r="K791" s="2" t="s">
        <v>38</v>
      </c>
      <c r="L791" s="2" t="s">
        <v>39</v>
      </c>
      <c r="M791" s="2" t="s">
        <v>38</v>
      </c>
      <c r="N791" s="2" t="s">
        <v>38</v>
      </c>
      <c r="O791" s="2" t="s">
        <v>38</v>
      </c>
      <c r="P791" s="2" t="s">
        <v>38</v>
      </c>
      <c r="Q791" s="2" t="s">
        <v>38</v>
      </c>
      <c r="R791" s="2" t="s">
        <v>38</v>
      </c>
      <c r="S791" s="2" t="s">
        <v>38</v>
      </c>
      <c r="T791" s="2" t="s">
        <v>39</v>
      </c>
      <c r="U791" s="2" t="s">
        <v>38</v>
      </c>
      <c r="V791" s="2" t="s">
        <v>38</v>
      </c>
      <c r="W791" s="2" t="s">
        <v>38</v>
      </c>
      <c r="X791" s="2" t="s">
        <v>39</v>
      </c>
      <c r="Y791" s="2" t="s">
        <v>38</v>
      </c>
      <c r="Z791" s="2" t="s">
        <v>38</v>
      </c>
      <c r="AA791" s="2" t="s">
        <v>38</v>
      </c>
      <c r="AB791" s="2" t="s">
        <v>38</v>
      </c>
      <c r="AC791" s="2" t="s">
        <v>38</v>
      </c>
      <c r="AD791" s="2" t="s">
        <v>38</v>
      </c>
      <c r="AE791" s="2" t="s">
        <v>38</v>
      </c>
    </row>
    <row r="792" spans="1:31" ht="409.5">
      <c r="A792" s="2">
        <v>2668530</v>
      </c>
      <c r="B792" s="2">
        <f>HYPERLINK("https://platform.v2.vetology.net/cases/2668530/screening-report/18?type=pdf&amp;v=v6&amp;scorecard=1&amp;secret_key=BX%25IJ%24%2F65ieZ%29f6", 2668530)</f>
        <v>2668530</v>
      </c>
      <c r="C792" s="2">
        <f>HYPERLINK("https://platform.v2.vetology.net/report/v/final/"&amp;2668530, 2668530)</f>
        <v>2668530</v>
      </c>
      <c r="D792" s="2" t="s">
        <v>2428</v>
      </c>
      <c r="E792" s="2" t="s">
        <v>2429</v>
      </c>
      <c r="F792" s="2" t="s">
        <v>2430</v>
      </c>
      <c r="G792" s="2" t="s">
        <v>464</v>
      </c>
      <c r="H792" s="2" t="s">
        <v>2431</v>
      </c>
      <c r="I792" s="2" t="s">
        <v>89</v>
      </c>
      <c r="J792" s="2" t="s">
        <v>66</v>
      </c>
      <c r="K792" s="2" t="s">
        <v>38</v>
      </c>
      <c r="L792" s="2" t="s">
        <v>38</v>
      </c>
      <c r="M792" s="2" t="s">
        <v>38</v>
      </c>
      <c r="N792" s="2" t="s">
        <v>38</v>
      </c>
      <c r="O792" s="2" t="s">
        <v>38</v>
      </c>
      <c r="P792" s="2" t="s">
        <v>38</v>
      </c>
      <c r="Q792" s="2" t="s">
        <v>38</v>
      </c>
      <c r="R792" s="2" t="s">
        <v>38</v>
      </c>
      <c r="S792" s="2" t="s">
        <v>38</v>
      </c>
      <c r="T792" s="2" t="s">
        <v>38</v>
      </c>
      <c r="U792" s="2" t="s">
        <v>38</v>
      </c>
      <c r="V792" s="2" t="s">
        <v>38</v>
      </c>
      <c r="W792" s="2" t="s">
        <v>38</v>
      </c>
      <c r="X792" s="2" t="s">
        <v>38</v>
      </c>
      <c r="Y792" s="2" t="s">
        <v>38</v>
      </c>
      <c r="Z792" s="2" t="s">
        <v>38</v>
      </c>
      <c r="AA792" s="2" t="s">
        <v>38</v>
      </c>
      <c r="AB792" s="2" t="s">
        <v>38</v>
      </c>
      <c r="AC792" s="2" t="s">
        <v>38</v>
      </c>
      <c r="AD792" s="2" t="s">
        <v>38</v>
      </c>
      <c r="AE792" s="2" t="s">
        <v>39</v>
      </c>
    </row>
    <row r="793" spans="1:31" ht="409.5">
      <c r="A793" s="2">
        <v>2668453</v>
      </c>
      <c r="B793" s="2">
        <f>HYPERLINK("https://platform.v2.vetology.net/cases/2668453/screening-report/18?type=pdf&amp;v=v6&amp;scorecard=1&amp;secret_key=BX%25IJ%24%2F65ieZ%29f6", 2668453)</f>
        <v>2668453</v>
      </c>
      <c r="C793" s="2">
        <f>HYPERLINK("https://platform.v2.vetology.net/report/v/final/"&amp;2668453, 2668453)</f>
        <v>2668453</v>
      </c>
      <c r="D793" s="2" t="s">
        <v>2432</v>
      </c>
      <c r="E793" s="2" t="s">
        <v>2433</v>
      </c>
      <c r="F793" s="2" t="s">
        <v>2434</v>
      </c>
      <c r="G793" s="2" t="s">
        <v>464</v>
      </c>
      <c r="H793" s="2" t="s">
        <v>360</v>
      </c>
      <c r="I793" s="2" t="s">
        <v>284</v>
      </c>
      <c r="J793" s="2" t="s">
        <v>285</v>
      </c>
      <c r="K793" s="2" t="s">
        <v>38</v>
      </c>
      <c r="L793" s="2" t="s">
        <v>38</v>
      </c>
      <c r="M793" s="2" t="s">
        <v>38</v>
      </c>
      <c r="N793" s="2" t="s">
        <v>38</v>
      </c>
      <c r="O793" s="2" t="s">
        <v>38</v>
      </c>
      <c r="P793" s="2" t="s">
        <v>38</v>
      </c>
      <c r="Q793" s="2" t="s">
        <v>38</v>
      </c>
      <c r="R793" s="2" t="s">
        <v>38</v>
      </c>
      <c r="S793" s="2" t="s">
        <v>38</v>
      </c>
      <c r="T793" s="2" t="s">
        <v>39</v>
      </c>
      <c r="U793" s="2" t="s">
        <v>38</v>
      </c>
      <c r="V793" s="2" t="s">
        <v>39</v>
      </c>
      <c r="W793" s="2" t="s">
        <v>38</v>
      </c>
      <c r="X793" s="2" t="s">
        <v>39</v>
      </c>
      <c r="Y793" s="2" t="s">
        <v>38</v>
      </c>
      <c r="Z793" s="2" t="s">
        <v>38</v>
      </c>
      <c r="AA793" s="2" t="s">
        <v>38</v>
      </c>
      <c r="AB793" s="2" t="s">
        <v>38</v>
      </c>
      <c r="AC793" s="2" t="s">
        <v>38</v>
      </c>
      <c r="AD793" s="2" t="s">
        <v>38</v>
      </c>
      <c r="AE793" s="2" t="s">
        <v>38</v>
      </c>
    </row>
    <row r="794" spans="1:31" ht="409.5">
      <c r="A794" s="2">
        <v>2667884</v>
      </c>
      <c r="B794" s="2">
        <f>HYPERLINK("https://platform.v2.vetology.net/cases/2667884/screening-report/18?type=pdf&amp;v=v6&amp;scorecard=1&amp;secret_key=BX%25IJ%24%2F65ieZ%29f6", 2667884)</f>
        <v>2667884</v>
      </c>
      <c r="C794" s="2">
        <f>HYPERLINK("https://platform.v2.vetology.net/report/v/final/"&amp;2667884, 2667884)</f>
        <v>2667884</v>
      </c>
      <c r="D794" s="2" t="s">
        <v>2435</v>
      </c>
      <c r="E794" s="2" t="s">
        <v>2436</v>
      </c>
      <c r="F794" s="2" t="s">
        <v>81</v>
      </c>
      <c r="G794" s="2" t="s">
        <v>82</v>
      </c>
      <c r="H794" s="2" t="s">
        <v>78</v>
      </c>
      <c r="I794" s="2" t="s">
        <v>44</v>
      </c>
      <c r="J794" s="2" t="s">
        <v>106</v>
      </c>
      <c r="K794" s="2" t="s">
        <v>38</v>
      </c>
      <c r="L794" s="2" t="s">
        <v>38</v>
      </c>
      <c r="M794" s="2" t="s">
        <v>38</v>
      </c>
      <c r="N794" s="2" t="s">
        <v>38</v>
      </c>
      <c r="O794" s="2" t="s">
        <v>38</v>
      </c>
      <c r="P794" s="2" t="s">
        <v>38</v>
      </c>
      <c r="Q794" s="2" t="s">
        <v>38</v>
      </c>
      <c r="R794" s="2" t="s">
        <v>38</v>
      </c>
      <c r="S794" s="2" t="s">
        <v>38</v>
      </c>
      <c r="T794" s="2" t="s">
        <v>38</v>
      </c>
      <c r="U794" s="2" t="s">
        <v>38</v>
      </c>
      <c r="V794" s="2" t="s">
        <v>38</v>
      </c>
      <c r="W794" s="2" t="s">
        <v>38</v>
      </c>
      <c r="X794" s="2" t="s">
        <v>38</v>
      </c>
      <c r="Y794" s="2" t="s">
        <v>38</v>
      </c>
      <c r="Z794" s="2" t="s">
        <v>38</v>
      </c>
      <c r="AA794" s="2" t="s">
        <v>38</v>
      </c>
      <c r="AB794" s="2" t="s">
        <v>39</v>
      </c>
      <c r="AC794" s="2" t="s">
        <v>38</v>
      </c>
      <c r="AD794" s="2" t="s">
        <v>38</v>
      </c>
      <c r="AE794" s="2" t="s">
        <v>38</v>
      </c>
    </row>
    <row r="795" spans="1:31" ht="409.5">
      <c r="A795" s="2">
        <v>2667719</v>
      </c>
      <c r="B795" s="2">
        <f>HYPERLINK("https://platform.v2.vetology.net/cases/2667719/screening-report/18?type=pdf&amp;v=v6&amp;scorecard=1&amp;secret_key=BX%25IJ%24%2F65ieZ%29f6", 2667719)</f>
        <v>2667719</v>
      </c>
      <c r="C795" s="2">
        <f>HYPERLINK("https://platform.v2.vetology.net/report/v/final/"&amp;2667719, 2667719)</f>
        <v>2667719</v>
      </c>
      <c r="D795" s="2" t="s">
        <v>2437</v>
      </c>
      <c r="E795" s="2" t="s">
        <v>2438</v>
      </c>
      <c r="F795" s="2" t="s">
        <v>81</v>
      </c>
      <c r="G795" s="2" t="s">
        <v>82</v>
      </c>
      <c r="H795" s="2" t="s">
        <v>339</v>
      </c>
      <c r="I795" s="2" t="s">
        <v>124</v>
      </c>
      <c r="J795" s="2" t="s">
        <v>125</v>
      </c>
      <c r="K795" s="2" t="s">
        <v>38</v>
      </c>
      <c r="L795" s="2" t="s">
        <v>39</v>
      </c>
      <c r="M795" s="2" t="s">
        <v>39</v>
      </c>
      <c r="N795" s="2" t="s">
        <v>38</v>
      </c>
      <c r="O795" s="2" t="s">
        <v>38</v>
      </c>
      <c r="P795" s="2" t="s">
        <v>38</v>
      </c>
      <c r="Q795" s="2" t="s">
        <v>38</v>
      </c>
      <c r="R795" s="2" t="s">
        <v>38</v>
      </c>
      <c r="S795" s="2" t="s">
        <v>38</v>
      </c>
      <c r="T795" s="2" t="s">
        <v>39</v>
      </c>
      <c r="U795" s="2" t="s">
        <v>38</v>
      </c>
      <c r="V795" s="2" t="s">
        <v>39</v>
      </c>
      <c r="W795" s="2" t="s">
        <v>38</v>
      </c>
      <c r="X795" s="2" t="s">
        <v>39</v>
      </c>
      <c r="Y795" s="2" t="s">
        <v>38</v>
      </c>
      <c r="Z795" s="2" t="s">
        <v>39</v>
      </c>
      <c r="AA795" s="2" t="s">
        <v>38</v>
      </c>
      <c r="AB795" s="2" t="s">
        <v>39</v>
      </c>
      <c r="AC795" s="2" t="s">
        <v>38</v>
      </c>
      <c r="AD795" s="2" t="s">
        <v>38</v>
      </c>
      <c r="AE795" s="2" t="s">
        <v>38</v>
      </c>
    </row>
    <row r="796" spans="1:31" ht="409.5">
      <c r="A796" s="2">
        <v>2667674</v>
      </c>
      <c r="B796" s="2">
        <f>HYPERLINK("https://platform.v2.vetology.net/cases/2667674/screening-report/18?type=pdf&amp;v=v6&amp;scorecard=1&amp;secret_key=BX%25IJ%24%2F65ieZ%29f6", 2667674)</f>
        <v>2667674</v>
      </c>
      <c r="C796" s="2">
        <f>HYPERLINK("https://platform.v2.vetology.net/report/v/final/"&amp;2667674, 2667674)</f>
        <v>2667674</v>
      </c>
      <c r="D796" s="2" t="s">
        <v>2439</v>
      </c>
      <c r="E796" s="2" t="s">
        <v>2440</v>
      </c>
      <c r="F796" s="2" t="s">
        <v>81</v>
      </c>
      <c r="G796" s="2" t="s">
        <v>82</v>
      </c>
      <c r="H796" s="2" t="s">
        <v>2441</v>
      </c>
      <c r="I796" s="2" t="s">
        <v>167</v>
      </c>
      <c r="J796" s="2" t="s">
        <v>168</v>
      </c>
      <c r="K796" s="2" t="s">
        <v>38</v>
      </c>
      <c r="L796" s="2" t="s">
        <v>38</v>
      </c>
      <c r="M796" s="2" t="s">
        <v>39</v>
      </c>
      <c r="N796" s="2" t="s">
        <v>38</v>
      </c>
      <c r="O796" s="2" t="s">
        <v>38</v>
      </c>
      <c r="P796" s="2" t="s">
        <v>38</v>
      </c>
      <c r="Q796" s="2" t="s">
        <v>38</v>
      </c>
      <c r="R796" s="2" t="s">
        <v>38</v>
      </c>
      <c r="S796" s="2" t="s">
        <v>39</v>
      </c>
      <c r="T796" s="2" t="s">
        <v>38</v>
      </c>
      <c r="U796" s="2" t="s">
        <v>39</v>
      </c>
      <c r="V796" s="2" t="s">
        <v>38</v>
      </c>
      <c r="W796" s="2" t="s">
        <v>38</v>
      </c>
      <c r="X796" s="2" t="s">
        <v>38</v>
      </c>
      <c r="Y796" s="2" t="s">
        <v>38</v>
      </c>
      <c r="Z796" s="2" t="s">
        <v>38</v>
      </c>
      <c r="AA796" s="2" t="s">
        <v>38</v>
      </c>
      <c r="AB796" s="2" t="s">
        <v>38</v>
      </c>
      <c r="AC796" s="2" t="s">
        <v>39</v>
      </c>
      <c r="AD796" s="2" t="s">
        <v>38</v>
      </c>
      <c r="AE796" s="2" t="s">
        <v>38</v>
      </c>
    </row>
    <row r="797" spans="1:31" ht="409.5">
      <c r="A797" s="2">
        <v>2667602</v>
      </c>
      <c r="B797" s="2">
        <f>HYPERLINK("https://platform.v2.vetology.net/cases/2667602/screening-report/18?type=pdf&amp;v=v6&amp;scorecard=1&amp;secret_key=BX%25IJ%24%2F65ieZ%29f6", 2667602)</f>
        <v>2667602</v>
      </c>
      <c r="C797" s="2">
        <f>HYPERLINK("https://platform.v2.vetology.net/report/v/final/"&amp;2667602, 2667602)</f>
        <v>2667602</v>
      </c>
      <c r="D797" s="2" t="s">
        <v>2442</v>
      </c>
      <c r="E797" s="2" t="s">
        <v>2443</v>
      </c>
      <c r="F797" s="2" t="s">
        <v>2444</v>
      </c>
      <c r="G797" s="2" t="s">
        <v>58</v>
      </c>
      <c r="H797" s="2" t="s">
        <v>1449</v>
      </c>
      <c r="I797" s="2" t="s">
        <v>284</v>
      </c>
      <c r="J797" s="2" t="s">
        <v>285</v>
      </c>
      <c r="K797" s="2" t="s">
        <v>38</v>
      </c>
      <c r="L797" s="2" t="s">
        <v>39</v>
      </c>
      <c r="M797" s="2" t="s">
        <v>39</v>
      </c>
      <c r="N797" s="2" t="s">
        <v>38</v>
      </c>
      <c r="O797" s="2" t="s">
        <v>38</v>
      </c>
      <c r="P797" s="2" t="s">
        <v>38</v>
      </c>
      <c r="Q797" s="2" t="s">
        <v>38</v>
      </c>
      <c r="R797" s="2" t="s">
        <v>38</v>
      </c>
      <c r="S797" s="2" t="s">
        <v>38</v>
      </c>
      <c r="T797" s="2" t="s">
        <v>39</v>
      </c>
      <c r="U797" s="2" t="s">
        <v>39</v>
      </c>
      <c r="V797" s="2" t="s">
        <v>39</v>
      </c>
      <c r="W797" s="2" t="s">
        <v>38</v>
      </c>
      <c r="X797" s="2" t="s">
        <v>39</v>
      </c>
      <c r="Y797" s="2" t="s">
        <v>38</v>
      </c>
      <c r="Z797" s="2" t="s">
        <v>38</v>
      </c>
      <c r="AA797" s="2" t="s">
        <v>38</v>
      </c>
      <c r="AB797" s="2" t="s">
        <v>38</v>
      </c>
      <c r="AC797" s="2" t="s">
        <v>38</v>
      </c>
      <c r="AD797" s="2" t="s">
        <v>38</v>
      </c>
      <c r="AE797" s="2" t="s">
        <v>38</v>
      </c>
    </row>
    <row r="798" spans="1:31" ht="409.5">
      <c r="A798" s="2">
        <v>2667597</v>
      </c>
      <c r="B798" s="2">
        <f>HYPERLINK("https://platform.v2.vetology.net/cases/2667597/screening-report/18?type=pdf&amp;v=v6&amp;scorecard=1&amp;secret_key=BX%25IJ%24%2F65ieZ%29f6", 2667597)</f>
        <v>2667597</v>
      </c>
      <c r="C798" s="2">
        <f>HYPERLINK("https://platform.v2.vetology.net/report/v/final/"&amp;2667597, 2667597)</f>
        <v>2667597</v>
      </c>
      <c r="D798" s="2" t="s">
        <v>2445</v>
      </c>
      <c r="E798" s="2" t="s">
        <v>2446</v>
      </c>
      <c r="F798" s="2"/>
      <c r="G798" s="2" t="s">
        <v>141</v>
      </c>
      <c r="H798" s="2" t="s">
        <v>78</v>
      </c>
      <c r="I798" s="2" t="s">
        <v>44</v>
      </c>
      <c r="J798" s="2"/>
      <c r="K798" s="2" t="s">
        <v>38</v>
      </c>
      <c r="L798" s="2" t="s">
        <v>38</v>
      </c>
      <c r="M798" s="2" t="s">
        <v>39</v>
      </c>
      <c r="N798" s="2" t="s">
        <v>38</v>
      </c>
      <c r="O798" s="2" t="s">
        <v>38</v>
      </c>
      <c r="P798" s="2" t="s">
        <v>39</v>
      </c>
      <c r="Q798" s="2" t="s">
        <v>38</v>
      </c>
      <c r="R798" s="2" t="s">
        <v>38</v>
      </c>
      <c r="S798" s="2" t="s">
        <v>38</v>
      </c>
      <c r="T798" s="2" t="s">
        <v>39</v>
      </c>
      <c r="U798" s="2" t="s">
        <v>38</v>
      </c>
      <c r="V798" s="2" t="s">
        <v>39</v>
      </c>
      <c r="W798" s="2" t="s">
        <v>38</v>
      </c>
      <c r="X798" s="2" t="s">
        <v>39</v>
      </c>
      <c r="Y798" s="2" t="s">
        <v>38</v>
      </c>
      <c r="Z798" s="2" t="s">
        <v>38</v>
      </c>
      <c r="AA798" s="2" t="s">
        <v>38</v>
      </c>
      <c r="AB798" s="2" t="s">
        <v>38</v>
      </c>
      <c r="AC798" s="2" t="s">
        <v>39</v>
      </c>
      <c r="AD798" s="2" t="s">
        <v>38</v>
      </c>
      <c r="AE798" s="2" t="s">
        <v>38</v>
      </c>
    </row>
    <row r="799" spans="1:31" ht="409.5">
      <c r="A799" s="2">
        <v>2667453</v>
      </c>
      <c r="B799" s="2">
        <f>HYPERLINK("https://platform.v2.vetology.net/cases/2667453/screening-report/18?type=pdf&amp;v=v6&amp;scorecard=1&amp;secret_key=BX%25IJ%24%2F65ieZ%29f6", 2667453)</f>
        <v>2667453</v>
      </c>
      <c r="C799" s="2">
        <f>HYPERLINK("https://platform.v2.vetology.net/report/v/final/"&amp;2667453, 2667453)</f>
        <v>2667453</v>
      </c>
      <c r="D799" s="2" t="s">
        <v>2447</v>
      </c>
      <c r="E799" s="2" t="s">
        <v>2448</v>
      </c>
      <c r="F799" s="2" t="s">
        <v>2449</v>
      </c>
      <c r="G799" s="2" t="s">
        <v>58</v>
      </c>
      <c r="H799" s="2" t="s">
        <v>1110</v>
      </c>
      <c r="I799" s="2" t="s">
        <v>214</v>
      </c>
      <c r="J799" s="2" t="s">
        <v>50</v>
      </c>
      <c r="K799" s="2" t="s">
        <v>38</v>
      </c>
      <c r="L799" s="2" t="s">
        <v>39</v>
      </c>
      <c r="M799" s="2" t="s">
        <v>39</v>
      </c>
      <c r="N799" s="2" t="s">
        <v>38</v>
      </c>
      <c r="O799" s="2" t="s">
        <v>39</v>
      </c>
      <c r="P799" s="2" t="s">
        <v>39</v>
      </c>
      <c r="Q799" s="2" t="s">
        <v>39</v>
      </c>
      <c r="R799" s="2" t="s">
        <v>38</v>
      </c>
      <c r="S799" s="2" t="s">
        <v>38</v>
      </c>
      <c r="T799" s="2" t="s">
        <v>39</v>
      </c>
      <c r="U799" s="2" t="s">
        <v>38</v>
      </c>
      <c r="V799" s="2" t="s">
        <v>38</v>
      </c>
      <c r="W799" s="2" t="s">
        <v>38</v>
      </c>
      <c r="X799" s="2" t="s">
        <v>39</v>
      </c>
      <c r="Y799" s="2" t="s">
        <v>38</v>
      </c>
      <c r="Z799" s="2" t="s">
        <v>38</v>
      </c>
      <c r="AA799" s="2" t="s">
        <v>38</v>
      </c>
      <c r="AB799" s="2" t="s">
        <v>39</v>
      </c>
      <c r="AC799" s="2" t="s">
        <v>39</v>
      </c>
      <c r="AD799" s="2" t="s">
        <v>38</v>
      </c>
      <c r="AE799" s="2" t="s">
        <v>39</v>
      </c>
    </row>
    <row r="800" spans="1:31" ht="409.5">
      <c r="A800" s="2">
        <v>2667274</v>
      </c>
      <c r="B800" s="2">
        <f>HYPERLINK("https://platform.v2.vetology.net/cases/2667274/screening-report/18?type=pdf&amp;v=v6&amp;scorecard=1&amp;secret_key=BX%25IJ%24%2F65ieZ%29f6", 2667274)</f>
        <v>2667274</v>
      </c>
      <c r="C800" s="2">
        <f>HYPERLINK("https://platform.v2.vetology.net/report/v/final/"&amp;2667274, 2667274)</f>
        <v>2667274</v>
      </c>
      <c r="D800" s="2" t="s">
        <v>2450</v>
      </c>
      <c r="E800" s="2" t="s">
        <v>2451</v>
      </c>
      <c r="F800" s="2" t="s">
        <v>1075</v>
      </c>
      <c r="G800" s="2" t="s">
        <v>70</v>
      </c>
      <c r="H800" s="2" t="s">
        <v>71</v>
      </c>
      <c r="I800" s="2" t="s">
        <v>44</v>
      </c>
      <c r="J800" s="2"/>
      <c r="K800" s="2" t="s">
        <v>38</v>
      </c>
      <c r="L800" s="2" t="s">
        <v>38</v>
      </c>
      <c r="M800" s="2" t="s">
        <v>38</v>
      </c>
      <c r="N800" s="2" t="s">
        <v>38</v>
      </c>
      <c r="O800" s="2" t="s">
        <v>38</v>
      </c>
      <c r="P800" s="2" t="s">
        <v>38</v>
      </c>
      <c r="Q800" s="2" t="s">
        <v>38</v>
      </c>
      <c r="R800" s="2" t="s">
        <v>38</v>
      </c>
      <c r="S800" s="2" t="s">
        <v>38</v>
      </c>
      <c r="T800" s="2" t="s">
        <v>39</v>
      </c>
      <c r="U800" s="2" t="s">
        <v>38</v>
      </c>
      <c r="V800" s="2" t="s">
        <v>39</v>
      </c>
      <c r="W800" s="2" t="s">
        <v>38</v>
      </c>
      <c r="X800" s="2" t="s">
        <v>39</v>
      </c>
      <c r="Y800" s="2" t="s">
        <v>38</v>
      </c>
      <c r="Z800" s="2" t="s">
        <v>38</v>
      </c>
      <c r="AA800" s="2" t="s">
        <v>38</v>
      </c>
      <c r="AB800" s="2" t="s">
        <v>38</v>
      </c>
      <c r="AC800" s="2" t="s">
        <v>38</v>
      </c>
      <c r="AD800" s="2" t="s">
        <v>38</v>
      </c>
      <c r="AE800" s="2" t="s">
        <v>38</v>
      </c>
    </row>
    <row r="801" spans="1:31" ht="409.5">
      <c r="A801" s="2">
        <v>2666627</v>
      </c>
      <c r="B801" s="2">
        <f>HYPERLINK("https://platform.v2.vetology.net/cases/2666627/screening-report/18?type=pdf&amp;v=v6&amp;scorecard=1&amp;secret_key=BX%25IJ%24%2F65ieZ%29f6", 2666627)</f>
        <v>2666627</v>
      </c>
      <c r="C801" s="2">
        <f>HYPERLINK("https://platform.v2.vetology.net/report/v/final/"&amp;2666627, 2666627)</f>
        <v>2666627</v>
      </c>
      <c r="D801" s="2" t="s">
        <v>2452</v>
      </c>
      <c r="E801" s="2" t="s">
        <v>2453</v>
      </c>
      <c r="F801" s="2" t="s">
        <v>904</v>
      </c>
      <c r="G801" s="2" t="s">
        <v>63</v>
      </c>
      <c r="H801" s="2" t="s">
        <v>2454</v>
      </c>
      <c r="I801" s="2" t="s">
        <v>1468</v>
      </c>
      <c r="J801" s="2" t="s">
        <v>1469</v>
      </c>
      <c r="K801" s="2" t="s">
        <v>38</v>
      </c>
      <c r="L801" s="2" t="s">
        <v>39</v>
      </c>
      <c r="M801" s="2" t="s">
        <v>39</v>
      </c>
      <c r="N801" s="2" t="s">
        <v>38</v>
      </c>
      <c r="O801" s="2" t="s">
        <v>39</v>
      </c>
      <c r="P801" s="2" t="s">
        <v>39</v>
      </c>
      <c r="Q801" s="2" t="s">
        <v>38</v>
      </c>
      <c r="R801" s="2" t="s">
        <v>38</v>
      </c>
      <c r="S801" s="2" t="s">
        <v>38</v>
      </c>
      <c r="T801" s="2" t="s">
        <v>39</v>
      </c>
      <c r="U801" s="2" t="s">
        <v>38</v>
      </c>
      <c r="V801" s="2" t="s">
        <v>39</v>
      </c>
      <c r="W801" s="2" t="s">
        <v>38</v>
      </c>
      <c r="X801" s="2" t="s">
        <v>39</v>
      </c>
      <c r="Y801" s="2" t="s">
        <v>38</v>
      </c>
      <c r="Z801" s="2" t="s">
        <v>39</v>
      </c>
      <c r="AA801" s="2" t="s">
        <v>38</v>
      </c>
      <c r="AB801" s="2" t="s">
        <v>39</v>
      </c>
      <c r="AC801" s="2" t="s">
        <v>39</v>
      </c>
      <c r="AD801" s="2" t="s">
        <v>38</v>
      </c>
      <c r="AE801" s="2" t="s">
        <v>38</v>
      </c>
    </row>
    <row r="802" spans="1:31" ht="409.5">
      <c r="A802" s="2">
        <v>2665850</v>
      </c>
      <c r="B802" s="2">
        <f>HYPERLINK("https://platform.v2.vetology.net/cases/2665850/screening-report/18?type=pdf&amp;v=v6&amp;scorecard=1&amp;secret_key=BX%25IJ%24%2F65ieZ%29f6", 2665850)</f>
        <v>2665850</v>
      </c>
      <c r="C802" s="2">
        <f>HYPERLINK("https://platform.v2.vetology.net/report/v/final/"&amp;2665850, 2665850)</f>
        <v>2665850</v>
      </c>
      <c r="D802" s="2" t="s">
        <v>2455</v>
      </c>
      <c r="E802" s="2" t="s">
        <v>2456</v>
      </c>
      <c r="F802" s="2" t="s">
        <v>2457</v>
      </c>
      <c r="G802" s="2" t="s">
        <v>135</v>
      </c>
      <c r="H802" s="2" t="s">
        <v>105</v>
      </c>
      <c r="I802" s="2" t="s">
        <v>44</v>
      </c>
      <c r="J802" s="2"/>
      <c r="K802" s="2" t="s">
        <v>38</v>
      </c>
      <c r="L802" s="2" t="s">
        <v>39</v>
      </c>
      <c r="M802" s="2" t="s">
        <v>38</v>
      </c>
      <c r="N802" s="2" t="s">
        <v>38</v>
      </c>
      <c r="O802" s="2" t="s">
        <v>38</v>
      </c>
      <c r="P802" s="2" t="s">
        <v>38</v>
      </c>
      <c r="Q802" s="2" t="s">
        <v>38</v>
      </c>
      <c r="R802" s="2" t="s">
        <v>38</v>
      </c>
      <c r="S802" s="2" t="s">
        <v>38</v>
      </c>
      <c r="T802" s="2" t="s">
        <v>38</v>
      </c>
      <c r="U802" s="2" t="s">
        <v>38</v>
      </c>
      <c r="V802" s="2" t="s">
        <v>38</v>
      </c>
      <c r="W802" s="2" t="s">
        <v>38</v>
      </c>
      <c r="X802" s="2" t="s">
        <v>38</v>
      </c>
      <c r="Y802" s="2" t="s">
        <v>38</v>
      </c>
      <c r="Z802" s="2" t="s">
        <v>38</v>
      </c>
      <c r="AA802" s="2" t="s">
        <v>38</v>
      </c>
      <c r="AB802" s="2" t="s">
        <v>38</v>
      </c>
      <c r="AC802" s="2" t="s">
        <v>38</v>
      </c>
      <c r="AD802" s="2" t="s">
        <v>38</v>
      </c>
      <c r="AE802" s="2" t="s">
        <v>38</v>
      </c>
    </row>
    <row r="803" spans="1:31" ht="409.5">
      <c r="A803" s="2">
        <v>2665766</v>
      </c>
      <c r="B803" s="2">
        <f>HYPERLINK("https://platform.v2.vetology.net/cases/2665766/screening-report/18?type=pdf&amp;v=v6&amp;scorecard=1&amp;secret_key=BX%25IJ%24%2F65ieZ%29f6", 2665766)</f>
        <v>2665766</v>
      </c>
      <c r="C803" s="2">
        <f>HYPERLINK("https://platform.v2.vetology.net/report/v/final/"&amp;2665766, 2665766)</f>
        <v>2665766</v>
      </c>
      <c r="D803" s="2" t="s">
        <v>2458</v>
      </c>
      <c r="E803" s="2" t="s">
        <v>2459</v>
      </c>
      <c r="F803" s="2" t="s">
        <v>2460</v>
      </c>
      <c r="G803" s="2" t="s">
        <v>93</v>
      </c>
      <c r="H803" s="2" t="s">
        <v>2461</v>
      </c>
      <c r="I803" s="2" t="s">
        <v>2462</v>
      </c>
      <c r="J803" s="2" t="s">
        <v>66</v>
      </c>
      <c r="K803" s="2" t="s">
        <v>39</v>
      </c>
      <c r="L803" s="2" t="s">
        <v>39</v>
      </c>
      <c r="M803" s="2" t="s">
        <v>39</v>
      </c>
      <c r="N803" s="2" t="s">
        <v>39</v>
      </c>
      <c r="O803" s="2" t="s">
        <v>39</v>
      </c>
      <c r="P803" s="2" t="s">
        <v>39</v>
      </c>
      <c r="Q803" s="2" t="s">
        <v>38</v>
      </c>
      <c r="R803" s="2" t="s">
        <v>38</v>
      </c>
      <c r="S803" s="2" t="s">
        <v>39</v>
      </c>
      <c r="T803" s="2" t="s">
        <v>38</v>
      </c>
      <c r="U803" s="2" t="s">
        <v>39</v>
      </c>
      <c r="V803" s="2" t="s">
        <v>38</v>
      </c>
      <c r="W803" s="2" t="s">
        <v>38</v>
      </c>
      <c r="X803" s="2" t="s">
        <v>38</v>
      </c>
      <c r="Y803" s="2" t="s">
        <v>38</v>
      </c>
      <c r="Z803" s="2" t="s">
        <v>39</v>
      </c>
      <c r="AA803" s="2" t="s">
        <v>38</v>
      </c>
      <c r="AB803" s="2" t="s">
        <v>39</v>
      </c>
      <c r="AC803" s="2" t="s">
        <v>39</v>
      </c>
      <c r="AD803" s="2" t="s">
        <v>38</v>
      </c>
      <c r="AE803" s="2" t="s">
        <v>38</v>
      </c>
    </row>
    <row r="804" spans="1:31" ht="409.5">
      <c r="A804" s="2">
        <v>2665262</v>
      </c>
      <c r="B804" s="2">
        <f>HYPERLINK("https://platform.v2.vetology.net/cases/2665262/screening-report/18?type=pdf&amp;v=v6&amp;scorecard=1&amp;secret_key=BX%25IJ%24%2F65ieZ%29f6", 2665262)</f>
        <v>2665262</v>
      </c>
      <c r="C804" s="2">
        <f>HYPERLINK("https://platform.v2.vetology.net/report/v/final/"&amp;2665262, 2665262)</f>
        <v>2665262</v>
      </c>
      <c r="D804" s="2" t="s">
        <v>2463</v>
      </c>
      <c r="E804" s="2" t="s">
        <v>2464</v>
      </c>
      <c r="F804" s="2" t="s">
        <v>2465</v>
      </c>
      <c r="G804" s="2" t="s">
        <v>464</v>
      </c>
      <c r="H804" s="2" t="s">
        <v>218</v>
      </c>
      <c r="I804" s="2" t="s">
        <v>137</v>
      </c>
      <c r="J804" s="2" t="s">
        <v>66</v>
      </c>
      <c r="K804" s="2" t="s">
        <v>38</v>
      </c>
      <c r="L804" s="2" t="s">
        <v>38</v>
      </c>
      <c r="M804" s="2" t="s">
        <v>38</v>
      </c>
      <c r="N804" s="2" t="s">
        <v>38</v>
      </c>
      <c r="O804" s="2" t="s">
        <v>38</v>
      </c>
      <c r="P804" s="2" t="s">
        <v>38</v>
      </c>
      <c r="Q804" s="2" t="s">
        <v>38</v>
      </c>
      <c r="R804" s="2" t="s">
        <v>38</v>
      </c>
      <c r="S804" s="2" t="s">
        <v>38</v>
      </c>
      <c r="T804" s="2" t="s">
        <v>39</v>
      </c>
      <c r="U804" s="2" t="s">
        <v>38</v>
      </c>
      <c r="V804" s="2" t="s">
        <v>39</v>
      </c>
      <c r="W804" s="2" t="s">
        <v>38</v>
      </c>
      <c r="X804" s="2" t="s">
        <v>39</v>
      </c>
      <c r="Y804" s="2" t="s">
        <v>38</v>
      </c>
      <c r="Z804" s="2" t="s">
        <v>38</v>
      </c>
      <c r="AA804" s="2" t="s">
        <v>38</v>
      </c>
      <c r="AB804" s="2" t="s">
        <v>39</v>
      </c>
      <c r="AC804" s="2" t="s">
        <v>38</v>
      </c>
      <c r="AD804" s="2" t="s">
        <v>38</v>
      </c>
      <c r="AE804" s="2" t="s">
        <v>38</v>
      </c>
    </row>
    <row r="805" spans="1:31" ht="409.5">
      <c r="A805" s="2">
        <v>2665161</v>
      </c>
      <c r="B805" s="2">
        <f>HYPERLINK("https://platform.v2.vetology.net/cases/2665161/screening-report/18?type=pdf&amp;v=v6&amp;scorecard=1&amp;secret_key=BX%25IJ%24%2F65ieZ%29f6", 2665161)</f>
        <v>2665161</v>
      </c>
      <c r="C805" s="2">
        <f>HYPERLINK("https://platform.v2.vetology.net/report/v/final/"&amp;2665161, 2665161)</f>
        <v>2665161</v>
      </c>
      <c r="D805" s="2" t="s">
        <v>2466</v>
      </c>
      <c r="E805" s="2" t="s">
        <v>2467</v>
      </c>
      <c r="F805" s="2" t="s">
        <v>2468</v>
      </c>
      <c r="G805" s="2" t="s">
        <v>63</v>
      </c>
      <c r="H805" s="2" t="s">
        <v>2469</v>
      </c>
      <c r="I805" s="2" t="s">
        <v>36</v>
      </c>
      <c r="J805" s="2" t="s">
        <v>37</v>
      </c>
      <c r="K805" s="2" t="s">
        <v>38</v>
      </c>
      <c r="L805" s="2" t="s">
        <v>38</v>
      </c>
      <c r="M805" s="2" t="s">
        <v>38</v>
      </c>
      <c r="N805" s="2" t="s">
        <v>38</v>
      </c>
      <c r="O805" s="2" t="s">
        <v>38</v>
      </c>
      <c r="P805" s="2" t="s">
        <v>38</v>
      </c>
      <c r="Q805" s="2" t="s">
        <v>38</v>
      </c>
      <c r="R805" s="2" t="s">
        <v>38</v>
      </c>
      <c r="S805" s="2" t="s">
        <v>38</v>
      </c>
      <c r="T805" s="2" t="s">
        <v>38</v>
      </c>
      <c r="U805" s="2" t="s">
        <v>38</v>
      </c>
      <c r="V805" s="2" t="s">
        <v>38</v>
      </c>
      <c r="W805" s="2" t="s">
        <v>38</v>
      </c>
      <c r="X805" s="2" t="s">
        <v>38</v>
      </c>
      <c r="Y805" s="2" t="s">
        <v>38</v>
      </c>
      <c r="Z805" s="2" t="s">
        <v>38</v>
      </c>
      <c r="AA805" s="2" t="s">
        <v>38</v>
      </c>
      <c r="AB805" s="2" t="s">
        <v>39</v>
      </c>
      <c r="AC805" s="2" t="s">
        <v>38</v>
      </c>
      <c r="AD805" s="2" t="s">
        <v>38</v>
      </c>
      <c r="AE805" s="2" t="s">
        <v>39</v>
      </c>
    </row>
    <row r="806" spans="1:31" ht="409.5">
      <c r="A806" s="2">
        <v>2664530</v>
      </c>
      <c r="B806" s="2">
        <f>HYPERLINK("https://platform.v2.vetology.net/cases/2664530/screening-report/18?type=pdf&amp;v=v6&amp;scorecard=1&amp;secret_key=BX%25IJ%24%2F65ieZ%29f6", 2664530)</f>
        <v>2664530</v>
      </c>
      <c r="C806" s="2">
        <f>HYPERLINK("https://platform.v2.vetology.net/report/v/final/"&amp;2664530, 2664530)</f>
        <v>2664530</v>
      </c>
      <c r="D806" s="2" t="s">
        <v>2470</v>
      </c>
      <c r="E806" s="2" t="s">
        <v>2471</v>
      </c>
      <c r="F806" s="2"/>
      <c r="G806" s="2" t="s">
        <v>141</v>
      </c>
      <c r="H806" s="2" t="s">
        <v>54</v>
      </c>
      <c r="I806" s="2" t="s">
        <v>44</v>
      </c>
      <c r="J806" s="2" t="s">
        <v>106</v>
      </c>
      <c r="K806" s="2" t="s">
        <v>38</v>
      </c>
      <c r="L806" s="2" t="s">
        <v>38</v>
      </c>
      <c r="M806" s="2" t="s">
        <v>38</v>
      </c>
      <c r="N806" s="2" t="s">
        <v>38</v>
      </c>
      <c r="O806" s="2" t="s">
        <v>38</v>
      </c>
      <c r="P806" s="2" t="s">
        <v>38</v>
      </c>
      <c r="Q806" s="2" t="s">
        <v>38</v>
      </c>
      <c r="R806" s="2" t="s">
        <v>38</v>
      </c>
      <c r="S806" s="2" t="s">
        <v>38</v>
      </c>
      <c r="T806" s="2" t="s">
        <v>38</v>
      </c>
      <c r="U806" s="2" t="s">
        <v>38</v>
      </c>
      <c r="V806" s="2" t="s">
        <v>38</v>
      </c>
      <c r="W806" s="2" t="s">
        <v>38</v>
      </c>
      <c r="X806" s="2" t="s">
        <v>38</v>
      </c>
      <c r="Y806" s="2" t="s">
        <v>38</v>
      </c>
      <c r="Z806" s="2" t="s">
        <v>38</v>
      </c>
      <c r="AA806" s="2" t="s">
        <v>38</v>
      </c>
      <c r="AB806" s="2" t="s">
        <v>38</v>
      </c>
      <c r="AC806" s="2" t="s">
        <v>38</v>
      </c>
      <c r="AD806" s="2" t="s">
        <v>38</v>
      </c>
      <c r="AE806" s="2" t="s">
        <v>38</v>
      </c>
    </row>
    <row r="807" spans="1:31" ht="409.5">
      <c r="A807" s="2">
        <v>2662125</v>
      </c>
      <c r="B807" s="2">
        <f>HYPERLINK("https://platform.v2.vetology.net/cases/2662125/screening-report/18?type=pdf&amp;v=v6&amp;scorecard=1&amp;secret_key=BX%25IJ%24%2F65ieZ%29f6", 2662125)</f>
        <v>2662125</v>
      </c>
      <c r="C807" s="2">
        <f>HYPERLINK("https://platform.v2.vetology.net/report/v/final/"&amp;2662125, 2662125)</f>
        <v>2662125</v>
      </c>
      <c r="D807" s="2" t="s">
        <v>2472</v>
      </c>
      <c r="E807" s="2" t="s">
        <v>2473</v>
      </c>
      <c r="F807" s="2" t="s">
        <v>81</v>
      </c>
      <c r="G807" s="2" t="s">
        <v>268</v>
      </c>
      <c r="H807" s="2" t="s">
        <v>78</v>
      </c>
      <c r="I807" s="2" t="s">
        <v>44</v>
      </c>
      <c r="J807" s="2"/>
      <c r="K807" s="2" t="s">
        <v>38</v>
      </c>
      <c r="L807" s="2" t="s">
        <v>38</v>
      </c>
      <c r="M807" s="2" t="s">
        <v>38</v>
      </c>
      <c r="N807" s="2" t="s">
        <v>38</v>
      </c>
      <c r="O807" s="2" t="s">
        <v>38</v>
      </c>
      <c r="P807" s="2" t="s">
        <v>38</v>
      </c>
      <c r="Q807" s="2" t="s">
        <v>38</v>
      </c>
      <c r="R807" s="2" t="s">
        <v>38</v>
      </c>
      <c r="S807" s="2" t="s">
        <v>38</v>
      </c>
      <c r="T807" s="2" t="s">
        <v>38</v>
      </c>
      <c r="U807" s="2" t="s">
        <v>38</v>
      </c>
      <c r="V807" s="2" t="s">
        <v>38</v>
      </c>
      <c r="W807" s="2" t="s">
        <v>38</v>
      </c>
      <c r="X807" s="2" t="s">
        <v>38</v>
      </c>
      <c r="Y807" s="2" t="s">
        <v>38</v>
      </c>
      <c r="Z807" s="2" t="s">
        <v>38</v>
      </c>
      <c r="AA807" s="2" t="s">
        <v>38</v>
      </c>
      <c r="AB807" s="2" t="s">
        <v>38</v>
      </c>
      <c r="AC807" s="2" t="s">
        <v>38</v>
      </c>
      <c r="AD807" s="2" t="s">
        <v>38</v>
      </c>
      <c r="AE807" s="2" t="s">
        <v>38</v>
      </c>
    </row>
    <row r="808" spans="1:31" ht="409.5">
      <c r="A808" s="2">
        <v>2661956</v>
      </c>
      <c r="B808" s="2">
        <f>HYPERLINK("https://platform.v2.vetology.net/cases/2661956/screening-report/18?type=pdf&amp;v=v6&amp;scorecard=1&amp;secret_key=BX%25IJ%24%2F65ieZ%29f6", 2661956)</f>
        <v>2661956</v>
      </c>
      <c r="C808" s="2">
        <f>HYPERLINK("https://platform.v2.vetology.net/report/v/final/"&amp;2661956, 2661956)</f>
        <v>2661956</v>
      </c>
      <c r="D808" s="2" t="s">
        <v>1850</v>
      </c>
      <c r="E808" s="2" t="s">
        <v>796</v>
      </c>
      <c r="F808" s="2" t="s">
        <v>2474</v>
      </c>
      <c r="G808" s="2" t="s">
        <v>135</v>
      </c>
      <c r="H808" s="2" t="s">
        <v>2475</v>
      </c>
      <c r="I808" s="2" t="s">
        <v>460</v>
      </c>
      <c r="J808" s="2" t="s">
        <v>66</v>
      </c>
      <c r="K808" s="2" t="s">
        <v>38</v>
      </c>
      <c r="L808" s="2" t="s">
        <v>39</v>
      </c>
      <c r="M808" s="2" t="s">
        <v>39</v>
      </c>
      <c r="N808" s="2" t="s">
        <v>38</v>
      </c>
      <c r="O808" s="2" t="s">
        <v>38</v>
      </c>
      <c r="P808" s="2" t="s">
        <v>38</v>
      </c>
      <c r="Q808" s="2" t="s">
        <v>38</v>
      </c>
      <c r="R808" s="2" t="s">
        <v>38</v>
      </c>
      <c r="S808" s="2" t="s">
        <v>39</v>
      </c>
      <c r="T808" s="2" t="s">
        <v>39</v>
      </c>
      <c r="U808" s="2" t="s">
        <v>38</v>
      </c>
      <c r="V808" s="2" t="s">
        <v>39</v>
      </c>
      <c r="W808" s="2" t="s">
        <v>38</v>
      </c>
      <c r="X808" s="2" t="s">
        <v>38</v>
      </c>
      <c r="Y808" s="2" t="s">
        <v>38</v>
      </c>
      <c r="Z808" s="2" t="s">
        <v>38</v>
      </c>
      <c r="AA808" s="2" t="s">
        <v>38</v>
      </c>
      <c r="AB808" s="2" t="s">
        <v>38</v>
      </c>
      <c r="AC808" s="2" t="s">
        <v>38</v>
      </c>
      <c r="AD808" s="2" t="s">
        <v>38</v>
      </c>
      <c r="AE808" s="2" t="s">
        <v>39</v>
      </c>
    </row>
    <row r="809" spans="1:31" ht="409.5">
      <c r="A809" s="2">
        <v>2661949</v>
      </c>
      <c r="B809" s="2">
        <f>HYPERLINK("https://platform.v2.vetology.net/cases/2661949/screening-report/18?type=pdf&amp;v=v6&amp;scorecard=1&amp;secret_key=BX%25IJ%24%2F65ieZ%29f6", 2661949)</f>
        <v>2661949</v>
      </c>
      <c r="C809" s="2">
        <f>HYPERLINK("https://platform.v2.vetology.net/report/v/final/"&amp;2661949, 2661949)</f>
        <v>2661949</v>
      </c>
      <c r="D809" s="2" t="s">
        <v>2476</v>
      </c>
      <c r="E809" s="2" t="s">
        <v>617</v>
      </c>
      <c r="F809" s="2" t="s">
        <v>1751</v>
      </c>
      <c r="G809" s="2" t="s">
        <v>135</v>
      </c>
      <c r="H809" s="2" t="s">
        <v>136</v>
      </c>
      <c r="I809" s="2" t="s">
        <v>137</v>
      </c>
      <c r="J809" s="2" t="s">
        <v>66</v>
      </c>
      <c r="K809" s="2" t="s">
        <v>38</v>
      </c>
      <c r="L809" s="2" t="s">
        <v>38</v>
      </c>
      <c r="M809" s="2" t="s">
        <v>38</v>
      </c>
      <c r="N809" s="2" t="s">
        <v>38</v>
      </c>
      <c r="O809" s="2" t="s">
        <v>38</v>
      </c>
      <c r="P809" s="2" t="s">
        <v>39</v>
      </c>
      <c r="Q809" s="2" t="s">
        <v>39</v>
      </c>
      <c r="R809" s="2" t="s">
        <v>38</v>
      </c>
      <c r="S809" s="2" t="s">
        <v>38</v>
      </c>
      <c r="T809" s="2" t="s">
        <v>38</v>
      </c>
      <c r="U809" s="2" t="s">
        <v>38</v>
      </c>
      <c r="V809" s="2" t="s">
        <v>38</v>
      </c>
      <c r="W809" s="2" t="s">
        <v>38</v>
      </c>
      <c r="X809" s="2" t="s">
        <v>38</v>
      </c>
      <c r="Y809" s="2" t="s">
        <v>38</v>
      </c>
      <c r="Z809" s="2" t="s">
        <v>38</v>
      </c>
      <c r="AA809" s="2" t="s">
        <v>38</v>
      </c>
      <c r="AB809" s="2" t="s">
        <v>38</v>
      </c>
      <c r="AC809" s="2" t="s">
        <v>39</v>
      </c>
      <c r="AD809" s="2" t="s">
        <v>38</v>
      </c>
      <c r="AE809" s="2" t="s">
        <v>38</v>
      </c>
    </row>
    <row r="810" spans="1:31" ht="409.5">
      <c r="A810" s="2">
        <v>2661930</v>
      </c>
      <c r="B810" s="2">
        <f>HYPERLINK("https://platform.v2.vetology.net/cases/2661930/screening-report/18?type=pdf&amp;v=v6&amp;scorecard=1&amp;secret_key=BX%25IJ%24%2F65ieZ%29f6", 2661930)</f>
        <v>2661930</v>
      </c>
      <c r="C810" s="2">
        <f>HYPERLINK("https://platform.v2.vetology.net/report/v/final/"&amp;2661930, 2661930)</f>
        <v>2661930</v>
      </c>
      <c r="D810" s="2" t="s">
        <v>2477</v>
      </c>
      <c r="E810" s="2" t="s">
        <v>2478</v>
      </c>
      <c r="F810" s="2" t="s">
        <v>1901</v>
      </c>
      <c r="G810" s="2" t="s">
        <v>150</v>
      </c>
      <c r="H810" s="2" t="s">
        <v>54</v>
      </c>
      <c r="I810" s="2" t="s">
        <v>44</v>
      </c>
      <c r="J810" s="2"/>
      <c r="K810" s="2" t="s">
        <v>38</v>
      </c>
      <c r="L810" s="2" t="s">
        <v>39</v>
      </c>
      <c r="M810" s="2" t="s">
        <v>38</v>
      </c>
      <c r="N810" s="2" t="s">
        <v>38</v>
      </c>
      <c r="O810" s="2" t="s">
        <v>38</v>
      </c>
      <c r="P810" s="2" t="s">
        <v>38</v>
      </c>
      <c r="Q810" s="2" t="s">
        <v>38</v>
      </c>
      <c r="R810" s="2" t="s">
        <v>38</v>
      </c>
      <c r="S810" s="2" t="s">
        <v>38</v>
      </c>
      <c r="T810" s="2" t="s">
        <v>38</v>
      </c>
      <c r="U810" s="2" t="s">
        <v>38</v>
      </c>
      <c r="V810" s="2" t="s">
        <v>38</v>
      </c>
      <c r="W810" s="2" t="s">
        <v>38</v>
      </c>
      <c r="X810" s="2" t="s">
        <v>38</v>
      </c>
      <c r="Y810" s="2" t="s">
        <v>38</v>
      </c>
      <c r="Z810" s="2" t="s">
        <v>38</v>
      </c>
      <c r="AA810" s="2" t="s">
        <v>38</v>
      </c>
      <c r="AB810" s="2" t="s">
        <v>38</v>
      </c>
      <c r="AC810" s="2" t="s">
        <v>39</v>
      </c>
      <c r="AD810" s="2" t="s">
        <v>38</v>
      </c>
      <c r="AE810" s="2" t="s">
        <v>38</v>
      </c>
    </row>
    <row r="811" spans="1:31" ht="409.5">
      <c r="A811" s="2">
        <v>2661902</v>
      </c>
      <c r="B811" s="2">
        <f>HYPERLINK("https://platform.v2.vetology.net/cases/2661902/screening-report/18?type=pdf&amp;v=v6&amp;scorecard=1&amp;secret_key=BX%25IJ%24%2F65ieZ%29f6", 2661902)</f>
        <v>2661902</v>
      </c>
      <c r="C811" s="2">
        <f>HYPERLINK("https://platform.v2.vetology.net/report/v/final/"&amp;2661902, 2661902)</f>
        <v>2661902</v>
      </c>
      <c r="D811" s="2" t="s">
        <v>2479</v>
      </c>
      <c r="E811" s="2" t="s">
        <v>2480</v>
      </c>
      <c r="F811" s="2" t="s">
        <v>2481</v>
      </c>
      <c r="G811" s="2" t="s">
        <v>58</v>
      </c>
      <c r="H811" s="2" t="s">
        <v>978</v>
      </c>
      <c r="I811" s="2" t="s">
        <v>284</v>
      </c>
      <c r="J811" s="2" t="s">
        <v>285</v>
      </c>
      <c r="K811" s="2" t="s">
        <v>38</v>
      </c>
      <c r="L811" s="2" t="s">
        <v>38</v>
      </c>
      <c r="M811" s="2" t="s">
        <v>38</v>
      </c>
      <c r="N811" s="2" t="s">
        <v>38</v>
      </c>
      <c r="O811" s="2" t="s">
        <v>38</v>
      </c>
      <c r="P811" s="2" t="s">
        <v>38</v>
      </c>
      <c r="Q811" s="2" t="s">
        <v>38</v>
      </c>
      <c r="R811" s="2" t="s">
        <v>38</v>
      </c>
      <c r="S811" s="2" t="s">
        <v>38</v>
      </c>
      <c r="T811" s="2" t="s">
        <v>39</v>
      </c>
      <c r="U811" s="2" t="s">
        <v>38</v>
      </c>
      <c r="V811" s="2" t="s">
        <v>39</v>
      </c>
      <c r="W811" s="2" t="s">
        <v>38</v>
      </c>
      <c r="X811" s="2" t="s">
        <v>39</v>
      </c>
      <c r="Y811" s="2" t="s">
        <v>38</v>
      </c>
      <c r="Z811" s="2" t="s">
        <v>38</v>
      </c>
      <c r="AA811" s="2" t="s">
        <v>38</v>
      </c>
      <c r="AB811" s="2" t="s">
        <v>38</v>
      </c>
      <c r="AC811" s="2" t="s">
        <v>38</v>
      </c>
      <c r="AD811" s="2" t="s">
        <v>38</v>
      </c>
      <c r="AE811" s="2" t="s">
        <v>38</v>
      </c>
    </row>
    <row r="812" spans="1:31" ht="409.5">
      <c r="A812" s="2">
        <v>2661741</v>
      </c>
      <c r="B812" s="2">
        <f>HYPERLINK("https://platform.v2.vetology.net/cases/2661741/screening-report/18?type=pdf&amp;v=v6&amp;scorecard=1&amp;secret_key=BX%25IJ%24%2F65ieZ%29f6", 2661741)</f>
        <v>2661741</v>
      </c>
      <c r="C812" s="2">
        <f>HYPERLINK("https://platform.v2.vetology.net/report/v/final/"&amp;2661741, 2661741)</f>
        <v>2661741</v>
      </c>
      <c r="D812" s="2" t="s">
        <v>2482</v>
      </c>
      <c r="E812" s="2" t="s">
        <v>2483</v>
      </c>
      <c r="F812" s="2" t="s">
        <v>2484</v>
      </c>
      <c r="G812" s="2" t="s">
        <v>58</v>
      </c>
      <c r="H812" s="2" t="s">
        <v>157</v>
      </c>
      <c r="I812" s="2" t="s">
        <v>158</v>
      </c>
      <c r="J812" s="2" t="s">
        <v>50</v>
      </c>
      <c r="K812" s="2" t="s">
        <v>38</v>
      </c>
      <c r="L812" s="2" t="s">
        <v>38</v>
      </c>
      <c r="M812" s="2" t="s">
        <v>38</v>
      </c>
      <c r="N812" s="2" t="s">
        <v>38</v>
      </c>
      <c r="O812" s="2" t="s">
        <v>38</v>
      </c>
      <c r="P812" s="2" t="s">
        <v>38</v>
      </c>
      <c r="Q812" s="2" t="s">
        <v>38</v>
      </c>
      <c r="R812" s="2" t="s">
        <v>38</v>
      </c>
      <c r="S812" s="2" t="s">
        <v>38</v>
      </c>
      <c r="T812" s="2" t="s">
        <v>38</v>
      </c>
      <c r="U812" s="2" t="s">
        <v>38</v>
      </c>
      <c r="V812" s="2" t="s">
        <v>38</v>
      </c>
      <c r="W812" s="2" t="s">
        <v>38</v>
      </c>
      <c r="X812" s="2" t="s">
        <v>38</v>
      </c>
      <c r="Y812" s="2" t="s">
        <v>38</v>
      </c>
      <c r="Z812" s="2" t="s">
        <v>38</v>
      </c>
      <c r="AA812" s="2" t="s">
        <v>38</v>
      </c>
      <c r="AB812" s="2" t="s">
        <v>38</v>
      </c>
      <c r="AC812" s="2" t="s">
        <v>38</v>
      </c>
      <c r="AD812" s="2" t="s">
        <v>38</v>
      </c>
      <c r="AE812" s="2" t="s">
        <v>38</v>
      </c>
    </row>
    <row r="813" spans="1:31" ht="409.5">
      <c r="A813" s="2">
        <v>2661639</v>
      </c>
      <c r="B813" s="2">
        <f>HYPERLINK("https://platform.v2.vetology.net/cases/2661639/screening-report/18?type=pdf&amp;v=v6&amp;scorecard=1&amp;secret_key=BX%25IJ%24%2F65ieZ%29f6", 2661639)</f>
        <v>2661639</v>
      </c>
      <c r="C813" s="2">
        <f>HYPERLINK("https://platform.v2.vetology.net/report/v/final/"&amp;2661639, 2661639)</f>
        <v>2661639</v>
      </c>
      <c r="D813" s="2" t="s">
        <v>2485</v>
      </c>
      <c r="E813" s="2" t="s">
        <v>850</v>
      </c>
      <c r="F813" s="2"/>
      <c r="G813" s="2" t="s">
        <v>150</v>
      </c>
      <c r="H813" s="2" t="s">
        <v>733</v>
      </c>
      <c r="I813" s="2" t="s">
        <v>158</v>
      </c>
      <c r="J813" s="2" t="s">
        <v>50</v>
      </c>
      <c r="K813" s="2" t="s">
        <v>38</v>
      </c>
      <c r="L813" s="2" t="s">
        <v>39</v>
      </c>
      <c r="M813" s="2" t="s">
        <v>38</v>
      </c>
      <c r="N813" s="2" t="s">
        <v>38</v>
      </c>
      <c r="O813" s="2" t="s">
        <v>38</v>
      </c>
      <c r="P813" s="2" t="s">
        <v>38</v>
      </c>
      <c r="Q813" s="2" t="s">
        <v>38</v>
      </c>
      <c r="R813" s="2" t="s">
        <v>38</v>
      </c>
      <c r="S813" s="2" t="s">
        <v>38</v>
      </c>
      <c r="T813" s="2" t="s">
        <v>38</v>
      </c>
      <c r="U813" s="2" t="s">
        <v>39</v>
      </c>
      <c r="V813" s="2" t="s">
        <v>38</v>
      </c>
      <c r="W813" s="2" t="s">
        <v>38</v>
      </c>
      <c r="X813" s="2" t="s">
        <v>38</v>
      </c>
      <c r="Y813" s="2" t="s">
        <v>38</v>
      </c>
      <c r="Z813" s="2" t="s">
        <v>39</v>
      </c>
      <c r="AA813" s="2" t="s">
        <v>38</v>
      </c>
      <c r="AB813" s="2" t="s">
        <v>38</v>
      </c>
      <c r="AC813" s="2" t="s">
        <v>38</v>
      </c>
      <c r="AD813" s="2" t="s">
        <v>38</v>
      </c>
      <c r="AE813" s="2" t="s">
        <v>38</v>
      </c>
    </row>
    <row r="814" spans="1:31" ht="409.5">
      <c r="A814" s="2">
        <v>2661590</v>
      </c>
      <c r="B814" s="2">
        <f>HYPERLINK("https://platform.v2.vetology.net/cases/2661590/screening-report/18?type=pdf&amp;v=v6&amp;scorecard=1&amp;secret_key=BX%25IJ%24%2F65ieZ%29f6", 2661590)</f>
        <v>2661590</v>
      </c>
      <c r="C814" s="2">
        <f>HYPERLINK("https://platform.v2.vetology.net/report/v/final/"&amp;2661590, 2661590)</f>
        <v>2661590</v>
      </c>
      <c r="D814" s="2" t="s">
        <v>2486</v>
      </c>
      <c r="E814" s="2" t="s">
        <v>2487</v>
      </c>
      <c r="F814" s="2" t="s">
        <v>2488</v>
      </c>
      <c r="G814" s="2" t="s">
        <v>464</v>
      </c>
      <c r="H814" s="2" t="s">
        <v>2489</v>
      </c>
      <c r="I814" s="2" t="s">
        <v>124</v>
      </c>
      <c r="J814" s="2" t="s">
        <v>125</v>
      </c>
      <c r="K814" s="2" t="s">
        <v>39</v>
      </c>
      <c r="L814" s="2" t="s">
        <v>38</v>
      </c>
      <c r="M814" s="2" t="s">
        <v>39</v>
      </c>
      <c r="N814" s="2" t="s">
        <v>38</v>
      </c>
      <c r="O814" s="2" t="s">
        <v>38</v>
      </c>
      <c r="P814" s="2" t="s">
        <v>38</v>
      </c>
      <c r="Q814" s="2" t="s">
        <v>38</v>
      </c>
      <c r="R814" s="2" t="s">
        <v>38</v>
      </c>
      <c r="S814" s="2" t="s">
        <v>39</v>
      </c>
      <c r="T814" s="2" t="s">
        <v>39</v>
      </c>
      <c r="U814" s="2" t="s">
        <v>38</v>
      </c>
      <c r="V814" s="2" t="s">
        <v>39</v>
      </c>
      <c r="W814" s="2" t="s">
        <v>38</v>
      </c>
      <c r="X814" s="2" t="s">
        <v>39</v>
      </c>
      <c r="Y814" s="2" t="s">
        <v>38</v>
      </c>
      <c r="Z814" s="2" t="s">
        <v>38</v>
      </c>
      <c r="AA814" s="2" t="s">
        <v>38</v>
      </c>
      <c r="AB814" s="2" t="s">
        <v>38</v>
      </c>
      <c r="AC814" s="2" t="s">
        <v>38</v>
      </c>
      <c r="AD814" s="2" t="s">
        <v>38</v>
      </c>
      <c r="AE814" s="2" t="s">
        <v>38</v>
      </c>
    </row>
    <row r="815" spans="1:31" ht="409.5">
      <c r="A815" s="2">
        <v>2661584</v>
      </c>
      <c r="B815" s="2">
        <f>HYPERLINK("https://platform.v2.vetology.net/cases/2661584/screening-report/18?type=pdf&amp;v=v6&amp;scorecard=1&amp;secret_key=BX%25IJ%24%2F65ieZ%29f6", 2661584)</f>
        <v>2661584</v>
      </c>
      <c r="C815" s="2">
        <f>HYPERLINK("https://platform.v2.vetology.net/report/v/final/"&amp;2661584, 2661584)</f>
        <v>2661584</v>
      </c>
      <c r="D815" s="2" t="s">
        <v>2490</v>
      </c>
      <c r="E815" s="2" t="s">
        <v>2491</v>
      </c>
      <c r="F815" s="2" t="s">
        <v>2492</v>
      </c>
      <c r="G815" s="2" t="s">
        <v>212</v>
      </c>
      <c r="H815" s="2" t="s">
        <v>1966</v>
      </c>
      <c r="I815" s="2" t="s">
        <v>124</v>
      </c>
      <c r="J815" s="2" t="s">
        <v>125</v>
      </c>
      <c r="K815" s="2" t="s">
        <v>38</v>
      </c>
      <c r="L815" s="2" t="s">
        <v>38</v>
      </c>
      <c r="M815" s="2" t="s">
        <v>39</v>
      </c>
      <c r="N815" s="2" t="s">
        <v>38</v>
      </c>
      <c r="O815" s="2" t="s">
        <v>38</v>
      </c>
      <c r="P815" s="2" t="s">
        <v>38</v>
      </c>
      <c r="Q815" s="2" t="s">
        <v>38</v>
      </c>
      <c r="R815" s="2" t="s">
        <v>38</v>
      </c>
      <c r="S815" s="2" t="s">
        <v>38</v>
      </c>
      <c r="T815" s="2" t="s">
        <v>39</v>
      </c>
      <c r="U815" s="2" t="s">
        <v>38</v>
      </c>
      <c r="V815" s="2" t="s">
        <v>39</v>
      </c>
      <c r="W815" s="2" t="s">
        <v>38</v>
      </c>
      <c r="X815" s="2" t="s">
        <v>39</v>
      </c>
      <c r="Y815" s="2" t="s">
        <v>38</v>
      </c>
      <c r="Z815" s="2" t="s">
        <v>38</v>
      </c>
      <c r="AA815" s="2" t="s">
        <v>38</v>
      </c>
      <c r="AB815" s="2" t="s">
        <v>39</v>
      </c>
      <c r="AC815" s="2" t="s">
        <v>38</v>
      </c>
      <c r="AD815" s="2" t="s">
        <v>38</v>
      </c>
      <c r="AE815" s="2" t="s">
        <v>38</v>
      </c>
    </row>
    <row r="816" spans="1:31" ht="409.5">
      <c r="A816" s="2">
        <v>2661362</v>
      </c>
      <c r="B816" s="2">
        <f>HYPERLINK("https://platform.v2.vetology.net/cases/2661362/screening-report/18?type=pdf&amp;v=v6&amp;scorecard=1&amp;secret_key=BX%25IJ%24%2F65ieZ%29f6", 2661362)</f>
        <v>2661362</v>
      </c>
      <c r="C816" s="2">
        <f>HYPERLINK("https://platform.v2.vetology.net/report/v/final/"&amp;2661362, 2661362)</f>
        <v>2661362</v>
      </c>
      <c r="D816" s="2" t="s">
        <v>2493</v>
      </c>
      <c r="E816" s="2" t="s">
        <v>2494</v>
      </c>
      <c r="F816" s="2" t="s">
        <v>2495</v>
      </c>
      <c r="G816" s="2" t="s">
        <v>58</v>
      </c>
      <c r="H816" s="2" t="s">
        <v>360</v>
      </c>
      <c r="I816" s="2" t="s">
        <v>284</v>
      </c>
      <c r="J816" s="2" t="s">
        <v>285</v>
      </c>
      <c r="K816" s="2" t="s">
        <v>38</v>
      </c>
      <c r="L816" s="2" t="s">
        <v>38</v>
      </c>
      <c r="M816" s="2" t="s">
        <v>38</v>
      </c>
      <c r="N816" s="2" t="s">
        <v>38</v>
      </c>
      <c r="O816" s="2" t="s">
        <v>38</v>
      </c>
      <c r="P816" s="2" t="s">
        <v>38</v>
      </c>
      <c r="Q816" s="2" t="s">
        <v>38</v>
      </c>
      <c r="R816" s="2" t="s">
        <v>38</v>
      </c>
      <c r="S816" s="2" t="s">
        <v>38</v>
      </c>
      <c r="T816" s="2" t="s">
        <v>39</v>
      </c>
      <c r="U816" s="2" t="s">
        <v>38</v>
      </c>
      <c r="V816" s="2" t="s">
        <v>39</v>
      </c>
      <c r="W816" s="2" t="s">
        <v>38</v>
      </c>
      <c r="X816" s="2" t="s">
        <v>39</v>
      </c>
      <c r="Y816" s="2" t="s">
        <v>38</v>
      </c>
      <c r="Z816" s="2" t="s">
        <v>38</v>
      </c>
      <c r="AA816" s="2" t="s">
        <v>38</v>
      </c>
      <c r="AB816" s="2" t="s">
        <v>38</v>
      </c>
      <c r="AC816" s="2" t="s">
        <v>38</v>
      </c>
      <c r="AD816" s="2" t="s">
        <v>38</v>
      </c>
      <c r="AE816" s="2" t="s">
        <v>38</v>
      </c>
    </row>
    <row r="817" spans="1:31" ht="409.5">
      <c r="A817" s="2">
        <v>2661083</v>
      </c>
      <c r="B817" s="2">
        <f>HYPERLINK("https://platform.v2.vetology.net/cases/2661083/screening-report/18?type=pdf&amp;v=v6&amp;scorecard=1&amp;secret_key=BX%25IJ%24%2F65ieZ%29f6", 2661083)</f>
        <v>2661083</v>
      </c>
      <c r="C817" s="2">
        <f>HYPERLINK("https://platform.v2.vetology.net/report/v/final/"&amp;2661083, 2661083)</f>
        <v>2661083</v>
      </c>
      <c r="D817" s="2" t="s">
        <v>2496</v>
      </c>
      <c r="E817" s="2" t="s">
        <v>2497</v>
      </c>
      <c r="F817" s="2" t="s">
        <v>2498</v>
      </c>
      <c r="G817" s="2" t="s">
        <v>93</v>
      </c>
      <c r="H817" s="2" t="s">
        <v>2499</v>
      </c>
      <c r="I817" s="2" t="s">
        <v>689</v>
      </c>
      <c r="J817" s="2" t="s">
        <v>690</v>
      </c>
      <c r="K817" s="2" t="s">
        <v>38</v>
      </c>
      <c r="L817" s="2" t="s">
        <v>39</v>
      </c>
      <c r="M817" s="2" t="s">
        <v>38</v>
      </c>
      <c r="N817" s="2" t="s">
        <v>38</v>
      </c>
      <c r="O817" s="2" t="s">
        <v>38</v>
      </c>
      <c r="P817" s="2" t="s">
        <v>38</v>
      </c>
      <c r="Q817" s="2" t="s">
        <v>38</v>
      </c>
      <c r="R817" s="2" t="s">
        <v>38</v>
      </c>
      <c r="S817" s="2" t="s">
        <v>38</v>
      </c>
      <c r="T817" s="2" t="s">
        <v>39</v>
      </c>
      <c r="U817" s="2" t="s">
        <v>38</v>
      </c>
      <c r="V817" s="2" t="s">
        <v>39</v>
      </c>
      <c r="W817" s="2" t="s">
        <v>38</v>
      </c>
      <c r="X817" s="2" t="s">
        <v>39</v>
      </c>
      <c r="Y817" s="2" t="s">
        <v>38</v>
      </c>
      <c r="Z817" s="2" t="s">
        <v>38</v>
      </c>
      <c r="AA817" s="2" t="s">
        <v>38</v>
      </c>
      <c r="AB817" s="2" t="s">
        <v>38</v>
      </c>
      <c r="AC817" s="2" t="s">
        <v>38</v>
      </c>
      <c r="AD817" s="2" t="s">
        <v>38</v>
      </c>
      <c r="AE817" s="2" t="s">
        <v>38</v>
      </c>
    </row>
    <row r="818" spans="1:31" ht="409.5">
      <c r="A818" s="2">
        <v>2661011</v>
      </c>
      <c r="B818" s="2">
        <f>HYPERLINK("https://platform.v2.vetology.net/cases/2661011/screening-report/18?type=pdf&amp;v=v6&amp;scorecard=1&amp;secret_key=BX%25IJ%24%2F65ieZ%29f6", 2661011)</f>
        <v>2661011</v>
      </c>
      <c r="C818" s="2">
        <f>HYPERLINK("https://platform.v2.vetology.net/report/v/final/"&amp;2661011, 2661011)</f>
        <v>2661011</v>
      </c>
      <c r="D818" s="2" t="s">
        <v>2500</v>
      </c>
      <c r="E818" s="2" t="s">
        <v>2501</v>
      </c>
      <c r="F818" s="2" t="s">
        <v>2502</v>
      </c>
      <c r="G818" s="2" t="s">
        <v>93</v>
      </c>
      <c r="H818" s="2" t="s">
        <v>2503</v>
      </c>
      <c r="I818" s="2" t="s">
        <v>1139</v>
      </c>
      <c r="J818" s="2" t="s">
        <v>50</v>
      </c>
      <c r="K818" s="2" t="s">
        <v>38</v>
      </c>
      <c r="L818" s="2" t="s">
        <v>39</v>
      </c>
      <c r="M818" s="2" t="s">
        <v>39</v>
      </c>
      <c r="N818" s="2" t="s">
        <v>39</v>
      </c>
      <c r="O818" s="2" t="s">
        <v>39</v>
      </c>
      <c r="P818" s="2" t="s">
        <v>39</v>
      </c>
      <c r="Q818" s="2" t="s">
        <v>39</v>
      </c>
      <c r="R818" s="2" t="s">
        <v>38</v>
      </c>
      <c r="S818" s="2" t="s">
        <v>39</v>
      </c>
      <c r="T818" s="2" t="s">
        <v>39</v>
      </c>
      <c r="U818" s="2" t="s">
        <v>39</v>
      </c>
      <c r="V818" s="2" t="s">
        <v>39</v>
      </c>
      <c r="W818" s="2" t="s">
        <v>38</v>
      </c>
      <c r="X818" s="2" t="s">
        <v>39</v>
      </c>
      <c r="Y818" s="2" t="s">
        <v>38</v>
      </c>
      <c r="Z818" s="2" t="s">
        <v>39</v>
      </c>
      <c r="AA818" s="2" t="s">
        <v>38</v>
      </c>
      <c r="AB818" s="2" t="s">
        <v>38</v>
      </c>
      <c r="AC818" s="2" t="s">
        <v>39</v>
      </c>
      <c r="AD818" s="2" t="s">
        <v>38</v>
      </c>
      <c r="AE818" s="2" t="s">
        <v>39</v>
      </c>
    </row>
    <row r="819" spans="1:31" ht="409.5">
      <c r="A819" s="2">
        <v>2660885</v>
      </c>
      <c r="B819" s="2">
        <f>HYPERLINK("https://platform.v2.vetology.net/cases/2660885/screening-report/18?type=pdf&amp;v=v6&amp;scorecard=1&amp;secret_key=BX%25IJ%24%2F65ieZ%29f6", 2660885)</f>
        <v>2660885</v>
      </c>
      <c r="C819" s="2">
        <f>HYPERLINK("https://platform.v2.vetology.net/report/v/final/"&amp;2660885, 2660885)</f>
        <v>2660885</v>
      </c>
      <c r="D819" s="2" t="s">
        <v>2504</v>
      </c>
      <c r="E819" s="2" t="s">
        <v>2505</v>
      </c>
      <c r="F819" s="2" t="s">
        <v>81</v>
      </c>
      <c r="G819" s="2" t="s">
        <v>82</v>
      </c>
      <c r="H819" s="2" t="s">
        <v>2506</v>
      </c>
      <c r="I819" s="2" t="s">
        <v>312</v>
      </c>
      <c r="J819" s="2" t="s">
        <v>313</v>
      </c>
      <c r="K819" s="2" t="s">
        <v>39</v>
      </c>
      <c r="L819" s="2" t="s">
        <v>39</v>
      </c>
      <c r="M819" s="2" t="s">
        <v>39</v>
      </c>
      <c r="N819" s="2" t="s">
        <v>39</v>
      </c>
      <c r="O819" s="2" t="s">
        <v>39</v>
      </c>
      <c r="P819" s="2" t="s">
        <v>39</v>
      </c>
      <c r="Q819" s="2" t="s">
        <v>38</v>
      </c>
      <c r="R819" s="2" t="s">
        <v>38</v>
      </c>
      <c r="S819" s="2" t="s">
        <v>39</v>
      </c>
      <c r="T819" s="2" t="s">
        <v>39</v>
      </c>
      <c r="U819" s="2" t="s">
        <v>39</v>
      </c>
      <c r="V819" s="2" t="s">
        <v>39</v>
      </c>
      <c r="W819" s="2" t="s">
        <v>38</v>
      </c>
      <c r="X819" s="2" t="s">
        <v>39</v>
      </c>
      <c r="Y819" s="2" t="s">
        <v>38</v>
      </c>
      <c r="Z819" s="2" t="s">
        <v>39</v>
      </c>
      <c r="AA819" s="2" t="s">
        <v>39</v>
      </c>
      <c r="AB819" s="2" t="s">
        <v>39</v>
      </c>
      <c r="AC819" s="2" t="s">
        <v>39</v>
      </c>
      <c r="AD819" s="2" t="s">
        <v>38</v>
      </c>
      <c r="AE819" s="2" t="s">
        <v>38</v>
      </c>
    </row>
    <row r="820" spans="1:31" ht="409.5">
      <c r="A820" s="2">
        <v>2660830</v>
      </c>
      <c r="B820" s="2">
        <f>HYPERLINK("https://platform.v2.vetology.net/cases/2660830/screening-report/18?type=pdf&amp;v=v6&amp;scorecard=1&amp;secret_key=BX%25IJ%24%2F65ieZ%29f6", 2660830)</f>
        <v>2660830</v>
      </c>
      <c r="C820" s="2">
        <f>HYPERLINK("https://platform.v2.vetology.net/report/v/final/"&amp;2660830, 2660830)</f>
        <v>2660830</v>
      </c>
      <c r="D820" s="2" t="s">
        <v>2507</v>
      </c>
      <c r="E820" s="2" t="s">
        <v>2508</v>
      </c>
      <c r="F820" s="2" t="s">
        <v>2509</v>
      </c>
      <c r="G820" s="2" t="s">
        <v>82</v>
      </c>
      <c r="H820" s="2" t="s">
        <v>129</v>
      </c>
      <c r="I820" s="2" t="s">
        <v>44</v>
      </c>
      <c r="J820" s="2" t="s">
        <v>106</v>
      </c>
      <c r="K820" s="2" t="s">
        <v>38</v>
      </c>
      <c r="L820" s="2" t="s">
        <v>39</v>
      </c>
      <c r="M820" s="2" t="s">
        <v>38</v>
      </c>
      <c r="N820" s="2" t="s">
        <v>38</v>
      </c>
      <c r="O820" s="2" t="s">
        <v>38</v>
      </c>
      <c r="P820" s="2" t="s">
        <v>39</v>
      </c>
      <c r="Q820" s="2" t="s">
        <v>38</v>
      </c>
      <c r="R820" s="2" t="s">
        <v>38</v>
      </c>
      <c r="S820" s="2" t="s">
        <v>38</v>
      </c>
      <c r="T820" s="2" t="s">
        <v>38</v>
      </c>
      <c r="U820" s="2" t="s">
        <v>38</v>
      </c>
      <c r="V820" s="2" t="s">
        <v>38</v>
      </c>
      <c r="W820" s="2" t="s">
        <v>38</v>
      </c>
      <c r="X820" s="2" t="s">
        <v>38</v>
      </c>
      <c r="Y820" s="2" t="s">
        <v>38</v>
      </c>
      <c r="Z820" s="2" t="s">
        <v>38</v>
      </c>
      <c r="AA820" s="2" t="s">
        <v>38</v>
      </c>
      <c r="AB820" s="2" t="s">
        <v>38</v>
      </c>
      <c r="AC820" s="2" t="s">
        <v>38</v>
      </c>
      <c r="AD820" s="2" t="s">
        <v>38</v>
      </c>
      <c r="AE820" s="2" t="s">
        <v>38</v>
      </c>
    </row>
    <row r="821" spans="1:31" ht="409.5">
      <c r="A821" s="2">
        <v>2660767</v>
      </c>
      <c r="B821" s="2">
        <f>HYPERLINK("https://platform.v2.vetology.net/cases/2660767/screening-report/18?type=pdf&amp;v=v6&amp;scorecard=1&amp;secret_key=BX%25IJ%24%2F65ieZ%29f6", 2660767)</f>
        <v>2660767</v>
      </c>
      <c r="C821" s="2">
        <f>HYPERLINK("https://platform.v2.vetology.net/report/v/final/"&amp;2660767, 2660767)</f>
        <v>2660767</v>
      </c>
      <c r="D821" s="2" t="s">
        <v>2510</v>
      </c>
      <c r="E821" s="2" t="s">
        <v>2511</v>
      </c>
      <c r="F821" s="2" t="s">
        <v>81</v>
      </c>
      <c r="G821" s="2" t="s">
        <v>268</v>
      </c>
      <c r="H821" s="2" t="s">
        <v>78</v>
      </c>
      <c r="I821" s="2" t="s">
        <v>44</v>
      </c>
      <c r="J821" s="2" t="s">
        <v>106</v>
      </c>
      <c r="K821" s="2" t="s">
        <v>38</v>
      </c>
      <c r="L821" s="2" t="s">
        <v>39</v>
      </c>
      <c r="M821" s="2" t="s">
        <v>38</v>
      </c>
      <c r="N821" s="2" t="s">
        <v>38</v>
      </c>
      <c r="O821" s="2" t="s">
        <v>38</v>
      </c>
      <c r="P821" s="2" t="s">
        <v>38</v>
      </c>
      <c r="Q821" s="2" t="s">
        <v>38</v>
      </c>
      <c r="R821" s="2" t="s">
        <v>38</v>
      </c>
      <c r="S821" s="2" t="s">
        <v>38</v>
      </c>
      <c r="T821" s="2" t="s">
        <v>38</v>
      </c>
      <c r="U821" s="2" t="s">
        <v>38</v>
      </c>
      <c r="V821" s="2" t="s">
        <v>38</v>
      </c>
      <c r="W821" s="2" t="s">
        <v>38</v>
      </c>
      <c r="X821" s="2" t="s">
        <v>38</v>
      </c>
      <c r="Y821" s="2" t="s">
        <v>38</v>
      </c>
      <c r="Z821" s="2" t="s">
        <v>38</v>
      </c>
      <c r="AA821" s="2" t="s">
        <v>38</v>
      </c>
      <c r="AB821" s="2" t="s">
        <v>38</v>
      </c>
      <c r="AC821" s="2" t="s">
        <v>38</v>
      </c>
      <c r="AD821" s="2" t="s">
        <v>38</v>
      </c>
      <c r="AE821" s="2" t="s">
        <v>38</v>
      </c>
    </row>
    <row r="822" spans="1:31" ht="409.5">
      <c r="A822" s="2">
        <v>2660739</v>
      </c>
      <c r="B822" s="2">
        <f>HYPERLINK("https://platform.v2.vetology.net/cases/2660739/screening-report/18?type=pdf&amp;v=v6&amp;scorecard=1&amp;secret_key=BX%25IJ%24%2F65ieZ%29f6", 2660739)</f>
        <v>2660739</v>
      </c>
      <c r="C822" s="2">
        <f>HYPERLINK("https://platform.v2.vetology.net/report/v/final/"&amp;2660739, 2660739)</f>
        <v>2660739</v>
      </c>
      <c r="D822" s="2" t="s">
        <v>2512</v>
      </c>
      <c r="E822" s="2" t="s">
        <v>2513</v>
      </c>
      <c r="F822" s="2" t="s">
        <v>2514</v>
      </c>
      <c r="G822" s="2" t="s">
        <v>93</v>
      </c>
      <c r="H822" s="2" t="s">
        <v>2320</v>
      </c>
      <c r="I822" s="2" t="s">
        <v>137</v>
      </c>
      <c r="J822" s="2" t="s">
        <v>66</v>
      </c>
      <c r="K822" s="2" t="s">
        <v>38</v>
      </c>
      <c r="L822" s="2" t="s">
        <v>38</v>
      </c>
      <c r="M822" s="2" t="s">
        <v>39</v>
      </c>
      <c r="N822" s="2" t="s">
        <v>38</v>
      </c>
      <c r="O822" s="2" t="s">
        <v>38</v>
      </c>
      <c r="P822" s="2" t="s">
        <v>39</v>
      </c>
      <c r="Q822" s="2" t="s">
        <v>39</v>
      </c>
      <c r="R822" s="2" t="s">
        <v>38</v>
      </c>
      <c r="S822" s="2" t="s">
        <v>38</v>
      </c>
      <c r="T822" s="2" t="s">
        <v>39</v>
      </c>
      <c r="U822" s="2" t="s">
        <v>39</v>
      </c>
      <c r="V822" s="2" t="s">
        <v>39</v>
      </c>
      <c r="W822" s="2" t="s">
        <v>38</v>
      </c>
      <c r="X822" s="2" t="s">
        <v>39</v>
      </c>
      <c r="Y822" s="2" t="s">
        <v>38</v>
      </c>
      <c r="Z822" s="2" t="s">
        <v>38</v>
      </c>
      <c r="AA822" s="2" t="s">
        <v>38</v>
      </c>
      <c r="AB822" s="2" t="s">
        <v>39</v>
      </c>
      <c r="AC822" s="2" t="s">
        <v>39</v>
      </c>
      <c r="AD822" s="2" t="s">
        <v>38</v>
      </c>
      <c r="AE822" s="2" t="s">
        <v>39</v>
      </c>
    </row>
    <row r="823" spans="1:31" ht="409.5">
      <c r="A823" s="2">
        <v>2660612</v>
      </c>
      <c r="B823" s="2">
        <f>HYPERLINK("https://platform.v2.vetology.net/cases/2660612/screening-report/18?type=pdf&amp;v=v6&amp;scorecard=1&amp;secret_key=BX%25IJ%24%2F65ieZ%29f6", 2660612)</f>
        <v>2660612</v>
      </c>
      <c r="C823" s="2">
        <f>HYPERLINK("https://platform.v2.vetology.net/report/v/final/"&amp;2660612, 2660612)</f>
        <v>2660612</v>
      </c>
      <c r="D823" s="2" t="s">
        <v>2515</v>
      </c>
      <c r="E823" s="2" t="s">
        <v>2516</v>
      </c>
      <c r="F823" s="2" t="s">
        <v>523</v>
      </c>
      <c r="G823" s="2" t="s">
        <v>141</v>
      </c>
      <c r="H823" s="2" t="s">
        <v>2517</v>
      </c>
      <c r="I823" s="2" t="s">
        <v>2518</v>
      </c>
      <c r="J823" s="2" t="s">
        <v>2519</v>
      </c>
      <c r="K823" s="2" t="s">
        <v>38</v>
      </c>
      <c r="L823" s="2" t="s">
        <v>38</v>
      </c>
      <c r="M823" s="2" t="s">
        <v>38</v>
      </c>
      <c r="N823" s="2" t="s">
        <v>38</v>
      </c>
      <c r="O823" s="2" t="s">
        <v>38</v>
      </c>
      <c r="P823" s="2" t="s">
        <v>38</v>
      </c>
      <c r="Q823" s="2" t="s">
        <v>38</v>
      </c>
      <c r="R823" s="2" t="s">
        <v>38</v>
      </c>
      <c r="S823" s="2" t="s">
        <v>38</v>
      </c>
      <c r="T823" s="2" t="s">
        <v>38</v>
      </c>
      <c r="U823" s="2" t="s">
        <v>38</v>
      </c>
      <c r="V823" s="2" t="s">
        <v>38</v>
      </c>
      <c r="W823" s="2" t="s">
        <v>38</v>
      </c>
      <c r="X823" s="2" t="s">
        <v>38</v>
      </c>
      <c r="Y823" s="2" t="s">
        <v>38</v>
      </c>
      <c r="Z823" s="2" t="s">
        <v>38</v>
      </c>
      <c r="AA823" s="2" t="s">
        <v>38</v>
      </c>
      <c r="AB823" s="2" t="s">
        <v>39</v>
      </c>
      <c r="AC823" s="2" t="s">
        <v>38</v>
      </c>
      <c r="AD823" s="2" t="s">
        <v>38</v>
      </c>
      <c r="AE823" s="2" t="s">
        <v>38</v>
      </c>
    </row>
    <row r="824" spans="1:31" ht="409.5">
      <c r="A824" s="2">
        <v>2660573</v>
      </c>
      <c r="B824" s="2">
        <f>HYPERLINK("https://platform.v2.vetology.net/cases/2660573/screening-report/18?type=pdf&amp;v=v6&amp;scorecard=1&amp;secret_key=BX%25IJ%24%2F65ieZ%29f6", 2660573)</f>
        <v>2660573</v>
      </c>
      <c r="C824" s="2">
        <f>HYPERLINK("https://platform.v2.vetology.net/report/v/final/"&amp;2660573, 2660573)</f>
        <v>2660573</v>
      </c>
      <c r="D824" s="2" t="s">
        <v>2520</v>
      </c>
      <c r="E824" s="2" t="s">
        <v>2521</v>
      </c>
      <c r="F824" s="2" t="s">
        <v>81</v>
      </c>
      <c r="G824" s="2" t="s">
        <v>82</v>
      </c>
      <c r="H824" s="2" t="s">
        <v>54</v>
      </c>
      <c r="I824" s="2" t="s">
        <v>44</v>
      </c>
      <c r="J824" s="2"/>
      <c r="K824" s="2" t="s">
        <v>38</v>
      </c>
      <c r="L824" s="2" t="s">
        <v>38</v>
      </c>
      <c r="M824" s="2" t="s">
        <v>39</v>
      </c>
      <c r="N824" s="2" t="s">
        <v>38</v>
      </c>
      <c r="O824" s="2" t="s">
        <v>38</v>
      </c>
      <c r="P824" s="2" t="s">
        <v>38</v>
      </c>
      <c r="Q824" s="2" t="s">
        <v>39</v>
      </c>
      <c r="R824" s="2" t="s">
        <v>38</v>
      </c>
      <c r="S824" s="2" t="s">
        <v>39</v>
      </c>
      <c r="T824" s="2" t="s">
        <v>38</v>
      </c>
      <c r="U824" s="2" t="s">
        <v>38</v>
      </c>
      <c r="V824" s="2" t="s">
        <v>38</v>
      </c>
      <c r="W824" s="2" t="s">
        <v>38</v>
      </c>
      <c r="X824" s="2" t="s">
        <v>38</v>
      </c>
      <c r="Y824" s="2" t="s">
        <v>38</v>
      </c>
      <c r="Z824" s="2" t="s">
        <v>38</v>
      </c>
      <c r="AA824" s="2" t="s">
        <v>38</v>
      </c>
      <c r="AB824" s="2" t="s">
        <v>39</v>
      </c>
      <c r="AC824" s="2" t="s">
        <v>38</v>
      </c>
      <c r="AD824" s="2" t="s">
        <v>38</v>
      </c>
      <c r="AE824" s="2" t="s">
        <v>39</v>
      </c>
    </row>
    <row r="825" spans="1:31" ht="409.5">
      <c r="A825" s="2">
        <v>2660529</v>
      </c>
      <c r="B825" s="2">
        <f>HYPERLINK("https://platform.v2.vetology.net/cases/2660529/screening-report/18?type=pdf&amp;v=v6&amp;scorecard=1&amp;secret_key=BX%25IJ%24%2F65ieZ%29f6", 2660529)</f>
        <v>2660529</v>
      </c>
      <c r="C825" s="2">
        <f>HYPERLINK("https://platform.v2.vetology.net/report/v/final/"&amp;2660529, 2660529)</f>
        <v>2660529</v>
      </c>
      <c r="D825" s="2" t="s">
        <v>2522</v>
      </c>
      <c r="E825" s="2" t="s">
        <v>2523</v>
      </c>
      <c r="F825" s="2" t="s">
        <v>2524</v>
      </c>
      <c r="G825" s="2" t="s">
        <v>63</v>
      </c>
      <c r="H825" s="2" t="s">
        <v>54</v>
      </c>
      <c r="I825" s="2" t="s">
        <v>44</v>
      </c>
      <c r="J825" s="2"/>
      <c r="K825" s="2" t="s">
        <v>38</v>
      </c>
      <c r="L825" s="2" t="s">
        <v>38</v>
      </c>
      <c r="M825" s="2" t="s">
        <v>38</v>
      </c>
      <c r="N825" s="2" t="s">
        <v>38</v>
      </c>
      <c r="O825" s="2" t="s">
        <v>38</v>
      </c>
      <c r="P825" s="2" t="s">
        <v>38</v>
      </c>
      <c r="Q825" s="2" t="s">
        <v>38</v>
      </c>
      <c r="R825" s="2" t="s">
        <v>38</v>
      </c>
      <c r="S825" s="2" t="s">
        <v>38</v>
      </c>
      <c r="T825" s="2" t="s">
        <v>38</v>
      </c>
      <c r="U825" s="2" t="s">
        <v>38</v>
      </c>
      <c r="V825" s="2" t="s">
        <v>38</v>
      </c>
      <c r="W825" s="2" t="s">
        <v>38</v>
      </c>
      <c r="X825" s="2" t="s">
        <v>38</v>
      </c>
      <c r="Y825" s="2" t="s">
        <v>38</v>
      </c>
      <c r="Z825" s="2" t="s">
        <v>38</v>
      </c>
      <c r="AA825" s="2" t="s">
        <v>38</v>
      </c>
      <c r="AB825" s="2" t="s">
        <v>38</v>
      </c>
      <c r="AC825" s="2" t="s">
        <v>38</v>
      </c>
      <c r="AD825" s="2" t="s">
        <v>38</v>
      </c>
      <c r="AE825" s="2" t="s">
        <v>38</v>
      </c>
    </row>
    <row r="826" spans="1:31" ht="409.5">
      <c r="A826" s="2">
        <v>2660441</v>
      </c>
      <c r="B826" s="2">
        <f>HYPERLINK("https://platform.v2.vetology.net/cases/2660441/screening-report/18?type=pdf&amp;v=v6&amp;scorecard=1&amp;secret_key=BX%25IJ%24%2F65ieZ%29f6", 2660441)</f>
        <v>2660441</v>
      </c>
      <c r="C826" s="2">
        <f>HYPERLINK("https://platform.v2.vetology.net/report/v/final/"&amp;2660441, 2660441)</f>
        <v>2660441</v>
      </c>
      <c r="D826" s="2" t="s">
        <v>2525</v>
      </c>
      <c r="E826" s="2" t="s">
        <v>2526</v>
      </c>
      <c r="F826" s="2" t="s">
        <v>81</v>
      </c>
      <c r="G826" s="2" t="s">
        <v>82</v>
      </c>
      <c r="H826" s="2" t="s">
        <v>129</v>
      </c>
      <c r="I826" s="2" t="s">
        <v>44</v>
      </c>
      <c r="J826" s="2"/>
      <c r="K826" s="2" t="s">
        <v>38</v>
      </c>
      <c r="L826" s="2" t="s">
        <v>39</v>
      </c>
      <c r="M826" s="2" t="s">
        <v>38</v>
      </c>
      <c r="N826" s="2" t="s">
        <v>38</v>
      </c>
      <c r="O826" s="2" t="s">
        <v>38</v>
      </c>
      <c r="P826" s="2" t="s">
        <v>38</v>
      </c>
      <c r="Q826" s="2" t="s">
        <v>38</v>
      </c>
      <c r="R826" s="2" t="s">
        <v>38</v>
      </c>
      <c r="S826" s="2" t="s">
        <v>38</v>
      </c>
      <c r="T826" s="2" t="s">
        <v>38</v>
      </c>
      <c r="U826" s="2" t="s">
        <v>38</v>
      </c>
      <c r="V826" s="2" t="s">
        <v>38</v>
      </c>
      <c r="W826" s="2" t="s">
        <v>38</v>
      </c>
      <c r="X826" s="2" t="s">
        <v>38</v>
      </c>
      <c r="Y826" s="2" t="s">
        <v>38</v>
      </c>
      <c r="Z826" s="2" t="s">
        <v>38</v>
      </c>
      <c r="AA826" s="2" t="s">
        <v>38</v>
      </c>
      <c r="AB826" s="2" t="s">
        <v>38</v>
      </c>
      <c r="AC826" s="2" t="s">
        <v>38</v>
      </c>
      <c r="AD826" s="2" t="s">
        <v>38</v>
      </c>
      <c r="AE826" s="2" t="s">
        <v>38</v>
      </c>
    </row>
    <row r="827" spans="1:31" ht="409.5">
      <c r="A827" s="2">
        <v>2660421</v>
      </c>
      <c r="B827" s="2">
        <f>HYPERLINK("https://platform.v2.vetology.net/cases/2660421/screening-report/18?type=pdf&amp;v=v6&amp;scorecard=1&amp;secret_key=BX%25IJ%24%2F65ieZ%29f6", 2660421)</f>
        <v>2660421</v>
      </c>
      <c r="C827" s="2">
        <f>HYPERLINK("https://platform.v2.vetology.net/report/v/final/"&amp;2660421, 2660421)</f>
        <v>2660421</v>
      </c>
      <c r="D827" s="2" t="s">
        <v>2527</v>
      </c>
      <c r="E827" s="2" t="s">
        <v>2528</v>
      </c>
      <c r="F827" s="2" t="s">
        <v>2529</v>
      </c>
      <c r="G827" s="2" t="s">
        <v>70</v>
      </c>
      <c r="H827" s="2" t="s">
        <v>2530</v>
      </c>
      <c r="I827" s="2" t="s">
        <v>1091</v>
      </c>
      <c r="J827" s="2" t="s">
        <v>50</v>
      </c>
      <c r="K827" s="2" t="s">
        <v>38</v>
      </c>
      <c r="L827" s="2" t="s">
        <v>39</v>
      </c>
      <c r="M827" s="2" t="s">
        <v>39</v>
      </c>
      <c r="N827" s="2" t="s">
        <v>38</v>
      </c>
      <c r="O827" s="2" t="s">
        <v>39</v>
      </c>
      <c r="P827" s="2" t="s">
        <v>39</v>
      </c>
      <c r="Q827" s="2" t="s">
        <v>38</v>
      </c>
      <c r="R827" s="2" t="s">
        <v>38</v>
      </c>
      <c r="S827" s="2" t="s">
        <v>39</v>
      </c>
      <c r="T827" s="2" t="s">
        <v>39</v>
      </c>
      <c r="U827" s="2" t="s">
        <v>39</v>
      </c>
      <c r="V827" s="2" t="s">
        <v>39</v>
      </c>
      <c r="W827" s="2" t="s">
        <v>38</v>
      </c>
      <c r="X827" s="2" t="s">
        <v>39</v>
      </c>
      <c r="Y827" s="2" t="s">
        <v>38</v>
      </c>
      <c r="Z827" s="2" t="s">
        <v>39</v>
      </c>
      <c r="AA827" s="2" t="s">
        <v>38</v>
      </c>
      <c r="AB827" s="2" t="s">
        <v>39</v>
      </c>
      <c r="AC827" s="2" t="s">
        <v>39</v>
      </c>
      <c r="AD827" s="2" t="s">
        <v>38</v>
      </c>
      <c r="AE827" s="2" t="s">
        <v>38</v>
      </c>
    </row>
    <row r="828" spans="1:31" ht="409.5">
      <c r="A828" s="2">
        <v>2660324</v>
      </c>
      <c r="B828" s="2">
        <f>HYPERLINK("https://platform.v2.vetology.net/cases/2660324/screening-report/18?type=pdf&amp;v=v6&amp;scorecard=1&amp;secret_key=BX%25IJ%24%2F65ieZ%29f6", 2660324)</f>
        <v>2660324</v>
      </c>
      <c r="C828" s="2">
        <f>HYPERLINK("https://platform.v2.vetology.net/report/v/final/"&amp;2660324, 2660324)</f>
        <v>2660324</v>
      </c>
      <c r="D828" s="2" t="s">
        <v>2531</v>
      </c>
      <c r="E828" s="2" t="s">
        <v>2532</v>
      </c>
      <c r="F828" s="2" t="s">
        <v>81</v>
      </c>
      <c r="G828" s="2" t="s">
        <v>82</v>
      </c>
      <c r="H828" s="2" t="s">
        <v>43</v>
      </c>
      <c r="I828" s="2" t="s">
        <v>44</v>
      </c>
      <c r="J828" s="2"/>
      <c r="K828" s="2" t="s">
        <v>38</v>
      </c>
      <c r="L828" s="2" t="s">
        <v>38</v>
      </c>
      <c r="M828" s="2" t="s">
        <v>38</v>
      </c>
      <c r="N828" s="2" t="s">
        <v>38</v>
      </c>
      <c r="O828" s="2" t="s">
        <v>38</v>
      </c>
      <c r="P828" s="2" t="s">
        <v>38</v>
      </c>
      <c r="Q828" s="2" t="s">
        <v>38</v>
      </c>
      <c r="R828" s="2" t="s">
        <v>38</v>
      </c>
      <c r="S828" s="2" t="s">
        <v>38</v>
      </c>
      <c r="T828" s="2" t="s">
        <v>39</v>
      </c>
      <c r="U828" s="2" t="s">
        <v>38</v>
      </c>
      <c r="V828" s="2" t="s">
        <v>39</v>
      </c>
      <c r="W828" s="2" t="s">
        <v>38</v>
      </c>
      <c r="X828" s="2" t="s">
        <v>39</v>
      </c>
      <c r="Y828" s="2" t="s">
        <v>38</v>
      </c>
      <c r="Z828" s="2" t="s">
        <v>38</v>
      </c>
      <c r="AA828" s="2" t="s">
        <v>38</v>
      </c>
      <c r="AB828" s="2" t="s">
        <v>39</v>
      </c>
      <c r="AC828" s="2" t="s">
        <v>39</v>
      </c>
      <c r="AD828" s="2" t="s">
        <v>38</v>
      </c>
      <c r="AE828" s="2" t="s">
        <v>38</v>
      </c>
    </row>
    <row r="829" spans="1:31" ht="409.5">
      <c r="A829" s="2">
        <v>2660232</v>
      </c>
      <c r="B829" s="2">
        <f>HYPERLINK("https://platform.v2.vetology.net/cases/2660232/screening-report/18?type=pdf&amp;v=v6&amp;scorecard=1&amp;secret_key=BX%25IJ%24%2F65ieZ%29f6", 2660232)</f>
        <v>2660232</v>
      </c>
      <c r="C829" s="2">
        <f>HYPERLINK("https://platform.v2.vetology.net/report/v/final/"&amp;2660232, 2660232)</f>
        <v>2660232</v>
      </c>
      <c r="D829" s="2" t="s">
        <v>2533</v>
      </c>
      <c r="E829" s="2" t="s">
        <v>2534</v>
      </c>
      <c r="F829" s="2" t="s">
        <v>2535</v>
      </c>
      <c r="G829" s="2" t="s">
        <v>58</v>
      </c>
      <c r="H829" s="2" t="s">
        <v>607</v>
      </c>
      <c r="I829" s="2" t="s">
        <v>137</v>
      </c>
      <c r="J829" s="2" t="s">
        <v>66</v>
      </c>
      <c r="K829" s="2" t="s">
        <v>38</v>
      </c>
      <c r="L829" s="2" t="s">
        <v>38</v>
      </c>
      <c r="M829" s="2" t="s">
        <v>38</v>
      </c>
      <c r="N829" s="2" t="s">
        <v>38</v>
      </c>
      <c r="O829" s="2" t="s">
        <v>38</v>
      </c>
      <c r="P829" s="2" t="s">
        <v>38</v>
      </c>
      <c r="Q829" s="2" t="s">
        <v>38</v>
      </c>
      <c r="R829" s="2" t="s">
        <v>38</v>
      </c>
      <c r="S829" s="2" t="s">
        <v>38</v>
      </c>
      <c r="T829" s="2" t="s">
        <v>38</v>
      </c>
      <c r="U829" s="2" t="s">
        <v>38</v>
      </c>
      <c r="V829" s="2" t="s">
        <v>38</v>
      </c>
      <c r="W829" s="2" t="s">
        <v>38</v>
      </c>
      <c r="X829" s="2" t="s">
        <v>38</v>
      </c>
      <c r="Y829" s="2" t="s">
        <v>38</v>
      </c>
      <c r="Z829" s="2" t="s">
        <v>38</v>
      </c>
      <c r="AA829" s="2" t="s">
        <v>38</v>
      </c>
      <c r="AB829" s="2" t="s">
        <v>38</v>
      </c>
      <c r="AC829" s="2" t="s">
        <v>38</v>
      </c>
      <c r="AD829" s="2" t="s">
        <v>38</v>
      </c>
      <c r="AE829" s="2" t="s">
        <v>39</v>
      </c>
    </row>
    <row r="830" spans="1:31" ht="409.5">
      <c r="A830" s="2">
        <v>2660089</v>
      </c>
      <c r="B830" s="2">
        <f>HYPERLINK("https://platform.v2.vetology.net/cases/2660089/screening-report/18?type=pdf&amp;v=v6&amp;scorecard=1&amp;secret_key=BX%25IJ%24%2F65ieZ%29f6", 2660089)</f>
        <v>2660089</v>
      </c>
      <c r="C830" s="2">
        <f>HYPERLINK("https://platform.v2.vetology.net/report/v/final/"&amp;2660089, 2660089)</f>
        <v>2660089</v>
      </c>
      <c r="D830" s="2" t="s">
        <v>2536</v>
      </c>
      <c r="E830" s="2" t="s">
        <v>2537</v>
      </c>
      <c r="F830" s="2" t="s">
        <v>2538</v>
      </c>
      <c r="G830" s="2" t="s">
        <v>82</v>
      </c>
      <c r="H830" s="2" t="s">
        <v>2539</v>
      </c>
      <c r="I830" s="2" t="s">
        <v>36</v>
      </c>
      <c r="J830" s="2" t="s">
        <v>37</v>
      </c>
      <c r="K830" s="2" t="s">
        <v>38</v>
      </c>
      <c r="L830" s="2" t="s">
        <v>39</v>
      </c>
      <c r="M830" s="2" t="s">
        <v>39</v>
      </c>
      <c r="N830" s="2" t="s">
        <v>38</v>
      </c>
      <c r="O830" s="2" t="s">
        <v>38</v>
      </c>
      <c r="P830" s="2" t="s">
        <v>38</v>
      </c>
      <c r="Q830" s="2" t="s">
        <v>38</v>
      </c>
      <c r="R830" s="2" t="s">
        <v>38</v>
      </c>
      <c r="S830" s="2" t="s">
        <v>38</v>
      </c>
      <c r="T830" s="2" t="s">
        <v>39</v>
      </c>
      <c r="U830" s="2" t="s">
        <v>38</v>
      </c>
      <c r="V830" s="2" t="s">
        <v>39</v>
      </c>
      <c r="W830" s="2" t="s">
        <v>38</v>
      </c>
      <c r="X830" s="2" t="s">
        <v>39</v>
      </c>
      <c r="Y830" s="2" t="s">
        <v>38</v>
      </c>
      <c r="Z830" s="2" t="s">
        <v>38</v>
      </c>
      <c r="AA830" s="2" t="s">
        <v>38</v>
      </c>
      <c r="AB830" s="2" t="s">
        <v>38</v>
      </c>
      <c r="AC830" s="2" t="s">
        <v>39</v>
      </c>
      <c r="AD830" s="2" t="s">
        <v>38</v>
      </c>
      <c r="AE830" s="2" t="s">
        <v>38</v>
      </c>
    </row>
    <row r="831" spans="1:31" ht="409.5">
      <c r="A831" s="2">
        <v>2659934</v>
      </c>
      <c r="B831" s="2">
        <f>HYPERLINK("https://platform.v2.vetology.net/cases/2659934/screening-report/18?type=pdf&amp;v=v6&amp;scorecard=1&amp;secret_key=BX%25IJ%24%2F65ieZ%29f6", 2659934)</f>
        <v>2659934</v>
      </c>
      <c r="C831" s="2">
        <f>HYPERLINK("https://platform.v2.vetology.net/report/v/final/"&amp;2659934, 2659934)</f>
        <v>2659934</v>
      </c>
      <c r="D831" s="2" t="s">
        <v>2540</v>
      </c>
      <c r="E831" s="2" t="s">
        <v>2541</v>
      </c>
      <c r="F831" s="2" t="s">
        <v>81</v>
      </c>
      <c r="G831" s="2" t="s">
        <v>150</v>
      </c>
      <c r="H831" s="2" t="s">
        <v>2542</v>
      </c>
      <c r="I831" s="2" t="s">
        <v>321</v>
      </c>
      <c r="J831" s="2" t="s">
        <v>66</v>
      </c>
      <c r="K831" s="2" t="s">
        <v>38</v>
      </c>
      <c r="L831" s="2" t="s">
        <v>39</v>
      </c>
      <c r="M831" s="2" t="s">
        <v>38</v>
      </c>
      <c r="N831" s="2" t="s">
        <v>39</v>
      </c>
      <c r="O831" s="2" t="s">
        <v>39</v>
      </c>
      <c r="P831" s="2" t="s">
        <v>38</v>
      </c>
      <c r="Q831" s="2" t="s">
        <v>38</v>
      </c>
      <c r="R831" s="2" t="s">
        <v>38</v>
      </c>
      <c r="S831" s="2" t="s">
        <v>38</v>
      </c>
      <c r="T831" s="2" t="s">
        <v>39</v>
      </c>
      <c r="U831" s="2" t="s">
        <v>38</v>
      </c>
      <c r="V831" s="2" t="s">
        <v>39</v>
      </c>
      <c r="W831" s="2" t="s">
        <v>38</v>
      </c>
      <c r="X831" s="2" t="s">
        <v>38</v>
      </c>
      <c r="Y831" s="2" t="s">
        <v>38</v>
      </c>
      <c r="Z831" s="2" t="s">
        <v>38</v>
      </c>
      <c r="AA831" s="2" t="s">
        <v>38</v>
      </c>
      <c r="AB831" s="2" t="s">
        <v>38</v>
      </c>
      <c r="AC831" s="2" t="s">
        <v>38</v>
      </c>
      <c r="AD831" s="2" t="s">
        <v>38</v>
      </c>
      <c r="AE831" s="2" t="s">
        <v>39</v>
      </c>
    </row>
    <row r="832" spans="1:31" ht="409.5">
      <c r="A832" s="2">
        <v>2659896</v>
      </c>
      <c r="B832" s="2">
        <f>HYPERLINK("https://platform.v2.vetology.net/cases/2659896/screening-report/18?type=pdf&amp;v=v6&amp;scorecard=1&amp;secret_key=BX%25IJ%24%2F65ieZ%29f6", 2659896)</f>
        <v>2659896</v>
      </c>
      <c r="C832" s="2">
        <f>HYPERLINK("https://platform.v2.vetology.net/report/v/final/"&amp;2659896, 2659896)</f>
        <v>2659896</v>
      </c>
      <c r="D832" s="2" t="s">
        <v>2543</v>
      </c>
      <c r="E832" s="2" t="s">
        <v>2544</v>
      </c>
      <c r="F832" s="2" t="s">
        <v>81</v>
      </c>
      <c r="G832" s="2" t="s">
        <v>82</v>
      </c>
      <c r="H832" s="2" t="s">
        <v>129</v>
      </c>
      <c r="I832" s="2" t="s">
        <v>44</v>
      </c>
      <c r="J832" s="2"/>
      <c r="K832" s="2" t="s">
        <v>38</v>
      </c>
      <c r="L832" s="2" t="s">
        <v>38</v>
      </c>
      <c r="M832" s="2" t="s">
        <v>38</v>
      </c>
      <c r="N832" s="2" t="s">
        <v>38</v>
      </c>
      <c r="O832" s="2" t="s">
        <v>38</v>
      </c>
      <c r="P832" s="2" t="s">
        <v>38</v>
      </c>
      <c r="Q832" s="2" t="s">
        <v>38</v>
      </c>
      <c r="R832" s="2" t="s">
        <v>38</v>
      </c>
      <c r="S832" s="2" t="s">
        <v>38</v>
      </c>
      <c r="T832" s="2" t="s">
        <v>39</v>
      </c>
      <c r="U832" s="2" t="s">
        <v>38</v>
      </c>
      <c r="V832" s="2" t="s">
        <v>38</v>
      </c>
      <c r="W832" s="2" t="s">
        <v>38</v>
      </c>
      <c r="X832" s="2" t="s">
        <v>38</v>
      </c>
      <c r="Y832" s="2" t="s">
        <v>38</v>
      </c>
      <c r="Z832" s="2" t="s">
        <v>38</v>
      </c>
      <c r="AA832" s="2" t="s">
        <v>38</v>
      </c>
      <c r="AB832" s="2" t="s">
        <v>38</v>
      </c>
      <c r="AC832" s="2" t="s">
        <v>38</v>
      </c>
      <c r="AD832" s="2" t="s">
        <v>38</v>
      </c>
      <c r="AE832" s="2" t="s">
        <v>38</v>
      </c>
    </row>
    <row r="833" spans="1:31" ht="409.5">
      <c r="A833" s="2">
        <v>2659821</v>
      </c>
      <c r="B833" s="2">
        <f>HYPERLINK("https://platform.v2.vetology.net/cases/2659821/screening-report/18?type=pdf&amp;v=v6&amp;scorecard=1&amp;secret_key=BX%25IJ%24%2F65ieZ%29f6", 2659821)</f>
        <v>2659821</v>
      </c>
      <c r="C833" s="2">
        <f>HYPERLINK("https://platform.v2.vetology.net/report/v/final/"&amp;2659821, 2659821)</f>
        <v>2659821</v>
      </c>
      <c r="D833" s="2" t="s">
        <v>2545</v>
      </c>
      <c r="E833" s="2" t="s">
        <v>2546</v>
      </c>
      <c r="F833" s="2" t="s">
        <v>2547</v>
      </c>
      <c r="G833" s="2" t="s">
        <v>58</v>
      </c>
      <c r="H833" s="2" t="s">
        <v>364</v>
      </c>
      <c r="I833" s="2" t="s">
        <v>264</v>
      </c>
      <c r="J833" s="2" t="s">
        <v>265</v>
      </c>
      <c r="K833" s="2" t="s">
        <v>38</v>
      </c>
      <c r="L833" s="2" t="s">
        <v>39</v>
      </c>
      <c r="M833" s="2" t="s">
        <v>39</v>
      </c>
      <c r="N833" s="2" t="s">
        <v>38</v>
      </c>
      <c r="O833" s="2" t="s">
        <v>38</v>
      </c>
      <c r="P833" s="2" t="s">
        <v>39</v>
      </c>
      <c r="Q833" s="2" t="s">
        <v>38</v>
      </c>
      <c r="R833" s="2" t="s">
        <v>38</v>
      </c>
      <c r="S833" s="2" t="s">
        <v>38</v>
      </c>
      <c r="T833" s="2" t="s">
        <v>39</v>
      </c>
      <c r="U833" s="2" t="s">
        <v>38</v>
      </c>
      <c r="V833" s="2" t="s">
        <v>38</v>
      </c>
      <c r="W833" s="2" t="s">
        <v>38</v>
      </c>
      <c r="X833" s="2" t="s">
        <v>39</v>
      </c>
      <c r="Y833" s="2" t="s">
        <v>38</v>
      </c>
      <c r="Z833" s="2" t="s">
        <v>38</v>
      </c>
      <c r="AA833" s="2" t="s">
        <v>38</v>
      </c>
      <c r="AB833" s="2" t="s">
        <v>39</v>
      </c>
      <c r="AC833" s="2" t="s">
        <v>38</v>
      </c>
      <c r="AD833" s="2" t="s">
        <v>38</v>
      </c>
      <c r="AE833" s="2" t="s">
        <v>38</v>
      </c>
    </row>
    <row r="834" spans="1:31" ht="409.5">
      <c r="A834" s="2">
        <v>2659808</v>
      </c>
      <c r="B834" s="2">
        <f>HYPERLINK("https://platform.v2.vetology.net/cases/2659808/screening-report/18?type=pdf&amp;v=v6&amp;scorecard=1&amp;secret_key=BX%25IJ%24%2F65ieZ%29f6", 2659808)</f>
        <v>2659808</v>
      </c>
      <c r="C834" s="2">
        <f>HYPERLINK("https://platform.v2.vetology.net/report/v/final/"&amp;2659808, 2659808)</f>
        <v>2659808</v>
      </c>
      <c r="D834" s="2" t="s">
        <v>2548</v>
      </c>
      <c r="E834" s="2" t="s">
        <v>2549</v>
      </c>
      <c r="F834" s="2" t="s">
        <v>81</v>
      </c>
      <c r="G834" s="2" t="s">
        <v>150</v>
      </c>
      <c r="H834" s="2" t="s">
        <v>1644</v>
      </c>
      <c r="I834" s="2" t="s">
        <v>634</v>
      </c>
      <c r="J834" s="2" t="s">
        <v>635</v>
      </c>
      <c r="K834" s="2" t="s">
        <v>39</v>
      </c>
      <c r="L834" s="2" t="s">
        <v>39</v>
      </c>
      <c r="M834" s="2" t="s">
        <v>39</v>
      </c>
      <c r="N834" s="2" t="s">
        <v>39</v>
      </c>
      <c r="O834" s="2" t="s">
        <v>39</v>
      </c>
      <c r="P834" s="2" t="s">
        <v>39</v>
      </c>
      <c r="Q834" s="2" t="s">
        <v>39</v>
      </c>
      <c r="R834" s="2" t="s">
        <v>39</v>
      </c>
      <c r="S834" s="2" t="s">
        <v>39</v>
      </c>
      <c r="T834" s="2" t="s">
        <v>39</v>
      </c>
      <c r="U834" s="2" t="s">
        <v>39</v>
      </c>
      <c r="V834" s="2" t="s">
        <v>39</v>
      </c>
      <c r="W834" s="2" t="s">
        <v>39</v>
      </c>
      <c r="X834" s="2" t="s">
        <v>39</v>
      </c>
      <c r="Y834" s="2" t="s">
        <v>38</v>
      </c>
      <c r="Z834" s="2" t="s">
        <v>39</v>
      </c>
      <c r="AA834" s="2" t="s">
        <v>39</v>
      </c>
      <c r="AB834" s="2" t="s">
        <v>39</v>
      </c>
      <c r="AC834" s="2" t="s">
        <v>39</v>
      </c>
      <c r="AD834" s="2" t="s">
        <v>38</v>
      </c>
      <c r="AE834" s="2" t="s">
        <v>39</v>
      </c>
    </row>
    <row r="835" spans="1:31" ht="409.5">
      <c r="A835" s="2">
        <v>2659784</v>
      </c>
      <c r="B835" s="2">
        <f>HYPERLINK("https://platform.v2.vetology.net/cases/2659784/screening-report/18?type=pdf&amp;v=v6&amp;scorecard=1&amp;secret_key=BX%25IJ%24%2F65ieZ%29f6", 2659784)</f>
        <v>2659784</v>
      </c>
      <c r="C835" s="2">
        <f>HYPERLINK("https://platform.v2.vetology.net/report/v/final/"&amp;2659784, 2659784)</f>
        <v>2659784</v>
      </c>
      <c r="D835" s="2" t="s">
        <v>2550</v>
      </c>
      <c r="E835" s="2" t="s">
        <v>2551</v>
      </c>
      <c r="F835" s="2" t="s">
        <v>515</v>
      </c>
      <c r="G835" s="2" t="s">
        <v>268</v>
      </c>
      <c r="H835" s="2" t="s">
        <v>2552</v>
      </c>
      <c r="I835" s="2" t="s">
        <v>137</v>
      </c>
      <c r="J835" s="2" t="s">
        <v>66</v>
      </c>
      <c r="K835" s="2" t="s">
        <v>38</v>
      </c>
      <c r="L835" s="2" t="s">
        <v>39</v>
      </c>
      <c r="M835" s="2" t="s">
        <v>39</v>
      </c>
      <c r="N835" s="2" t="s">
        <v>38</v>
      </c>
      <c r="O835" s="2" t="s">
        <v>39</v>
      </c>
      <c r="P835" s="2" t="s">
        <v>38</v>
      </c>
      <c r="Q835" s="2" t="s">
        <v>38</v>
      </c>
      <c r="R835" s="2" t="s">
        <v>38</v>
      </c>
      <c r="S835" s="2" t="s">
        <v>39</v>
      </c>
      <c r="T835" s="2" t="s">
        <v>39</v>
      </c>
      <c r="U835" s="2" t="s">
        <v>38</v>
      </c>
      <c r="V835" s="2" t="s">
        <v>39</v>
      </c>
      <c r="W835" s="2" t="s">
        <v>38</v>
      </c>
      <c r="X835" s="2" t="s">
        <v>39</v>
      </c>
      <c r="Y835" s="2" t="s">
        <v>38</v>
      </c>
      <c r="Z835" s="2" t="s">
        <v>38</v>
      </c>
      <c r="AA835" s="2" t="s">
        <v>38</v>
      </c>
      <c r="AB835" s="2" t="s">
        <v>39</v>
      </c>
      <c r="AC835" s="2" t="s">
        <v>38</v>
      </c>
      <c r="AD835" s="2" t="s">
        <v>38</v>
      </c>
      <c r="AE835" s="2" t="s">
        <v>39</v>
      </c>
    </row>
    <row r="836" spans="1:31" ht="409.5">
      <c r="A836" s="2">
        <v>2659553</v>
      </c>
      <c r="B836" s="2">
        <f>HYPERLINK("https://platform.v2.vetology.net/cases/2659553/screening-report/18?type=pdf&amp;v=v6&amp;scorecard=1&amp;secret_key=BX%25IJ%24%2F65ieZ%29f6", 2659553)</f>
        <v>2659553</v>
      </c>
      <c r="C836" s="2">
        <f>HYPERLINK("https://platform.v2.vetology.net/report/v/final/"&amp;2659553, 2659553)</f>
        <v>2659553</v>
      </c>
      <c r="D836" s="2" t="s">
        <v>2553</v>
      </c>
      <c r="E836" s="2" t="s">
        <v>2554</v>
      </c>
      <c r="F836" s="2" t="s">
        <v>81</v>
      </c>
      <c r="G836" s="2" t="s">
        <v>268</v>
      </c>
      <c r="H836" s="2" t="s">
        <v>2555</v>
      </c>
      <c r="I836" s="2" t="s">
        <v>36</v>
      </c>
      <c r="J836" s="2" t="s">
        <v>37</v>
      </c>
      <c r="K836" s="2" t="s">
        <v>38</v>
      </c>
      <c r="L836" s="2" t="s">
        <v>38</v>
      </c>
      <c r="M836" s="2" t="s">
        <v>38</v>
      </c>
      <c r="N836" s="2" t="s">
        <v>38</v>
      </c>
      <c r="O836" s="2" t="s">
        <v>38</v>
      </c>
      <c r="P836" s="2" t="s">
        <v>38</v>
      </c>
      <c r="Q836" s="2" t="s">
        <v>38</v>
      </c>
      <c r="R836" s="2" t="s">
        <v>38</v>
      </c>
      <c r="S836" s="2" t="s">
        <v>38</v>
      </c>
      <c r="T836" s="2" t="s">
        <v>38</v>
      </c>
      <c r="U836" s="2" t="s">
        <v>38</v>
      </c>
      <c r="V836" s="2" t="s">
        <v>38</v>
      </c>
      <c r="W836" s="2" t="s">
        <v>38</v>
      </c>
      <c r="X836" s="2" t="s">
        <v>38</v>
      </c>
      <c r="Y836" s="2" t="s">
        <v>38</v>
      </c>
      <c r="Z836" s="2" t="s">
        <v>38</v>
      </c>
      <c r="AA836" s="2" t="s">
        <v>38</v>
      </c>
      <c r="AB836" s="2" t="s">
        <v>38</v>
      </c>
      <c r="AC836" s="2" t="s">
        <v>38</v>
      </c>
      <c r="AD836" s="2" t="s">
        <v>38</v>
      </c>
      <c r="AE836" s="2" t="s">
        <v>38</v>
      </c>
    </row>
    <row r="837" spans="1:31" ht="409.5">
      <c r="A837" s="2">
        <v>2659518</v>
      </c>
      <c r="B837" s="2">
        <f>HYPERLINK("https://platform.v2.vetology.net/cases/2659518/screening-report/18?type=pdf&amp;v=v6&amp;scorecard=1&amp;secret_key=BX%25IJ%24%2F65ieZ%29f6", 2659518)</f>
        <v>2659518</v>
      </c>
      <c r="C837" s="2">
        <f>HYPERLINK("https://platform.v2.vetology.net/report/v/final/"&amp;2659518, 2659518)</f>
        <v>2659518</v>
      </c>
      <c r="D837" s="2" t="s">
        <v>2556</v>
      </c>
      <c r="E837" s="2" t="s">
        <v>2557</v>
      </c>
      <c r="F837" s="2" t="s">
        <v>2558</v>
      </c>
      <c r="G837" s="2" t="s">
        <v>93</v>
      </c>
      <c r="H837" s="2" t="s">
        <v>94</v>
      </c>
      <c r="I837" s="2" t="s">
        <v>89</v>
      </c>
      <c r="J837" s="2" t="s">
        <v>66</v>
      </c>
      <c r="K837" s="2" t="s">
        <v>38</v>
      </c>
      <c r="L837" s="2" t="s">
        <v>38</v>
      </c>
      <c r="M837" s="2" t="s">
        <v>38</v>
      </c>
      <c r="N837" s="2" t="s">
        <v>38</v>
      </c>
      <c r="O837" s="2" t="s">
        <v>38</v>
      </c>
      <c r="P837" s="2" t="s">
        <v>38</v>
      </c>
      <c r="Q837" s="2" t="s">
        <v>38</v>
      </c>
      <c r="R837" s="2" t="s">
        <v>38</v>
      </c>
      <c r="S837" s="2" t="s">
        <v>38</v>
      </c>
      <c r="T837" s="2" t="s">
        <v>38</v>
      </c>
      <c r="U837" s="2" t="s">
        <v>38</v>
      </c>
      <c r="V837" s="2" t="s">
        <v>38</v>
      </c>
      <c r="W837" s="2" t="s">
        <v>38</v>
      </c>
      <c r="X837" s="2" t="s">
        <v>38</v>
      </c>
      <c r="Y837" s="2" t="s">
        <v>38</v>
      </c>
      <c r="Z837" s="2" t="s">
        <v>38</v>
      </c>
      <c r="AA837" s="2" t="s">
        <v>38</v>
      </c>
      <c r="AB837" s="2" t="s">
        <v>38</v>
      </c>
      <c r="AC837" s="2" t="s">
        <v>38</v>
      </c>
      <c r="AD837" s="2" t="s">
        <v>38</v>
      </c>
      <c r="AE837" s="2" t="s">
        <v>39</v>
      </c>
    </row>
    <row r="838" spans="1:31" ht="409.5">
      <c r="A838" s="2">
        <v>2659115</v>
      </c>
      <c r="B838" s="2">
        <f>HYPERLINK("https://platform.v2.vetology.net/cases/2659115/screening-report/18?type=pdf&amp;v=v6&amp;scorecard=1&amp;secret_key=BX%25IJ%24%2F65ieZ%29f6", 2659115)</f>
        <v>2659115</v>
      </c>
      <c r="C838" s="2">
        <f>HYPERLINK("https://platform.v2.vetology.net/report/v/final/"&amp;2659115, 2659115)</f>
        <v>2659115</v>
      </c>
      <c r="D838" s="2" t="s">
        <v>2559</v>
      </c>
      <c r="E838" s="2" t="s">
        <v>2560</v>
      </c>
      <c r="F838" s="2" t="s">
        <v>523</v>
      </c>
      <c r="G838" s="2" t="s">
        <v>141</v>
      </c>
      <c r="H838" s="2" t="s">
        <v>54</v>
      </c>
      <c r="I838" s="2" t="s">
        <v>44</v>
      </c>
      <c r="J838" s="2" t="s">
        <v>106</v>
      </c>
      <c r="K838" s="2" t="s">
        <v>38</v>
      </c>
      <c r="L838" s="2" t="s">
        <v>39</v>
      </c>
      <c r="M838" s="2" t="s">
        <v>38</v>
      </c>
      <c r="N838" s="2" t="s">
        <v>38</v>
      </c>
      <c r="O838" s="2" t="s">
        <v>38</v>
      </c>
      <c r="P838" s="2" t="s">
        <v>38</v>
      </c>
      <c r="Q838" s="2" t="s">
        <v>38</v>
      </c>
      <c r="R838" s="2" t="s">
        <v>38</v>
      </c>
      <c r="S838" s="2" t="s">
        <v>38</v>
      </c>
      <c r="T838" s="2" t="s">
        <v>38</v>
      </c>
      <c r="U838" s="2" t="s">
        <v>38</v>
      </c>
      <c r="V838" s="2" t="s">
        <v>38</v>
      </c>
      <c r="W838" s="2" t="s">
        <v>38</v>
      </c>
      <c r="X838" s="2" t="s">
        <v>38</v>
      </c>
      <c r="Y838" s="2" t="s">
        <v>38</v>
      </c>
      <c r="Z838" s="2" t="s">
        <v>38</v>
      </c>
      <c r="AA838" s="2" t="s">
        <v>38</v>
      </c>
      <c r="AB838" s="2" t="s">
        <v>39</v>
      </c>
      <c r="AC838" s="2" t="s">
        <v>38</v>
      </c>
      <c r="AD838" s="2" t="s">
        <v>38</v>
      </c>
      <c r="AE838" s="2" t="s">
        <v>38</v>
      </c>
    </row>
    <row r="839" spans="1:31" ht="409.5">
      <c r="A839" s="2">
        <v>2659112</v>
      </c>
      <c r="B839" s="2">
        <f>HYPERLINK("https://platform.v2.vetology.net/cases/2659112/screening-report/18?type=pdf&amp;v=v6&amp;scorecard=1&amp;secret_key=BX%25IJ%24%2F65ieZ%29f6", 2659112)</f>
        <v>2659112</v>
      </c>
      <c r="C839" s="2">
        <f>HYPERLINK("https://platform.v2.vetology.net/report/v/final/"&amp;2659112, 2659112)</f>
        <v>2659112</v>
      </c>
      <c r="D839" s="2" t="s">
        <v>2561</v>
      </c>
      <c r="E839" s="2" t="s">
        <v>2562</v>
      </c>
      <c r="F839" s="2" t="s">
        <v>2563</v>
      </c>
      <c r="G839" s="2" t="s">
        <v>464</v>
      </c>
      <c r="H839" s="2" t="s">
        <v>2564</v>
      </c>
      <c r="I839" s="2" t="s">
        <v>167</v>
      </c>
      <c r="J839" s="2" t="s">
        <v>168</v>
      </c>
      <c r="K839" s="2" t="s">
        <v>38</v>
      </c>
      <c r="L839" s="2" t="s">
        <v>39</v>
      </c>
      <c r="M839" s="2" t="s">
        <v>38</v>
      </c>
      <c r="N839" s="2" t="s">
        <v>38</v>
      </c>
      <c r="O839" s="2" t="s">
        <v>38</v>
      </c>
      <c r="P839" s="2" t="s">
        <v>38</v>
      </c>
      <c r="Q839" s="2" t="s">
        <v>38</v>
      </c>
      <c r="R839" s="2" t="s">
        <v>38</v>
      </c>
      <c r="S839" s="2" t="s">
        <v>39</v>
      </c>
      <c r="T839" s="2" t="s">
        <v>38</v>
      </c>
      <c r="U839" s="2" t="s">
        <v>38</v>
      </c>
      <c r="V839" s="2" t="s">
        <v>38</v>
      </c>
      <c r="W839" s="2" t="s">
        <v>38</v>
      </c>
      <c r="X839" s="2" t="s">
        <v>38</v>
      </c>
      <c r="Y839" s="2" t="s">
        <v>38</v>
      </c>
      <c r="Z839" s="2" t="s">
        <v>38</v>
      </c>
      <c r="AA839" s="2" t="s">
        <v>38</v>
      </c>
      <c r="AB839" s="2" t="s">
        <v>38</v>
      </c>
      <c r="AC839" s="2" t="s">
        <v>38</v>
      </c>
      <c r="AD839" s="2" t="s">
        <v>38</v>
      </c>
      <c r="AE839" s="2" t="s">
        <v>38</v>
      </c>
    </row>
    <row r="840" spans="1:31" ht="409.5">
      <c r="A840" s="2">
        <v>2658856</v>
      </c>
      <c r="B840" s="2">
        <f>HYPERLINK("https://platform.v2.vetology.net/cases/2658856/screening-report/18?type=pdf&amp;v=v6&amp;scorecard=1&amp;secret_key=BX%25IJ%24%2F65ieZ%29f6", 2658856)</f>
        <v>2658856</v>
      </c>
      <c r="C840" s="2">
        <f>HYPERLINK("https://platform.v2.vetology.net/report/v/final/"&amp;2658856, 2658856)</f>
        <v>2658856</v>
      </c>
      <c r="D840" s="2" t="s">
        <v>2565</v>
      </c>
      <c r="E840" s="2" t="s">
        <v>850</v>
      </c>
      <c r="F840" s="2"/>
      <c r="G840" s="2" t="s">
        <v>150</v>
      </c>
      <c r="H840" s="2" t="s">
        <v>1180</v>
      </c>
      <c r="I840" s="2" t="s">
        <v>158</v>
      </c>
      <c r="J840" s="2" t="s">
        <v>50</v>
      </c>
      <c r="K840" s="2" t="s">
        <v>38</v>
      </c>
      <c r="L840" s="2" t="s">
        <v>39</v>
      </c>
      <c r="M840" s="2" t="s">
        <v>38</v>
      </c>
      <c r="N840" s="2" t="s">
        <v>38</v>
      </c>
      <c r="O840" s="2" t="s">
        <v>38</v>
      </c>
      <c r="P840" s="2" t="s">
        <v>38</v>
      </c>
      <c r="Q840" s="2" t="s">
        <v>38</v>
      </c>
      <c r="R840" s="2" t="s">
        <v>38</v>
      </c>
      <c r="S840" s="2" t="s">
        <v>38</v>
      </c>
      <c r="T840" s="2" t="s">
        <v>38</v>
      </c>
      <c r="U840" s="2" t="s">
        <v>38</v>
      </c>
      <c r="V840" s="2" t="s">
        <v>38</v>
      </c>
      <c r="W840" s="2" t="s">
        <v>38</v>
      </c>
      <c r="X840" s="2" t="s">
        <v>38</v>
      </c>
      <c r="Y840" s="2" t="s">
        <v>38</v>
      </c>
      <c r="Z840" s="2" t="s">
        <v>38</v>
      </c>
      <c r="AA840" s="2" t="s">
        <v>38</v>
      </c>
      <c r="AB840" s="2" t="s">
        <v>39</v>
      </c>
      <c r="AC840" s="2" t="s">
        <v>38</v>
      </c>
      <c r="AD840" s="2" t="s">
        <v>38</v>
      </c>
      <c r="AE840" s="2" t="s">
        <v>38</v>
      </c>
    </row>
    <row r="841" spans="1:31" ht="409.5">
      <c r="A841" s="2">
        <v>2658678</v>
      </c>
      <c r="B841" s="2">
        <f>HYPERLINK("https://platform.v2.vetology.net/cases/2658678/screening-report/18?type=pdf&amp;v=v6&amp;scorecard=1&amp;secret_key=BX%25IJ%24%2F65ieZ%29f6", 2658678)</f>
        <v>2658678</v>
      </c>
      <c r="C841" s="2">
        <f>HYPERLINK("https://platform.v2.vetology.net/report/v/final/"&amp;2658678, 2658678)</f>
        <v>2658678</v>
      </c>
      <c r="D841" s="2" t="s">
        <v>2566</v>
      </c>
      <c r="E841" s="2" t="s">
        <v>2567</v>
      </c>
      <c r="F841" s="2" t="s">
        <v>2568</v>
      </c>
      <c r="G841" s="2" t="s">
        <v>93</v>
      </c>
      <c r="H841" s="2" t="s">
        <v>751</v>
      </c>
      <c r="I841" s="2" t="s">
        <v>227</v>
      </c>
      <c r="J841" s="2" t="s">
        <v>228</v>
      </c>
      <c r="K841" s="2" t="s">
        <v>38</v>
      </c>
      <c r="L841" s="2" t="s">
        <v>39</v>
      </c>
      <c r="M841" s="2" t="s">
        <v>39</v>
      </c>
      <c r="N841" s="2" t="s">
        <v>38</v>
      </c>
      <c r="O841" s="2" t="s">
        <v>38</v>
      </c>
      <c r="P841" s="2" t="s">
        <v>39</v>
      </c>
      <c r="Q841" s="2" t="s">
        <v>38</v>
      </c>
      <c r="R841" s="2" t="s">
        <v>38</v>
      </c>
      <c r="S841" s="2" t="s">
        <v>38</v>
      </c>
      <c r="T841" s="2" t="s">
        <v>38</v>
      </c>
      <c r="U841" s="2" t="s">
        <v>38</v>
      </c>
      <c r="V841" s="2" t="s">
        <v>38</v>
      </c>
      <c r="W841" s="2" t="s">
        <v>38</v>
      </c>
      <c r="X841" s="2" t="s">
        <v>38</v>
      </c>
      <c r="Y841" s="2" t="s">
        <v>38</v>
      </c>
      <c r="Z841" s="2" t="s">
        <v>38</v>
      </c>
      <c r="AA841" s="2" t="s">
        <v>38</v>
      </c>
      <c r="AB841" s="2" t="s">
        <v>39</v>
      </c>
      <c r="AC841" s="2" t="s">
        <v>39</v>
      </c>
      <c r="AD841" s="2" t="s">
        <v>38</v>
      </c>
      <c r="AE841" s="2" t="s">
        <v>38</v>
      </c>
    </row>
    <row r="842" spans="1:31" ht="409.5">
      <c r="A842" s="2">
        <v>2658634</v>
      </c>
      <c r="B842" s="2">
        <f>HYPERLINK("https://platform.v2.vetology.net/cases/2658634/screening-report/18?type=pdf&amp;v=v6&amp;scorecard=1&amp;secret_key=BX%25IJ%24%2F65ieZ%29f6", 2658634)</f>
        <v>2658634</v>
      </c>
      <c r="C842" s="2">
        <f>HYPERLINK("https://platform.v2.vetology.net/report/v/final/"&amp;2658634, 2658634)</f>
        <v>2658634</v>
      </c>
      <c r="D842" s="2" t="s">
        <v>2569</v>
      </c>
      <c r="E842" s="2" t="s">
        <v>2570</v>
      </c>
      <c r="F842" s="2" t="s">
        <v>2571</v>
      </c>
      <c r="G842" s="2" t="s">
        <v>150</v>
      </c>
      <c r="H842" s="2" t="s">
        <v>78</v>
      </c>
      <c r="I842" s="2" t="s">
        <v>44</v>
      </c>
      <c r="J842" s="2"/>
      <c r="K842" s="2" t="s">
        <v>38</v>
      </c>
      <c r="L842" s="2" t="s">
        <v>39</v>
      </c>
      <c r="M842" s="2" t="s">
        <v>38</v>
      </c>
      <c r="N842" s="2" t="s">
        <v>38</v>
      </c>
      <c r="O842" s="2" t="s">
        <v>38</v>
      </c>
      <c r="P842" s="2" t="s">
        <v>38</v>
      </c>
      <c r="Q842" s="2" t="s">
        <v>38</v>
      </c>
      <c r="R842" s="2" t="s">
        <v>38</v>
      </c>
      <c r="S842" s="2" t="s">
        <v>38</v>
      </c>
      <c r="T842" s="2" t="s">
        <v>38</v>
      </c>
      <c r="U842" s="2" t="s">
        <v>38</v>
      </c>
      <c r="V842" s="2" t="s">
        <v>38</v>
      </c>
      <c r="W842" s="2" t="s">
        <v>38</v>
      </c>
      <c r="X842" s="2" t="s">
        <v>38</v>
      </c>
      <c r="Y842" s="2" t="s">
        <v>38</v>
      </c>
      <c r="Z842" s="2" t="s">
        <v>38</v>
      </c>
      <c r="AA842" s="2" t="s">
        <v>38</v>
      </c>
      <c r="AB842" s="2" t="s">
        <v>38</v>
      </c>
      <c r="AC842" s="2" t="s">
        <v>39</v>
      </c>
      <c r="AD842" s="2" t="s">
        <v>38</v>
      </c>
      <c r="AE842" s="2" t="s">
        <v>38</v>
      </c>
    </row>
    <row r="843" spans="1:31" ht="409.5">
      <c r="A843" s="2">
        <v>2658434</v>
      </c>
      <c r="B843" s="2">
        <f>HYPERLINK("https://platform.v2.vetology.net/cases/2658434/screening-report/18?type=pdf&amp;v=v6&amp;scorecard=1&amp;secret_key=BX%25IJ%24%2F65ieZ%29f6", 2658434)</f>
        <v>2658434</v>
      </c>
      <c r="C843" s="2">
        <f>HYPERLINK("https://platform.v2.vetology.net/report/v/final/"&amp;2658434, 2658434)</f>
        <v>2658434</v>
      </c>
      <c r="D843" s="2" t="s">
        <v>2572</v>
      </c>
      <c r="E843" s="2" t="s">
        <v>2573</v>
      </c>
      <c r="F843" s="2" t="s">
        <v>2574</v>
      </c>
      <c r="G843" s="2" t="s">
        <v>93</v>
      </c>
      <c r="H843" s="2" t="s">
        <v>607</v>
      </c>
      <c r="I843" s="2" t="s">
        <v>137</v>
      </c>
      <c r="J843" s="2" t="s">
        <v>66</v>
      </c>
      <c r="K843" s="2" t="s">
        <v>38</v>
      </c>
      <c r="L843" s="2" t="s">
        <v>38</v>
      </c>
      <c r="M843" s="2" t="s">
        <v>38</v>
      </c>
      <c r="N843" s="2" t="s">
        <v>38</v>
      </c>
      <c r="O843" s="2" t="s">
        <v>38</v>
      </c>
      <c r="P843" s="2" t="s">
        <v>38</v>
      </c>
      <c r="Q843" s="2" t="s">
        <v>38</v>
      </c>
      <c r="R843" s="2" t="s">
        <v>38</v>
      </c>
      <c r="S843" s="2" t="s">
        <v>38</v>
      </c>
      <c r="T843" s="2" t="s">
        <v>38</v>
      </c>
      <c r="U843" s="2" t="s">
        <v>38</v>
      </c>
      <c r="V843" s="2" t="s">
        <v>38</v>
      </c>
      <c r="W843" s="2" t="s">
        <v>38</v>
      </c>
      <c r="X843" s="2" t="s">
        <v>38</v>
      </c>
      <c r="Y843" s="2" t="s">
        <v>38</v>
      </c>
      <c r="Z843" s="2" t="s">
        <v>38</v>
      </c>
      <c r="AA843" s="2" t="s">
        <v>38</v>
      </c>
      <c r="AB843" s="2" t="s">
        <v>38</v>
      </c>
      <c r="AC843" s="2" t="s">
        <v>38</v>
      </c>
      <c r="AD843" s="2" t="s">
        <v>38</v>
      </c>
      <c r="AE843" s="2" t="s">
        <v>38</v>
      </c>
    </row>
    <row r="844" spans="1:31" ht="409.5">
      <c r="A844" s="2">
        <v>2658387</v>
      </c>
      <c r="B844" s="2">
        <f>HYPERLINK("https://platform.v2.vetology.net/cases/2658387/screening-report/18?type=pdf&amp;v=v6&amp;scorecard=1&amp;secret_key=BX%25IJ%24%2F65ieZ%29f6", 2658387)</f>
        <v>2658387</v>
      </c>
      <c r="C844" s="2">
        <f>HYPERLINK("https://platform.v2.vetology.net/report/v/final/"&amp;2658387, 2658387)</f>
        <v>2658387</v>
      </c>
      <c r="D844" s="2" t="s">
        <v>2575</v>
      </c>
      <c r="E844" s="2" t="s">
        <v>2576</v>
      </c>
      <c r="F844" s="2" t="s">
        <v>81</v>
      </c>
      <c r="G844" s="2" t="s">
        <v>150</v>
      </c>
      <c r="H844" s="2" t="s">
        <v>2577</v>
      </c>
      <c r="I844" s="2" t="s">
        <v>689</v>
      </c>
      <c r="J844" s="2" t="s">
        <v>690</v>
      </c>
      <c r="K844" s="2" t="s">
        <v>38</v>
      </c>
      <c r="L844" s="2" t="s">
        <v>39</v>
      </c>
      <c r="M844" s="2" t="s">
        <v>38</v>
      </c>
      <c r="N844" s="2" t="s">
        <v>39</v>
      </c>
      <c r="O844" s="2" t="s">
        <v>38</v>
      </c>
      <c r="P844" s="2" t="s">
        <v>38</v>
      </c>
      <c r="Q844" s="2" t="s">
        <v>39</v>
      </c>
      <c r="R844" s="2" t="s">
        <v>38</v>
      </c>
      <c r="S844" s="2" t="s">
        <v>39</v>
      </c>
      <c r="T844" s="2" t="s">
        <v>38</v>
      </c>
      <c r="U844" s="2" t="s">
        <v>39</v>
      </c>
      <c r="V844" s="2" t="s">
        <v>38</v>
      </c>
      <c r="W844" s="2" t="s">
        <v>38</v>
      </c>
      <c r="X844" s="2" t="s">
        <v>38</v>
      </c>
      <c r="Y844" s="2" t="s">
        <v>38</v>
      </c>
      <c r="Z844" s="2" t="s">
        <v>39</v>
      </c>
      <c r="AA844" s="2" t="s">
        <v>38</v>
      </c>
      <c r="AB844" s="2" t="s">
        <v>39</v>
      </c>
      <c r="AC844" s="2" t="s">
        <v>38</v>
      </c>
      <c r="AD844" s="2" t="s">
        <v>38</v>
      </c>
      <c r="AE844" s="2" t="s">
        <v>38</v>
      </c>
    </row>
    <row r="845" spans="1:31" ht="409.5">
      <c r="A845" s="2">
        <v>2658029</v>
      </c>
      <c r="B845" s="2">
        <f>HYPERLINK("https://platform.v2.vetology.net/cases/2658029/screening-report/18?type=pdf&amp;v=v6&amp;scorecard=1&amp;secret_key=BX%25IJ%24%2F65ieZ%29f6", 2658029)</f>
        <v>2658029</v>
      </c>
      <c r="C845" s="2">
        <f>HYPERLINK("https://platform.v2.vetology.net/report/v/final/"&amp;2658029, 2658029)</f>
        <v>2658029</v>
      </c>
      <c r="D845" s="2" t="s">
        <v>2578</v>
      </c>
      <c r="E845" s="2" t="s">
        <v>2579</v>
      </c>
      <c r="F845" s="2" t="s">
        <v>2580</v>
      </c>
      <c r="G845" s="2" t="s">
        <v>93</v>
      </c>
      <c r="H845" s="2" t="s">
        <v>78</v>
      </c>
      <c r="I845" s="2" t="s">
        <v>44</v>
      </c>
      <c r="J845" s="2"/>
      <c r="K845" s="2" t="s">
        <v>38</v>
      </c>
      <c r="L845" s="2" t="s">
        <v>39</v>
      </c>
      <c r="M845" s="2" t="s">
        <v>38</v>
      </c>
      <c r="N845" s="2" t="s">
        <v>38</v>
      </c>
      <c r="O845" s="2" t="s">
        <v>38</v>
      </c>
      <c r="P845" s="2" t="s">
        <v>38</v>
      </c>
      <c r="Q845" s="2" t="s">
        <v>38</v>
      </c>
      <c r="R845" s="2" t="s">
        <v>38</v>
      </c>
      <c r="S845" s="2" t="s">
        <v>38</v>
      </c>
      <c r="T845" s="2" t="s">
        <v>39</v>
      </c>
      <c r="U845" s="2" t="s">
        <v>38</v>
      </c>
      <c r="V845" s="2" t="s">
        <v>38</v>
      </c>
      <c r="W845" s="2" t="s">
        <v>38</v>
      </c>
      <c r="X845" s="2" t="s">
        <v>39</v>
      </c>
      <c r="Y845" s="2" t="s">
        <v>38</v>
      </c>
      <c r="Z845" s="2" t="s">
        <v>38</v>
      </c>
      <c r="AA845" s="2" t="s">
        <v>38</v>
      </c>
      <c r="AB845" s="2" t="s">
        <v>38</v>
      </c>
      <c r="AC845" s="2" t="s">
        <v>38</v>
      </c>
      <c r="AD845" s="2" t="s">
        <v>38</v>
      </c>
      <c r="AE845" s="2" t="s">
        <v>38</v>
      </c>
    </row>
    <row r="846" spans="1:31" ht="409.5">
      <c r="A846" s="2">
        <v>2658028</v>
      </c>
      <c r="B846" s="2">
        <f>HYPERLINK("https://platform.v2.vetology.net/cases/2658028/screening-report/18?type=pdf&amp;v=v6&amp;scorecard=1&amp;secret_key=BX%25IJ%24%2F65ieZ%29f6", 2658028)</f>
        <v>2658028</v>
      </c>
      <c r="C846" s="2">
        <f>HYPERLINK("https://platform.v2.vetology.net/report/v/final/"&amp;2658028, 2658028)</f>
        <v>2658028</v>
      </c>
      <c r="D846" s="2" t="s">
        <v>2581</v>
      </c>
      <c r="E846" s="2" t="s">
        <v>2582</v>
      </c>
      <c r="F846" s="2" t="s">
        <v>81</v>
      </c>
      <c r="G846" s="2" t="s">
        <v>150</v>
      </c>
      <c r="H846" s="2" t="s">
        <v>2583</v>
      </c>
      <c r="I846" s="2" t="s">
        <v>1407</v>
      </c>
      <c r="J846" s="2" t="s">
        <v>347</v>
      </c>
      <c r="K846" s="2" t="s">
        <v>38</v>
      </c>
      <c r="L846" s="2" t="s">
        <v>38</v>
      </c>
      <c r="M846" s="2" t="s">
        <v>39</v>
      </c>
      <c r="N846" s="2" t="s">
        <v>38</v>
      </c>
      <c r="O846" s="2" t="s">
        <v>39</v>
      </c>
      <c r="P846" s="2" t="s">
        <v>39</v>
      </c>
      <c r="Q846" s="2" t="s">
        <v>38</v>
      </c>
      <c r="R846" s="2" t="s">
        <v>38</v>
      </c>
      <c r="S846" s="2" t="s">
        <v>39</v>
      </c>
      <c r="T846" s="2" t="s">
        <v>39</v>
      </c>
      <c r="U846" s="2" t="s">
        <v>38</v>
      </c>
      <c r="V846" s="2" t="s">
        <v>39</v>
      </c>
      <c r="W846" s="2" t="s">
        <v>38</v>
      </c>
      <c r="X846" s="2" t="s">
        <v>39</v>
      </c>
      <c r="Y846" s="2" t="s">
        <v>38</v>
      </c>
      <c r="Z846" s="2" t="s">
        <v>39</v>
      </c>
      <c r="AA846" s="2" t="s">
        <v>39</v>
      </c>
      <c r="AB846" s="2" t="s">
        <v>39</v>
      </c>
      <c r="AC846" s="2" t="s">
        <v>38</v>
      </c>
      <c r="AD846" s="2" t="s">
        <v>38</v>
      </c>
      <c r="AE846" s="2" t="s">
        <v>39</v>
      </c>
    </row>
    <row r="847" spans="1:31" ht="409.5">
      <c r="A847" s="2">
        <v>2658021</v>
      </c>
      <c r="B847" s="2">
        <f>HYPERLINK("https://platform.v2.vetology.net/cases/2658021/screening-report/18?type=pdf&amp;v=v6&amp;scorecard=1&amp;secret_key=BX%25IJ%24%2F65ieZ%29f6", 2658021)</f>
        <v>2658021</v>
      </c>
      <c r="C847" s="2">
        <f>HYPERLINK("https://platform.v2.vetology.net/report/v/final/"&amp;2658021, 2658021)</f>
        <v>2658021</v>
      </c>
      <c r="D847" s="2" t="s">
        <v>2584</v>
      </c>
      <c r="E847" s="2" t="s">
        <v>2585</v>
      </c>
      <c r="F847" s="2" t="s">
        <v>2586</v>
      </c>
      <c r="G847" s="2" t="s">
        <v>63</v>
      </c>
      <c r="H847" s="2" t="s">
        <v>78</v>
      </c>
      <c r="I847" s="2" t="s">
        <v>44</v>
      </c>
      <c r="J847" s="2"/>
      <c r="K847" s="2" t="s">
        <v>38</v>
      </c>
      <c r="L847" s="2" t="s">
        <v>38</v>
      </c>
      <c r="M847" s="2" t="s">
        <v>38</v>
      </c>
      <c r="N847" s="2" t="s">
        <v>38</v>
      </c>
      <c r="O847" s="2" t="s">
        <v>38</v>
      </c>
      <c r="P847" s="2" t="s">
        <v>38</v>
      </c>
      <c r="Q847" s="2" t="s">
        <v>38</v>
      </c>
      <c r="R847" s="2" t="s">
        <v>38</v>
      </c>
      <c r="S847" s="2" t="s">
        <v>39</v>
      </c>
      <c r="T847" s="2" t="s">
        <v>39</v>
      </c>
      <c r="U847" s="2" t="s">
        <v>38</v>
      </c>
      <c r="V847" s="2" t="s">
        <v>39</v>
      </c>
      <c r="W847" s="2" t="s">
        <v>38</v>
      </c>
      <c r="X847" s="2" t="s">
        <v>39</v>
      </c>
      <c r="Y847" s="2" t="s">
        <v>38</v>
      </c>
      <c r="Z847" s="2" t="s">
        <v>38</v>
      </c>
      <c r="AA847" s="2" t="s">
        <v>38</v>
      </c>
      <c r="AB847" s="2" t="s">
        <v>39</v>
      </c>
      <c r="AC847" s="2" t="s">
        <v>38</v>
      </c>
      <c r="AD847" s="2" t="s">
        <v>38</v>
      </c>
      <c r="AE847" s="2" t="s">
        <v>38</v>
      </c>
    </row>
    <row r="848" spans="1:31" ht="409.5">
      <c r="A848" s="2">
        <v>2657925</v>
      </c>
      <c r="B848" s="2">
        <f>HYPERLINK("https://platform.v2.vetology.net/cases/2657925/screening-report/18?type=pdf&amp;v=v6&amp;scorecard=1&amp;secret_key=BX%25IJ%24%2F65ieZ%29f6", 2657925)</f>
        <v>2657925</v>
      </c>
      <c r="C848" s="2">
        <f>HYPERLINK("https://platform.v2.vetology.net/report/v/final/"&amp;2657925, 2657925)</f>
        <v>2657925</v>
      </c>
      <c r="D848" s="2" t="s">
        <v>2587</v>
      </c>
      <c r="E848" s="2" t="s">
        <v>2588</v>
      </c>
      <c r="F848" s="2" t="s">
        <v>2589</v>
      </c>
      <c r="G848" s="2" t="s">
        <v>63</v>
      </c>
      <c r="H848" s="2" t="s">
        <v>2590</v>
      </c>
      <c r="I848" s="2" t="s">
        <v>2373</v>
      </c>
      <c r="J848" s="2" t="s">
        <v>2374</v>
      </c>
      <c r="K848" s="2" t="s">
        <v>39</v>
      </c>
      <c r="L848" s="2" t="s">
        <v>39</v>
      </c>
      <c r="M848" s="2" t="s">
        <v>39</v>
      </c>
      <c r="N848" s="2" t="s">
        <v>39</v>
      </c>
      <c r="O848" s="2" t="s">
        <v>39</v>
      </c>
      <c r="P848" s="2" t="s">
        <v>39</v>
      </c>
      <c r="Q848" s="2" t="s">
        <v>39</v>
      </c>
      <c r="R848" s="2" t="s">
        <v>39</v>
      </c>
      <c r="S848" s="2" t="s">
        <v>39</v>
      </c>
      <c r="T848" s="2" t="s">
        <v>39</v>
      </c>
      <c r="U848" s="2" t="s">
        <v>39</v>
      </c>
      <c r="V848" s="2" t="s">
        <v>39</v>
      </c>
      <c r="W848" s="2" t="s">
        <v>39</v>
      </c>
      <c r="X848" s="2" t="s">
        <v>39</v>
      </c>
      <c r="Y848" s="2" t="s">
        <v>39</v>
      </c>
      <c r="Z848" s="2" t="s">
        <v>39</v>
      </c>
      <c r="AA848" s="2" t="s">
        <v>39</v>
      </c>
      <c r="AB848" s="2" t="s">
        <v>39</v>
      </c>
      <c r="AC848" s="2" t="s">
        <v>39</v>
      </c>
      <c r="AD848" s="2" t="s">
        <v>39</v>
      </c>
      <c r="AE848" s="2" t="s">
        <v>39</v>
      </c>
    </row>
    <row r="849" spans="1:31" ht="409.5">
      <c r="A849" s="2">
        <v>2657918</v>
      </c>
      <c r="B849" s="2">
        <f>HYPERLINK("https://platform.v2.vetology.net/cases/2657918/screening-report/18?type=pdf&amp;v=v6&amp;scorecard=1&amp;secret_key=BX%25IJ%24%2F65ieZ%29f6", 2657918)</f>
        <v>2657918</v>
      </c>
      <c r="C849" s="2">
        <f>HYPERLINK("https://platform.v2.vetology.net/report/v/final/"&amp;2657918, 2657918)</f>
        <v>2657918</v>
      </c>
      <c r="D849" s="2" t="s">
        <v>2591</v>
      </c>
      <c r="E849" s="2" t="s">
        <v>2592</v>
      </c>
      <c r="F849" s="2" t="s">
        <v>81</v>
      </c>
      <c r="G849" s="2" t="s">
        <v>268</v>
      </c>
      <c r="H849" s="2" t="s">
        <v>1110</v>
      </c>
      <c r="I849" s="2" t="s">
        <v>214</v>
      </c>
      <c r="J849" s="2" t="s">
        <v>50</v>
      </c>
      <c r="K849" s="2" t="s">
        <v>38</v>
      </c>
      <c r="L849" s="2" t="s">
        <v>39</v>
      </c>
      <c r="M849" s="2" t="s">
        <v>39</v>
      </c>
      <c r="N849" s="2" t="s">
        <v>38</v>
      </c>
      <c r="O849" s="2" t="s">
        <v>38</v>
      </c>
      <c r="P849" s="2" t="s">
        <v>38</v>
      </c>
      <c r="Q849" s="2" t="s">
        <v>38</v>
      </c>
      <c r="R849" s="2" t="s">
        <v>38</v>
      </c>
      <c r="S849" s="2" t="s">
        <v>38</v>
      </c>
      <c r="T849" s="2" t="s">
        <v>39</v>
      </c>
      <c r="U849" s="2" t="s">
        <v>38</v>
      </c>
      <c r="V849" s="2" t="s">
        <v>39</v>
      </c>
      <c r="W849" s="2" t="s">
        <v>38</v>
      </c>
      <c r="X849" s="2" t="s">
        <v>39</v>
      </c>
      <c r="Y849" s="2" t="s">
        <v>38</v>
      </c>
      <c r="Z849" s="2" t="s">
        <v>38</v>
      </c>
      <c r="AA849" s="2" t="s">
        <v>38</v>
      </c>
      <c r="AB849" s="2" t="s">
        <v>38</v>
      </c>
      <c r="AC849" s="2" t="s">
        <v>38</v>
      </c>
      <c r="AD849" s="2" t="s">
        <v>38</v>
      </c>
      <c r="AE849" s="2" t="s">
        <v>38</v>
      </c>
    </row>
    <row r="850" spans="1:31" ht="409.5">
      <c r="A850" s="2">
        <v>2657767</v>
      </c>
      <c r="B850" s="2">
        <f>HYPERLINK("https://platform.v2.vetology.net/cases/2657767/screening-report/18?type=pdf&amp;v=v6&amp;scorecard=1&amp;secret_key=BX%25IJ%24%2F65ieZ%29f6", 2657767)</f>
        <v>2657767</v>
      </c>
      <c r="C850" s="2">
        <f>HYPERLINK("https://platform.v2.vetology.net/report/v/final/"&amp;2657767, 2657767)</f>
        <v>2657767</v>
      </c>
      <c r="D850" s="2" t="s">
        <v>2593</v>
      </c>
      <c r="E850" s="2" t="s">
        <v>2116</v>
      </c>
      <c r="F850" s="2" t="s">
        <v>81</v>
      </c>
      <c r="G850" s="2" t="s">
        <v>150</v>
      </c>
      <c r="H850" s="2" t="s">
        <v>2594</v>
      </c>
      <c r="I850" s="2" t="s">
        <v>158</v>
      </c>
      <c r="J850" s="2" t="s">
        <v>50</v>
      </c>
      <c r="K850" s="2" t="s">
        <v>38</v>
      </c>
      <c r="L850" s="2" t="s">
        <v>39</v>
      </c>
      <c r="M850" s="2" t="s">
        <v>38</v>
      </c>
      <c r="N850" s="2" t="s">
        <v>38</v>
      </c>
      <c r="O850" s="2" t="s">
        <v>38</v>
      </c>
      <c r="P850" s="2" t="s">
        <v>38</v>
      </c>
      <c r="Q850" s="2" t="s">
        <v>38</v>
      </c>
      <c r="R850" s="2" t="s">
        <v>38</v>
      </c>
      <c r="S850" s="2" t="s">
        <v>38</v>
      </c>
      <c r="T850" s="2" t="s">
        <v>38</v>
      </c>
      <c r="U850" s="2" t="s">
        <v>38</v>
      </c>
      <c r="V850" s="2" t="s">
        <v>38</v>
      </c>
      <c r="W850" s="2" t="s">
        <v>38</v>
      </c>
      <c r="X850" s="2" t="s">
        <v>38</v>
      </c>
      <c r="Y850" s="2" t="s">
        <v>38</v>
      </c>
      <c r="Z850" s="2" t="s">
        <v>38</v>
      </c>
      <c r="AA850" s="2" t="s">
        <v>38</v>
      </c>
      <c r="AB850" s="2" t="s">
        <v>39</v>
      </c>
      <c r="AC850" s="2" t="s">
        <v>38</v>
      </c>
      <c r="AD850" s="2" t="s">
        <v>38</v>
      </c>
      <c r="AE850" s="2" t="s">
        <v>38</v>
      </c>
    </row>
    <row r="851" spans="1:31" ht="409.5">
      <c r="A851" s="2">
        <v>2657757</v>
      </c>
      <c r="B851" s="2">
        <f>HYPERLINK("https://platform.v2.vetology.net/cases/2657757/screening-report/18?type=pdf&amp;v=v6&amp;scorecard=1&amp;secret_key=BX%25IJ%24%2F65ieZ%29f6", 2657757)</f>
        <v>2657757</v>
      </c>
      <c r="C851" s="2">
        <f>HYPERLINK("https://platform.v2.vetology.net/report/v/final/"&amp;2657757, 2657757)</f>
        <v>2657757</v>
      </c>
      <c r="D851" s="2" t="s">
        <v>2595</v>
      </c>
      <c r="E851" s="2" t="s">
        <v>2596</v>
      </c>
      <c r="F851" s="2" t="s">
        <v>2597</v>
      </c>
      <c r="G851" s="2" t="s">
        <v>58</v>
      </c>
      <c r="H851" s="2" t="s">
        <v>1180</v>
      </c>
      <c r="I851" s="2" t="s">
        <v>158</v>
      </c>
      <c r="J851" s="2" t="s">
        <v>50</v>
      </c>
      <c r="K851" s="2" t="s">
        <v>38</v>
      </c>
      <c r="L851" s="2" t="s">
        <v>38</v>
      </c>
      <c r="M851" s="2" t="s">
        <v>38</v>
      </c>
      <c r="N851" s="2" t="s">
        <v>39</v>
      </c>
      <c r="O851" s="2" t="s">
        <v>38</v>
      </c>
      <c r="P851" s="2" t="s">
        <v>38</v>
      </c>
      <c r="Q851" s="2" t="s">
        <v>38</v>
      </c>
      <c r="R851" s="2" t="s">
        <v>38</v>
      </c>
      <c r="S851" s="2" t="s">
        <v>38</v>
      </c>
      <c r="T851" s="2" t="s">
        <v>38</v>
      </c>
      <c r="U851" s="2" t="s">
        <v>38</v>
      </c>
      <c r="V851" s="2" t="s">
        <v>38</v>
      </c>
      <c r="W851" s="2" t="s">
        <v>38</v>
      </c>
      <c r="X851" s="2" t="s">
        <v>38</v>
      </c>
      <c r="Y851" s="2" t="s">
        <v>38</v>
      </c>
      <c r="Z851" s="2" t="s">
        <v>38</v>
      </c>
      <c r="AA851" s="2" t="s">
        <v>38</v>
      </c>
      <c r="AB851" s="2" t="s">
        <v>39</v>
      </c>
      <c r="AC851" s="2" t="s">
        <v>38</v>
      </c>
      <c r="AD851" s="2" t="s">
        <v>38</v>
      </c>
      <c r="AE851" s="2" t="s">
        <v>38</v>
      </c>
    </row>
    <row r="852" spans="1:31" ht="409.5">
      <c r="A852" s="2">
        <v>2657704</v>
      </c>
      <c r="B852" s="2">
        <f>HYPERLINK("https://platform.v2.vetology.net/cases/2657704/screening-report/18?type=pdf&amp;v=v6&amp;scorecard=1&amp;secret_key=BX%25IJ%24%2F65ieZ%29f6", 2657704)</f>
        <v>2657704</v>
      </c>
      <c r="C852" s="2">
        <f>HYPERLINK("https://platform.v2.vetology.net/report/v/final/"&amp;2657704, 2657704)</f>
        <v>2657704</v>
      </c>
      <c r="D852" s="2" t="s">
        <v>2598</v>
      </c>
      <c r="E852" s="2" t="s">
        <v>2599</v>
      </c>
      <c r="F852" s="2" t="s">
        <v>2600</v>
      </c>
      <c r="G852" s="2" t="s">
        <v>464</v>
      </c>
      <c r="H852" s="2" t="s">
        <v>283</v>
      </c>
      <c r="I852" s="2" t="s">
        <v>284</v>
      </c>
      <c r="J852" s="2" t="s">
        <v>285</v>
      </c>
      <c r="K852" s="2" t="s">
        <v>38</v>
      </c>
      <c r="L852" s="2" t="s">
        <v>39</v>
      </c>
      <c r="M852" s="2" t="s">
        <v>38</v>
      </c>
      <c r="N852" s="2" t="s">
        <v>38</v>
      </c>
      <c r="O852" s="2" t="s">
        <v>38</v>
      </c>
      <c r="P852" s="2" t="s">
        <v>38</v>
      </c>
      <c r="Q852" s="2" t="s">
        <v>38</v>
      </c>
      <c r="R852" s="2" t="s">
        <v>38</v>
      </c>
      <c r="S852" s="2" t="s">
        <v>38</v>
      </c>
      <c r="T852" s="2" t="s">
        <v>38</v>
      </c>
      <c r="U852" s="2" t="s">
        <v>38</v>
      </c>
      <c r="V852" s="2" t="s">
        <v>38</v>
      </c>
      <c r="W852" s="2" t="s">
        <v>38</v>
      </c>
      <c r="X852" s="2" t="s">
        <v>38</v>
      </c>
      <c r="Y852" s="2" t="s">
        <v>38</v>
      </c>
      <c r="Z852" s="2" t="s">
        <v>38</v>
      </c>
      <c r="AA852" s="2" t="s">
        <v>38</v>
      </c>
      <c r="AB852" s="2" t="s">
        <v>38</v>
      </c>
      <c r="AC852" s="2" t="s">
        <v>38</v>
      </c>
      <c r="AD852" s="2" t="s">
        <v>38</v>
      </c>
      <c r="AE852" s="2" t="s">
        <v>38</v>
      </c>
    </row>
    <row r="853" spans="1:31" ht="409.5">
      <c r="A853" s="2">
        <v>2657677</v>
      </c>
      <c r="B853" s="2">
        <f>HYPERLINK("https://platform.v2.vetology.net/cases/2657677/screening-report/18?type=pdf&amp;v=v6&amp;scorecard=1&amp;secret_key=BX%25IJ%24%2F65ieZ%29f6", 2657677)</f>
        <v>2657677</v>
      </c>
      <c r="C853" s="2">
        <f>HYPERLINK("https://platform.v2.vetology.net/report/v/final/"&amp;2657677, 2657677)</f>
        <v>2657677</v>
      </c>
      <c r="D853" s="2" t="s">
        <v>2601</v>
      </c>
      <c r="E853" s="2" t="s">
        <v>2602</v>
      </c>
      <c r="F853" s="2" t="s">
        <v>2603</v>
      </c>
      <c r="G853" s="2" t="s">
        <v>58</v>
      </c>
      <c r="H853" s="2" t="s">
        <v>54</v>
      </c>
      <c r="I853" s="2" t="s">
        <v>44</v>
      </c>
      <c r="J853" s="2"/>
      <c r="K853" s="2" t="s">
        <v>38</v>
      </c>
      <c r="L853" s="2" t="s">
        <v>38</v>
      </c>
      <c r="M853" s="2" t="s">
        <v>38</v>
      </c>
      <c r="N853" s="2" t="s">
        <v>38</v>
      </c>
      <c r="O853" s="2" t="s">
        <v>38</v>
      </c>
      <c r="P853" s="2" t="s">
        <v>38</v>
      </c>
      <c r="Q853" s="2" t="s">
        <v>38</v>
      </c>
      <c r="R853" s="2" t="s">
        <v>38</v>
      </c>
      <c r="S853" s="2" t="s">
        <v>38</v>
      </c>
      <c r="T853" s="2" t="s">
        <v>38</v>
      </c>
      <c r="U853" s="2" t="s">
        <v>38</v>
      </c>
      <c r="V853" s="2" t="s">
        <v>38</v>
      </c>
      <c r="W853" s="2" t="s">
        <v>38</v>
      </c>
      <c r="X853" s="2" t="s">
        <v>38</v>
      </c>
      <c r="Y853" s="2" t="s">
        <v>38</v>
      </c>
      <c r="Z853" s="2" t="s">
        <v>38</v>
      </c>
      <c r="AA853" s="2" t="s">
        <v>38</v>
      </c>
      <c r="AB853" s="2" t="s">
        <v>38</v>
      </c>
      <c r="AC853" s="2" t="s">
        <v>38</v>
      </c>
      <c r="AD853" s="2" t="s">
        <v>38</v>
      </c>
      <c r="AE853" s="2" t="s">
        <v>38</v>
      </c>
    </row>
    <row r="854" spans="1:31" ht="409.5">
      <c r="A854" s="2">
        <v>2657469</v>
      </c>
      <c r="B854" s="2">
        <f>HYPERLINK("https://platform.v2.vetology.net/cases/2657469/screening-report/18?type=pdf&amp;v=v6&amp;scorecard=1&amp;secret_key=BX%25IJ%24%2F65ieZ%29f6", 2657469)</f>
        <v>2657469</v>
      </c>
      <c r="C854" s="2">
        <f>HYPERLINK("https://platform.v2.vetology.net/report/v/final/"&amp;2657469, 2657469)</f>
        <v>2657469</v>
      </c>
      <c r="D854" s="2" t="s">
        <v>2604</v>
      </c>
      <c r="E854" s="2" t="s">
        <v>2605</v>
      </c>
      <c r="F854" s="2"/>
      <c r="G854" s="2" t="s">
        <v>150</v>
      </c>
      <c r="H854" s="2" t="s">
        <v>71</v>
      </c>
      <c r="I854" s="2" t="s">
        <v>44</v>
      </c>
      <c r="J854" s="2" t="s">
        <v>106</v>
      </c>
      <c r="K854" s="2" t="s">
        <v>38</v>
      </c>
      <c r="L854" s="2" t="s">
        <v>39</v>
      </c>
      <c r="M854" s="2" t="s">
        <v>38</v>
      </c>
      <c r="N854" s="2" t="s">
        <v>38</v>
      </c>
      <c r="O854" s="2" t="s">
        <v>38</v>
      </c>
      <c r="P854" s="2" t="s">
        <v>38</v>
      </c>
      <c r="Q854" s="2" t="s">
        <v>38</v>
      </c>
      <c r="R854" s="2" t="s">
        <v>38</v>
      </c>
      <c r="S854" s="2" t="s">
        <v>38</v>
      </c>
      <c r="T854" s="2" t="s">
        <v>38</v>
      </c>
      <c r="U854" s="2" t="s">
        <v>38</v>
      </c>
      <c r="V854" s="2" t="s">
        <v>38</v>
      </c>
      <c r="W854" s="2" t="s">
        <v>38</v>
      </c>
      <c r="X854" s="2" t="s">
        <v>38</v>
      </c>
      <c r="Y854" s="2" t="s">
        <v>38</v>
      </c>
      <c r="Z854" s="2" t="s">
        <v>38</v>
      </c>
      <c r="AA854" s="2" t="s">
        <v>38</v>
      </c>
      <c r="AB854" s="2" t="s">
        <v>38</v>
      </c>
      <c r="AC854" s="2" t="s">
        <v>38</v>
      </c>
      <c r="AD854" s="2" t="s">
        <v>38</v>
      </c>
      <c r="AE854" s="2" t="s">
        <v>38</v>
      </c>
    </row>
    <row r="855" spans="1:31" ht="409.5">
      <c r="A855" s="2">
        <v>2657139</v>
      </c>
      <c r="B855" s="2">
        <f>HYPERLINK("https://platform.v2.vetology.net/cases/2657139/screening-report/18?type=pdf&amp;v=v6&amp;scorecard=1&amp;secret_key=BX%25IJ%24%2F65ieZ%29f6", 2657139)</f>
        <v>2657139</v>
      </c>
      <c r="C855" s="2">
        <f>HYPERLINK("https://platform.v2.vetology.net/report/v/final/"&amp;2657139, 2657139)</f>
        <v>2657139</v>
      </c>
      <c r="D855" s="2" t="s">
        <v>2606</v>
      </c>
      <c r="E855" s="2" t="s">
        <v>2607</v>
      </c>
      <c r="F855" s="2"/>
      <c r="G855" s="2" t="s">
        <v>150</v>
      </c>
      <c r="H855" s="2" t="s">
        <v>43</v>
      </c>
      <c r="I855" s="2" t="s">
        <v>44</v>
      </c>
      <c r="J855" s="2"/>
      <c r="K855" s="2" t="s">
        <v>38</v>
      </c>
      <c r="L855" s="2" t="s">
        <v>39</v>
      </c>
      <c r="M855" s="2" t="s">
        <v>38</v>
      </c>
      <c r="N855" s="2" t="s">
        <v>38</v>
      </c>
      <c r="O855" s="2" t="s">
        <v>38</v>
      </c>
      <c r="P855" s="2" t="s">
        <v>38</v>
      </c>
      <c r="Q855" s="2" t="s">
        <v>38</v>
      </c>
      <c r="R855" s="2" t="s">
        <v>38</v>
      </c>
      <c r="S855" s="2" t="s">
        <v>39</v>
      </c>
      <c r="T855" s="2" t="s">
        <v>38</v>
      </c>
      <c r="U855" s="2" t="s">
        <v>38</v>
      </c>
      <c r="V855" s="2" t="s">
        <v>38</v>
      </c>
      <c r="W855" s="2" t="s">
        <v>38</v>
      </c>
      <c r="X855" s="2" t="s">
        <v>38</v>
      </c>
      <c r="Y855" s="2" t="s">
        <v>38</v>
      </c>
      <c r="Z855" s="2" t="s">
        <v>38</v>
      </c>
      <c r="AA855" s="2" t="s">
        <v>38</v>
      </c>
      <c r="AB855" s="2" t="s">
        <v>38</v>
      </c>
      <c r="AC855" s="2" t="s">
        <v>38</v>
      </c>
      <c r="AD855" s="2" t="s">
        <v>38</v>
      </c>
      <c r="AE855" s="2" t="s">
        <v>38</v>
      </c>
    </row>
    <row r="856" spans="1:31" ht="409.5">
      <c r="A856" s="2">
        <v>2656805</v>
      </c>
      <c r="B856" s="2">
        <f>HYPERLINK("https://platform.v2.vetology.net/cases/2656805/screening-report/18?type=pdf&amp;v=v6&amp;scorecard=1&amp;secret_key=BX%25IJ%24%2F65ieZ%29f6", 2656805)</f>
        <v>2656805</v>
      </c>
      <c r="C856" s="2">
        <f>HYPERLINK("https://platform.v2.vetology.net/report/v/final/"&amp;2656805, 2656805)</f>
        <v>2656805</v>
      </c>
      <c r="D856" s="2" t="s">
        <v>2608</v>
      </c>
      <c r="E856" s="2" t="s">
        <v>2609</v>
      </c>
      <c r="F856" s="2" t="s">
        <v>2610</v>
      </c>
      <c r="G856" s="2" t="s">
        <v>135</v>
      </c>
      <c r="H856" s="2" t="s">
        <v>129</v>
      </c>
      <c r="I856" s="2" t="s">
        <v>44</v>
      </c>
      <c r="J856" s="2"/>
      <c r="K856" s="2" t="s">
        <v>38</v>
      </c>
      <c r="L856" s="2" t="s">
        <v>39</v>
      </c>
      <c r="M856" s="2" t="s">
        <v>39</v>
      </c>
      <c r="N856" s="2" t="s">
        <v>38</v>
      </c>
      <c r="O856" s="2" t="s">
        <v>38</v>
      </c>
      <c r="P856" s="2" t="s">
        <v>38</v>
      </c>
      <c r="Q856" s="2" t="s">
        <v>38</v>
      </c>
      <c r="R856" s="2" t="s">
        <v>38</v>
      </c>
      <c r="S856" s="2" t="s">
        <v>38</v>
      </c>
      <c r="T856" s="2" t="s">
        <v>38</v>
      </c>
      <c r="U856" s="2" t="s">
        <v>38</v>
      </c>
      <c r="V856" s="2" t="s">
        <v>38</v>
      </c>
      <c r="W856" s="2" t="s">
        <v>38</v>
      </c>
      <c r="X856" s="2" t="s">
        <v>38</v>
      </c>
      <c r="Y856" s="2" t="s">
        <v>38</v>
      </c>
      <c r="Z856" s="2" t="s">
        <v>38</v>
      </c>
      <c r="AA856" s="2" t="s">
        <v>38</v>
      </c>
      <c r="AB856" s="2" t="s">
        <v>39</v>
      </c>
      <c r="AC856" s="2" t="s">
        <v>39</v>
      </c>
      <c r="AD856" s="2" t="s">
        <v>38</v>
      </c>
      <c r="AE856" s="2" t="s">
        <v>38</v>
      </c>
    </row>
    <row r="857" spans="1:31" ht="409.5">
      <c r="A857" s="2">
        <v>2656721</v>
      </c>
      <c r="B857" s="2">
        <f>HYPERLINK("https://platform.v2.vetology.net/cases/2656721/screening-report/18?type=pdf&amp;v=v6&amp;scorecard=1&amp;secret_key=BX%25IJ%24%2F65ieZ%29f6", 2656721)</f>
        <v>2656721</v>
      </c>
      <c r="C857" s="2">
        <f>HYPERLINK("https://platform.v2.vetology.net/report/v/final/"&amp;2656721, 2656721)</f>
        <v>2656721</v>
      </c>
      <c r="D857" s="2" t="s">
        <v>608</v>
      </c>
      <c r="E857" s="2" t="s">
        <v>617</v>
      </c>
      <c r="F857" s="2" t="s">
        <v>1751</v>
      </c>
      <c r="G857" s="2" t="s">
        <v>135</v>
      </c>
      <c r="H857" s="2" t="s">
        <v>78</v>
      </c>
      <c r="I857" s="2" t="s">
        <v>44</v>
      </c>
      <c r="J857" s="2"/>
      <c r="K857" s="2" t="s">
        <v>38</v>
      </c>
      <c r="L857" s="2" t="s">
        <v>38</v>
      </c>
      <c r="M857" s="2" t="s">
        <v>39</v>
      </c>
      <c r="N857" s="2" t="s">
        <v>38</v>
      </c>
      <c r="O857" s="2" t="s">
        <v>38</v>
      </c>
      <c r="P857" s="2" t="s">
        <v>39</v>
      </c>
      <c r="Q857" s="2" t="s">
        <v>38</v>
      </c>
      <c r="R857" s="2" t="s">
        <v>38</v>
      </c>
      <c r="S857" s="2" t="s">
        <v>38</v>
      </c>
      <c r="T857" s="2" t="s">
        <v>38</v>
      </c>
      <c r="U857" s="2" t="s">
        <v>38</v>
      </c>
      <c r="V857" s="2" t="s">
        <v>38</v>
      </c>
      <c r="W857" s="2" t="s">
        <v>38</v>
      </c>
      <c r="X857" s="2" t="s">
        <v>38</v>
      </c>
      <c r="Y857" s="2" t="s">
        <v>38</v>
      </c>
      <c r="Z857" s="2" t="s">
        <v>38</v>
      </c>
      <c r="AA857" s="2" t="s">
        <v>38</v>
      </c>
      <c r="AB857" s="2" t="s">
        <v>38</v>
      </c>
      <c r="AC857" s="2" t="s">
        <v>38</v>
      </c>
      <c r="AD857" s="2" t="s">
        <v>38</v>
      </c>
      <c r="AE857" s="2" t="s">
        <v>39</v>
      </c>
    </row>
    <row r="858" spans="1:31" ht="409.5">
      <c r="A858" s="2">
        <v>2656718</v>
      </c>
      <c r="B858" s="2">
        <f>HYPERLINK("https://platform.v2.vetology.net/cases/2656718/screening-report/18?type=pdf&amp;v=v6&amp;scorecard=1&amp;secret_key=BX%25IJ%24%2F65ieZ%29f6", 2656718)</f>
        <v>2656718</v>
      </c>
      <c r="C858" s="2">
        <f>HYPERLINK("https://platform.v2.vetology.net/report/v/final/"&amp;2656718, 2656718)</f>
        <v>2656718</v>
      </c>
      <c r="D858" s="2" t="s">
        <v>2611</v>
      </c>
      <c r="E858" s="2" t="s">
        <v>2612</v>
      </c>
      <c r="F858" s="2" t="s">
        <v>81</v>
      </c>
      <c r="G858" s="2" t="s">
        <v>268</v>
      </c>
      <c r="H858" s="2" t="s">
        <v>71</v>
      </c>
      <c r="I858" s="2" t="s">
        <v>44</v>
      </c>
      <c r="J858" s="2"/>
      <c r="K858" s="2" t="s">
        <v>38</v>
      </c>
      <c r="L858" s="2" t="s">
        <v>39</v>
      </c>
      <c r="M858" s="2" t="s">
        <v>38</v>
      </c>
      <c r="N858" s="2" t="s">
        <v>38</v>
      </c>
      <c r="O858" s="2" t="s">
        <v>38</v>
      </c>
      <c r="P858" s="2" t="s">
        <v>38</v>
      </c>
      <c r="Q858" s="2" t="s">
        <v>38</v>
      </c>
      <c r="R858" s="2" t="s">
        <v>38</v>
      </c>
      <c r="S858" s="2" t="s">
        <v>38</v>
      </c>
      <c r="T858" s="2" t="s">
        <v>38</v>
      </c>
      <c r="U858" s="2" t="s">
        <v>38</v>
      </c>
      <c r="V858" s="2" t="s">
        <v>38</v>
      </c>
      <c r="W858" s="2" t="s">
        <v>38</v>
      </c>
      <c r="X858" s="2" t="s">
        <v>38</v>
      </c>
      <c r="Y858" s="2" t="s">
        <v>38</v>
      </c>
      <c r="Z858" s="2" t="s">
        <v>38</v>
      </c>
      <c r="AA858" s="2" t="s">
        <v>38</v>
      </c>
      <c r="AB858" s="2" t="s">
        <v>38</v>
      </c>
      <c r="AC858" s="2" t="s">
        <v>38</v>
      </c>
      <c r="AD858" s="2" t="s">
        <v>38</v>
      </c>
      <c r="AE858" s="2" t="s">
        <v>38</v>
      </c>
    </row>
    <row r="859" spans="1:31" ht="409.5">
      <c r="A859" s="2">
        <v>2656640</v>
      </c>
      <c r="B859" s="2">
        <f>HYPERLINK("https://platform.v2.vetology.net/cases/2656640/screening-report/18?type=pdf&amp;v=v6&amp;scorecard=1&amp;secret_key=BX%25IJ%24%2F65ieZ%29f6", 2656640)</f>
        <v>2656640</v>
      </c>
      <c r="C859" s="2">
        <f>HYPERLINK("https://platform.v2.vetology.net/report/v/final/"&amp;2656640, 2656640)</f>
        <v>2656640</v>
      </c>
      <c r="D859" s="2" t="s">
        <v>2613</v>
      </c>
      <c r="E859" s="2" t="s">
        <v>2614</v>
      </c>
      <c r="F859" s="2" t="s">
        <v>2615</v>
      </c>
      <c r="G859" s="2" t="s">
        <v>212</v>
      </c>
      <c r="H859" s="2" t="s">
        <v>1180</v>
      </c>
      <c r="I859" s="2" t="s">
        <v>158</v>
      </c>
      <c r="J859" s="2" t="s">
        <v>50</v>
      </c>
      <c r="K859" s="2" t="s">
        <v>38</v>
      </c>
      <c r="L859" s="2" t="s">
        <v>38</v>
      </c>
      <c r="M859" s="2" t="s">
        <v>38</v>
      </c>
      <c r="N859" s="2" t="s">
        <v>38</v>
      </c>
      <c r="O859" s="2" t="s">
        <v>38</v>
      </c>
      <c r="P859" s="2" t="s">
        <v>38</v>
      </c>
      <c r="Q859" s="2" t="s">
        <v>38</v>
      </c>
      <c r="R859" s="2" t="s">
        <v>38</v>
      </c>
      <c r="S859" s="2" t="s">
        <v>38</v>
      </c>
      <c r="T859" s="2" t="s">
        <v>39</v>
      </c>
      <c r="U859" s="2" t="s">
        <v>38</v>
      </c>
      <c r="V859" s="2" t="s">
        <v>39</v>
      </c>
      <c r="W859" s="2" t="s">
        <v>38</v>
      </c>
      <c r="X859" s="2" t="s">
        <v>39</v>
      </c>
      <c r="Y859" s="2" t="s">
        <v>38</v>
      </c>
      <c r="Z859" s="2" t="s">
        <v>38</v>
      </c>
      <c r="AA859" s="2" t="s">
        <v>38</v>
      </c>
      <c r="AB859" s="2" t="s">
        <v>38</v>
      </c>
      <c r="AC859" s="2" t="s">
        <v>38</v>
      </c>
      <c r="AD859" s="2" t="s">
        <v>38</v>
      </c>
      <c r="AE859" s="2" t="s">
        <v>38</v>
      </c>
    </row>
    <row r="860" spans="1:31" ht="409.5">
      <c r="A860" s="2">
        <v>2656527</v>
      </c>
      <c r="B860" s="2">
        <f>HYPERLINK("https://platform.v2.vetology.net/cases/2656527/screening-report/18?type=pdf&amp;v=v6&amp;scorecard=1&amp;secret_key=BX%25IJ%24%2F65ieZ%29f6", 2656527)</f>
        <v>2656527</v>
      </c>
      <c r="C860" s="2">
        <f>HYPERLINK("https://platform.v2.vetology.net/report/v/final/"&amp;2656527, 2656527)</f>
        <v>2656527</v>
      </c>
      <c r="D860" s="2" t="s">
        <v>2616</v>
      </c>
      <c r="E860" s="2" t="s">
        <v>2617</v>
      </c>
      <c r="F860" s="2" t="s">
        <v>455</v>
      </c>
      <c r="G860" s="2" t="s">
        <v>58</v>
      </c>
      <c r="H860" s="2" t="s">
        <v>218</v>
      </c>
      <c r="I860" s="2" t="s">
        <v>137</v>
      </c>
      <c r="J860" s="2" t="s">
        <v>66</v>
      </c>
      <c r="K860" s="2" t="s">
        <v>38</v>
      </c>
      <c r="L860" s="2" t="s">
        <v>39</v>
      </c>
      <c r="M860" s="2" t="s">
        <v>38</v>
      </c>
      <c r="N860" s="2" t="s">
        <v>38</v>
      </c>
      <c r="O860" s="2" t="s">
        <v>38</v>
      </c>
      <c r="P860" s="2" t="s">
        <v>39</v>
      </c>
      <c r="Q860" s="2" t="s">
        <v>38</v>
      </c>
      <c r="R860" s="2" t="s">
        <v>38</v>
      </c>
      <c r="S860" s="2" t="s">
        <v>39</v>
      </c>
      <c r="T860" s="2" t="s">
        <v>39</v>
      </c>
      <c r="U860" s="2" t="s">
        <v>38</v>
      </c>
      <c r="V860" s="2" t="s">
        <v>38</v>
      </c>
      <c r="W860" s="2" t="s">
        <v>38</v>
      </c>
      <c r="X860" s="2" t="s">
        <v>39</v>
      </c>
      <c r="Y860" s="2" t="s">
        <v>38</v>
      </c>
      <c r="Z860" s="2" t="s">
        <v>39</v>
      </c>
      <c r="AA860" s="2" t="s">
        <v>38</v>
      </c>
      <c r="AB860" s="2" t="s">
        <v>39</v>
      </c>
      <c r="AC860" s="2" t="s">
        <v>38</v>
      </c>
      <c r="AD860" s="2" t="s">
        <v>38</v>
      </c>
      <c r="AE860" s="2" t="s">
        <v>39</v>
      </c>
    </row>
    <row r="861" spans="1:31" ht="409.5">
      <c r="A861" s="2">
        <v>2656483</v>
      </c>
      <c r="B861" s="2">
        <f>HYPERLINK("https://platform.v2.vetology.net/cases/2656483/screening-report/18?type=pdf&amp;v=v6&amp;scorecard=1&amp;secret_key=BX%25IJ%24%2F65ieZ%29f6", 2656483)</f>
        <v>2656483</v>
      </c>
      <c r="C861" s="2">
        <f>HYPERLINK("https://platform.v2.vetology.net/report/v/final/"&amp;2656483, 2656483)</f>
        <v>2656483</v>
      </c>
      <c r="D861" s="2" t="s">
        <v>2618</v>
      </c>
      <c r="E861" s="2" t="s">
        <v>2619</v>
      </c>
      <c r="F861" s="2" t="s">
        <v>81</v>
      </c>
      <c r="G861" s="2" t="s">
        <v>268</v>
      </c>
      <c r="H861" s="2" t="s">
        <v>607</v>
      </c>
      <c r="I861" s="2" t="s">
        <v>137</v>
      </c>
      <c r="J861" s="2" t="s">
        <v>66</v>
      </c>
      <c r="K861" s="2" t="s">
        <v>38</v>
      </c>
      <c r="L861" s="2" t="s">
        <v>38</v>
      </c>
      <c r="M861" s="2" t="s">
        <v>39</v>
      </c>
      <c r="N861" s="2" t="s">
        <v>38</v>
      </c>
      <c r="O861" s="2" t="s">
        <v>39</v>
      </c>
      <c r="P861" s="2" t="s">
        <v>38</v>
      </c>
      <c r="Q861" s="2" t="s">
        <v>38</v>
      </c>
      <c r="R861" s="2" t="s">
        <v>38</v>
      </c>
      <c r="S861" s="2" t="s">
        <v>38</v>
      </c>
      <c r="T861" s="2" t="s">
        <v>39</v>
      </c>
      <c r="U861" s="2" t="s">
        <v>38</v>
      </c>
      <c r="V861" s="2" t="s">
        <v>39</v>
      </c>
      <c r="W861" s="2" t="s">
        <v>38</v>
      </c>
      <c r="X861" s="2" t="s">
        <v>39</v>
      </c>
      <c r="Y861" s="2" t="s">
        <v>38</v>
      </c>
      <c r="Z861" s="2" t="s">
        <v>38</v>
      </c>
      <c r="AA861" s="2" t="s">
        <v>38</v>
      </c>
      <c r="AB861" s="2" t="s">
        <v>39</v>
      </c>
      <c r="AC861" s="2" t="s">
        <v>39</v>
      </c>
      <c r="AD861" s="2" t="s">
        <v>38</v>
      </c>
      <c r="AE861" s="2" t="s">
        <v>38</v>
      </c>
    </row>
    <row r="862" spans="1:31" ht="409.5">
      <c r="A862" s="2">
        <v>2656308</v>
      </c>
      <c r="B862" s="2">
        <f>HYPERLINK("https://platform.v2.vetology.net/cases/2656308/screening-report/18?type=pdf&amp;v=v6&amp;scorecard=1&amp;secret_key=BX%25IJ%24%2F65ieZ%29f6", 2656308)</f>
        <v>2656308</v>
      </c>
      <c r="C862" s="2">
        <f>HYPERLINK("https://platform.v2.vetology.net/report/v/final/"&amp;2656308, 2656308)</f>
        <v>2656308</v>
      </c>
      <c r="D862" s="2" t="s">
        <v>414</v>
      </c>
      <c r="E862" s="2" t="s">
        <v>2620</v>
      </c>
      <c r="F862" s="2" t="s">
        <v>1767</v>
      </c>
      <c r="G862" s="2" t="s">
        <v>135</v>
      </c>
      <c r="H862" s="2" t="s">
        <v>2621</v>
      </c>
      <c r="I862" s="2" t="s">
        <v>214</v>
      </c>
      <c r="J862" s="2" t="s">
        <v>50</v>
      </c>
      <c r="K862" s="2" t="s">
        <v>38</v>
      </c>
      <c r="L862" s="2" t="s">
        <v>39</v>
      </c>
      <c r="M862" s="2" t="s">
        <v>39</v>
      </c>
      <c r="N862" s="2" t="s">
        <v>38</v>
      </c>
      <c r="O862" s="2" t="s">
        <v>39</v>
      </c>
      <c r="P862" s="2" t="s">
        <v>38</v>
      </c>
      <c r="Q862" s="2" t="s">
        <v>38</v>
      </c>
      <c r="R862" s="2" t="s">
        <v>38</v>
      </c>
      <c r="S862" s="2" t="s">
        <v>38</v>
      </c>
      <c r="T862" s="2" t="s">
        <v>39</v>
      </c>
      <c r="U862" s="2" t="s">
        <v>38</v>
      </c>
      <c r="V862" s="2" t="s">
        <v>39</v>
      </c>
      <c r="W862" s="2" t="s">
        <v>38</v>
      </c>
      <c r="X862" s="2" t="s">
        <v>39</v>
      </c>
      <c r="Y862" s="2" t="s">
        <v>38</v>
      </c>
      <c r="Z862" s="2" t="s">
        <v>38</v>
      </c>
      <c r="AA862" s="2" t="s">
        <v>38</v>
      </c>
      <c r="AB862" s="2" t="s">
        <v>38</v>
      </c>
      <c r="AC862" s="2" t="s">
        <v>38</v>
      </c>
      <c r="AD862" s="2" t="s">
        <v>38</v>
      </c>
      <c r="AE862" s="2" t="s">
        <v>38</v>
      </c>
    </row>
    <row r="863" spans="1:31" ht="409.5">
      <c r="A863" s="2">
        <v>2656254</v>
      </c>
      <c r="B863" s="2">
        <f>HYPERLINK("https://platform.v2.vetology.net/cases/2656254/screening-report/18?type=pdf&amp;v=v6&amp;scorecard=1&amp;secret_key=BX%25IJ%24%2F65ieZ%29f6", 2656254)</f>
        <v>2656254</v>
      </c>
      <c r="C863" s="2">
        <f>HYPERLINK("https://platform.v2.vetology.net/report/v/final/"&amp;2656254, 2656254)</f>
        <v>2656254</v>
      </c>
      <c r="D863" s="2" t="s">
        <v>2622</v>
      </c>
      <c r="E863" s="2" t="s">
        <v>2623</v>
      </c>
      <c r="F863" s="2" t="s">
        <v>81</v>
      </c>
      <c r="G863" s="2" t="s">
        <v>82</v>
      </c>
      <c r="H863" s="2" t="s">
        <v>129</v>
      </c>
      <c r="I863" s="2" t="s">
        <v>44</v>
      </c>
      <c r="J863" s="2"/>
      <c r="K863" s="2" t="s">
        <v>38</v>
      </c>
      <c r="L863" s="2" t="s">
        <v>38</v>
      </c>
      <c r="M863" s="2" t="s">
        <v>38</v>
      </c>
      <c r="N863" s="2" t="s">
        <v>38</v>
      </c>
      <c r="O863" s="2" t="s">
        <v>38</v>
      </c>
      <c r="P863" s="2" t="s">
        <v>38</v>
      </c>
      <c r="Q863" s="2" t="s">
        <v>38</v>
      </c>
      <c r="R863" s="2" t="s">
        <v>38</v>
      </c>
      <c r="S863" s="2" t="s">
        <v>38</v>
      </c>
      <c r="T863" s="2" t="s">
        <v>38</v>
      </c>
      <c r="U863" s="2" t="s">
        <v>38</v>
      </c>
      <c r="V863" s="2" t="s">
        <v>38</v>
      </c>
      <c r="W863" s="2" t="s">
        <v>38</v>
      </c>
      <c r="X863" s="2" t="s">
        <v>38</v>
      </c>
      <c r="Y863" s="2" t="s">
        <v>38</v>
      </c>
      <c r="Z863" s="2" t="s">
        <v>39</v>
      </c>
      <c r="AA863" s="2" t="s">
        <v>38</v>
      </c>
      <c r="AB863" s="2" t="s">
        <v>38</v>
      </c>
      <c r="AC863" s="2" t="s">
        <v>38</v>
      </c>
      <c r="AD863" s="2" t="s">
        <v>38</v>
      </c>
      <c r="AE863" s="2" t="s">
        <v>38</v>
      </c>
    </row>
    <row r="864" spans="1:31" ht="409.5">
      <c r="A864" s="2">
        <v>2656215</v>
      </c>
      <c r="B864" s="2">
        <f>HYPERLINK("https://platform.v2.vetology.net/cases/2656215/screening-report/18?type=pdf&amp;v=v6&amp;scorecard=1&amp;secret_key=BX%25IJ%24%2F65ieZ%29f6", 2656215)</f>
        <v>2656215</v>
      </c>
      <c r="C864" s="2">
        <f>HYPERLINK("https://platform.v2.vetology.net/report/v/final/"&amp;2656215, 2656215)</f>
        <v>2656215</v>
      </c>
      <c r="D864" s="2" t="s">
        <v>2624</v>
      </c>
      <c r="E864" s="2" t="s">
        <v>2625</v>
      </c>
      <c r="F864" s="2" t="s">
        <v>81</v>
      </c>
      <c r="G864" s="2" t="s">
        <v>82</v>
      </c>
      <c r="H864" s="2" t="s">
        <v>1205</v>
      </c>
      <c r="I864" s="2" t="s">
        <v>245</v>
      </c>
      <c r="J864" s="2" t="s">
        <v>246</v>
      </c>
      <c r="K864" s="2" t="s">
        <v>38</v>
      </c>
      <c r="L864" s="2" t="s">
        <v>39</v>
      </c>
      <c r="M864" s="2" t="s">
        <v>38</v>
      </c>
      <c r="N864" s="2" t="s">
        <v>38</v>
      </c>
      <c r="O864" s="2" t="s">
        <v>38</v>
      </c>
      <c r="P864" s="2" t="s">
        <v>38</v>
      </c>
      <c r="Q864" s="2" t="s">
        <v>38</v>
      </c>
      <c r="R864" s="2" t="s">
        <v>38</v>
      </c>
      <c r="S864" s="2" t="s">
        <v>39</v>
      </c>
      <c r="T864" s="2" t="s">
        <v>39</v>
      </c>
      <c r="U864" s="2" t="s">
        <v>38</v>
      </c>
      <c r="V864" s="2" t="s">
        <v>38</v>
      </c>
      <c r="W864" s="2" t="s">
        <v>38</v>
      </c>
      <c r="X864" s="2" t="s">
        <v>39</v>
      </c>
      <c r="Y864" s="2" t="s">
        <v>38</v>
      </c>
      <c r="Z864" s="2" t="s">
        <v>38</v>
      </c>
      <c r="AA864" s="2" t="s">
        <v>38</v>
      </c>
      <c r="AB864" s="2" t="s">
        <v>38</v>
      </c>
      <c r="AC864" s="2" t="s">
        <v>39</v>
      </c>
      <c r="AD864" s="2" t="s">
        <v>38</v>
      </c>
      <c r="AE864" s="2" t="s">
        <v>38</v>
      </c>
    </row>
    <row r="865" spans="1:31" ht="409.5">
      <c r="A865" s="2">
        <v>2656081</v>
      </c>
      <c r="B865" s="2">
        <f>HYPERLINK("https://platform.v2.vetology.net/cases/2656081/screening-report/18?type=pdf&amp;v=v6&amp;scorecard=1&amp;secret_key=BX%25IJ%24%2F65ieZ%29f6", 2656081)</f>
        <v>2656081</v>
      </c>
      <c r="C865" s="2">
        <f>HYPERLINK("https://platform.v2.vetology.net/report/v/final/"&amp;2656081, 2656081)</f>
        <v>2656081</v>
      </c>
      <c r="D865" s="2" t="s">
        <v>2626</v>
      </c>
      <c r="E865" s="2" t="s">
        <v>2627</v>
      </c>
      <c r="F865" s="2" t="s">
        <v>2628</v>
      </c>
      <c r="G865" s="2" t="s">
        <v>212</v>
      </c>
      <c r="H865" s="2" t="s">
        <v>2629</v>
      </c>
      <c r="I865" s="2" t="s">
        <v>809</v>
      </c>
      <c r="J865" s="2" t="s">
        <v>66</v>
      </c>
      <c r="K865" s="2" t="s">
        <v>38</v>
      </c>
      <c r="L865" s="2" t="s">
        <v>39</v>
      </c>
      <c r="M865" s="2" t="s">
        <v>39</v>
      </c>
      <c r="N865" s="2" t="s">
        <v>38</v>
      </c>
      <c r="O865" s="2" t="s">
        <v>39</v>
      </c>
      <c r="P865" s="2" t="s">
        <v>38</v>
      </c>
      <c r="Q865" s="2" t="s">
        <v>38</v>
      </c>
      <c r="R865" s="2" t="s">
        <v>38</v>
      </c>
      <c r="S865" s="2" t="s">
        <v>39</v>
      </c>
      <c r="T865" s="2" t="s">
        <v>39</v>
      </c>
      <c r="U865" s="2" t="s">
        <v>39</v>
      </c>
      <c r="V865" s="2" t="s">
        <v>39</v>
      </c>
      <c r="W865" s="2" t="s">
        <v>38</v>
      </c>
      <c r="X865" s="2" t="s">
        <v>39</v>
      </c>
      <c r="Y865" s="2" t="s">
        <v>38</v>
      </c>
      <c r="Z865" s="2" t="s">
        <v>39</v>
      </c>
      <c r="AA865" s="2" t="s">
        <v>38</v>
      </c>
      <c r="AB865" s="2" t="s">
        <v>39</v>
      </c>
      <c r="AC865" s="2" t="s">
        <v>38</v>
      </c>
      <c r="AD865" s="2" t="s">
        <v>38</v>
      </c>
      <c r="AE865" s="2" t="s">
        <v>39</v>
      </c>
    </row>
    <row r="866" spans="1:31" ht="409.5">
      <c r="A866" s="2">
        <v>2656014</v>
      </c>
      <c r="B866" s="2">
        <f>HYPERLINK("https://platform.v2.vetology.net/cases/2656014/screening-report/18?type=pdf&amp;v=v6&amp;scorecard=1&amp;secret_key=BX%25IJ%24%2F65ieZ%29f6", 2656014)</f>
        <v>2656014</v>
      </c>
      <c r="C866" s="2">
        <f>HYPERLINK("https://platform.v2.vetology.net/report/v/final/"&amp;2656014, 2656014)</f>
        <v>2656014</v>
      </c>
      <c r="D866" s="2" t="s">
        <v>2630</v>
      </c>
      <c r="E866" s="2" t="s">
        <v>2631</v>
      </c>
      <c r="F866" s="2" t="s">
        <v>2632</v>
      </c>
      <c r="G866" s="2" t="s">
        <v>575</v>
      </c>
      <c r="H866" s="2" t="s">
        <v>88</v>
      </c>
      <c r="I866" s="2" t="s">
        <v>89</v>
      </c>
      <c r="J866" s="2" t="s">
        <v>66</v>
      </c>
      <c r="K866" s="2" t="s">
        <v>38</v>
      </c>
      <c r="L866" s="2" t="s">
        <v>38</v>
      </c>
      <c r="M866" s="2" t="s">
        <v>38</v>
      </c>
      <c r="N866" s="2" t="s">
        <v>38</v>
      </c>
      <c r="O866" s="2" t="s">
        <v>38</v>
      </c>
      <c r="P866" s="2" t="s">
        <v>38</v>
      </c>
      <c r="Q866" s="2" t="s">
        <v>38</v>
      </c>
      <c r="R866" s="2" t="s">
        <v>38</v>
      </c>
      <c r="S866" s="2" t="s">
        <v>38</v>
      </c>
      <c r="T866" s="2" t="s">
        <v>38</v>
      </c>
      <c r="U866" s="2" t="s">
        <v>38</v>
      </c>
      <c r="V866" s="2" t="s">
        <v>38</v>
      </c>
      <c r="W866" s="2" t="s">
        <v>38</v>
      </c>
      <c r="X866" s="2" t="s">
        <v>38</v>
      </c>
      <c r="Y866" s="2" t="s">
        <v>38</v>
      </c>
      <c r="Z866" s="2" t="s">
        <v>38</v>
      </c>
      <c r="AA866" s="2" t="s">
        <v>38</v>
      </c>
      <c r="AB866" s="2" t="s">
        <v>38</v>
      </c>
      <c r="AC866" s="2" t="s">
        <v>38</v>
      </c>
      <c r="AD866" s="2" t="s">
        <v>38</v>
      </c>
      <c r="AE866" s="2" t="s">
        <v>39</v>
      </c>
    </row>
    <row r="867" spans="1:31" ht="409.5">
      <c r="A867" s="2">
        <v>2655998</v>
      </c>
      <c r="B867" s="2">
        <f>HYPERLINK("https://platform.v2.vetology.net/cases/2655998/screening-report/18?type=pdf&amp;v=v6&amp;scorecard=1&amp;secret_key=BX%25IJ%24%2F65ieZ%29f6", 2655998)</f>
        <v>2655998</v>
      </c>
      <c r="C867" s="2">
        <f>HYPERLINK("https://platform.v2.vetology.net/report/v/final/"&amp;2655998, 2655998)</f>
        <v>2655998</v>
      </c>
      <c r="D867" s="2" t="s">
        <v>2633</v>
      </c>
      <c r="E867" s="2" t="s">
        <v>2634</v>
      </c>
      <c r="F867" s="2" t="s">
        <v>1751</v>
      </c>
      <c r="G867" s="2" t="s">
        <v>135</v>
      </c>
      <c r="H867" s="2" t="s">
        <v>71</v>
      </c>
      <c r="I867" s="2" t="s">
        <v>44</v>
      </c>
      <c r="J867" s="2" t="s">
        <v>106</v>
      </c>
      <c r="K867" s="2" t="s">
        <v>38</v>
      </c>
      <c r="L867" s="2" t="s">
        <v>38</v>
      </c>
      <c r="M867" s="2" t="s">
        <v>38</v>
      </c>
      <c r="N867" s="2" t="s">
        <v>38</v>
      </c>
      <c r="O867" s="2" t="s">
        <v>38</v>
      </c>
      <c r="P867" s="2" t="s">
        <v>38</v>
      </c>
      <c r="Q867" s="2" t="s">
        <v>38</v>
      </c>
      <c r="R867" s="2" t="s">
        <v>38</v>
      </c>
      <c r="S867" s="2" t="s">
        <v>38</v>
      </c>
      <c r="T867" s="2" t="s">
        <v>38</v>
      </c>
      <c r="U867" s="2" t="s">
        <v>38</v>
      </c>
      <c r="V867" s="2" t="s">
        <v>38</v>
      </c>
      <c r="W867" s="2" t="s">
        <v>38</v>
      </c>
      <c r="X867" s="2" t="s">
        <v>38</v>
      </c>
      <c r="Y867" s="2" t="s">
        <v>38</v>
      </c>
      <c r="Z867" s="2" t="s">
        <v>38</v>
      </c>
      <c r="AA867" s="2" t="s">
        <v>38</v>
      </c>
      <c r="AB867" s="2" t="s">
        <v>38</v>
      </c>
      <c r="AC867" s="2" t="s">
        <v>38</v>
      </c>
      <c r="AD867" s="2" t="s">
        <v>38</v>
      </c>
      <c r="AE867" s="2" t="s">
        <v>38</v>
      </c>
    </row>
    <row r="868" spans="1:31" ht="409.5">
      <c r="A868" s="2">
        <v>2655953</v>
      </c>
      <c r="B868" s="2">
        <f>HYPERLINK("https://platform.v2.vetology.net/cases/2655953/screening-report/18?type=pdf&amp;v=v6&amp;scorecard=1&amp;secret_key=BX%25IJ%24%2F65ieZ%29f6", 2655953)</f>
        <v>2655953</v>
      </c>
      <c r="C868" s="2">
        <f>HYPERLINK("https://platform.v2.vetology.net/report/v/final/"&amp;2655953, 2655953)</f>
        <v>2655953</v>
      </c>
      <c r="D868" s="2" t="s">
        <v>2635</v>
      </c>
      <c r="E868" s="2" t="s">
        <v>2607</v>
      </c>
      <c r="F868" s="2"/>
      <c r="G868" s="2" t="s">
        <v>150</v>
      </c>
      <c r="H868" s="2" t="s">
        <v>43</v>
      </c>
      <c r="I868" s="2" t="s">
        <v>44</v>
      </c>
      <c r="J868" s="2"/>
      <c r="K868" s="2" t="s">
        <v>38</v>
      </c>
      <c r="L868" s="2" t="s">
        <v>39</v>
      </c>
      <c r="M868" s="2" t="s">
        <v>39</v>
      </c>
      <c r="N868" s="2" t="s">
        <v>38</v>
      </c>
      <c r="O868" s="2" t="s">
        <v>38</v>
      </c>
      <c r="P868" s="2" t="s">
        <v>38</v>
      </c>
      <c r="Q868" s="2" t="s">
        <v>38</v>
      </c>
      <c r="R868" s="2" t="s">
        <v>38</v>
      </c>
      <c r="S868" s="2" t="s">
        <v>38</v>
      </c>
      <c r="T868" s="2" t="s">
        <v>39</v>
      </c>
      <c r="U868" s="2" t="s">
        <v>39</v>
      </c>
      <c r="V868" s="2" t="s">
        <v>38</v>
      </c>
      <c r="W868" s="2" t="s">
        <v>38</v>
      </c>
      <c r="X868" s="2" t="s">
        <v>38</v>
      </c>
      <c r="Y868" s="2" t="s">
        <v>38</v>
      </c>
      <c r="Z868" s="2" t="s">
        <v>39</v>
      </c>
      <c r="AA868" s="2" t="s">
        <v>38</v>
      </c>
      <c r="AB868" s="2" t="s">
        <v>39</v>
      </c>
      <c r="AC868" s="2" t="s">
        <v>39</v>
      </c>
      <c r="AD868" s="2" t="s">
        <v>38</v>
      </c>
      <c r="AE868" s="2" t="s">
        <v>38</v>
      </c>
    </row>
    <row r="869" spans="1:31" ht="409.5">
      <c r="A869" s="2">
        <v>2655952</v>
      </c>
      <c r="B869" s="2">
        <f>HYPERLINK("https://platform.v2.vetology.net/cases/2655952/screening-report/18?type=pdf&amp;v=v6&amp;scorecard=1&amp;secret_key=BX%25IJ%24%2F65ieZ%29f6", 2655952)</f>
        <v>2655952</v>
      </c>
      <c r="C869" s="2">
        <f>HYPERLINK("https://platform.v2.vetology.net/report/v/final/"&amp;2655952, 2655952)</f>
        <v>2655952</v>
      </c>
      <c r="D869" s="2" t="s">
        <v>2636</v>
      </c>
      <c r="E869" s="2" t="s">
        <v>2637</v>
      </c>
      <c r="F869" s="2"/>
      <c r="G869" s="2" t="s">
        <v>150</v>
      </c>
      <c r="H869" s="2" t="s">
        <v>1575</v>
      </c>
      <c r="I869" s="2" t="s">
        <v>1468</v>
      </c>
      <c r="J869" s="2" t="s">
        <v>1469</v>
      </c>
      <c r="K869" s="2" t="s">
        <v>38</v>
      </c>
      <c r="L869" s="2" t="s">
        <v>38</v>
      </c>
      <c r="M869" s="2" t="s">
        <v>38</v>
      </c>
      <c r="N869" s="2" t="s">
        <v>38</v>
      </c>
      <c r="O869" s="2" t="s">
        <v>38</v>
      </c>
      <c r="P869" s="2" t="s">
        <v>38</v>
      </c>
      <c r="Q869" s="2" t="s">
        <v>38</v>
      </c>
      <c r="R869" s="2" t="s">
        <v>38</v>
      </c>
      <c r="S869" s="2" t="s">
        <v>38</v>
      </c>
      <c r="T869" s="2" t="s">
        <v>38</v>
      </c>
      <c r="U869" s="2" t="s">
        <v>38</v>
      </c>
      <c r="V869" s="2" t="s">
        <v>38</v>
      </c>
      <c r="W869" s="2" t="s">
        <v>38</v>
      </c>
      <c r="X869" s="2" t="s">
        <v>38</v>
      </c>
      <c r="Y869" s="2" t="s">
        <v>38</v>
      </c>
      <c r="Z869" s="2" t="s">
        <v>39</v>
      </c>
      <c r="AA869" s="2" t="s">
        <v>38</v>
      </c>
      <c r="AB869" s="2" t="s">
        <v>39</v>
      </c>
      <c r="AC869" s="2" t="s">
        <v>38</v>
      </c>
      <c r="AD869" s="2" t="s">
        <v>38</v>
      </c>
      <c r="AE869" s="2" t="s">
        <v>38</v>
      </c>
    </row>
    <row r="870" spans="1:31" ht="409.5">
      <c r="A870" s="2">
        <v>2655825</v>
      </c>
      <c r="B870" s="2">
        <f>HYPERLINK("https://platform.v2.vetology.net/cases/2655825/screening-report/18?type=pdf&amp;v=v6&amp;scorecard=1&amp;secret_key=BX%25IJ%24%2F65ieZ%29f6", 2655825)</f>
        <v>2655825</v>
      </c>
      <c r="C870" s="2">
        <f>HYPERLINK("https://platform.v2.vetology.net/report/v/final/"&amp;2655825, 2655825)</f>
        <v>2655825</v>
      </c>
      <c r="D870" s="2" t="s">
        <v>2638</v>
      </c>
      <c r="E870" s="2" t="s">
        <v>617</v>
      </c>
      <c r="F870" s="2" t="s">
        <v>2639</v>
      </c>
      <c r="G870" s="2" t="s">
        <v>135</v>
      </c>
      <c r="H870" s="2" t="s">
        <v>804</v>
      </c>
      <c r="I870" s="2" t="s">
        <v>214</v>
      </c>
      <c r="J870" s="2" t="s">
        <v>50</v>
      </c>
      <c r="K870" s="2" t="s">
        <v>38</v>
      </c>
      <c r="L870" s="2" t="s">
        <v>38</v>
      </c>
      <c r="M870" s="2" t="s">
        <v>38</v>
      </c>
      <c r="N870" s="2" t="s">
        <v>38</v>
      </c>
      <c r="O870" s="2" t="s">
        <v>38</v>
      </c>
      <c r="P870" s="2" t="s">
        <v>38</v>
      </c>
      <c r="Q870" s="2" t="s">
        <v>38</v>
      </c>
      <c r="R870" s="2" t="s">
        <v>38</v>
      </c>
      <c r="S870" s="2" t="s">
        <v>38</v>
      </c>
      <c r="T870" s="2" t="s">
        <v>39</v>
      </c>
      <c r="U870" s="2" t="s">
        <v>38</v>
      </c>
      <c r="V870" s="2" t="s">
        <v>38</v>
      </c>
      <c r="W870" s="2" t="s">
        <v>38</v>
      </c>
      <c r="X870" s="2" t="s">
        <v>39</v>
      </c>
      <c r="Y870" s="2" t="s">
        <v>38</v>
      </c>
      <c r="Z870" s="2" t="s">
        <v>38</v>
      </c>
      <c r="AA870" s="2" t="s">
        <v>38</v>
      </c>
      <c r="AB870" s="2" t="s">
        <v>38</v>
      </c>
      <c r="AC870" s="2" t="s">
        <v>38</v>
      </c>
      <c r="AD870" s="2" t="s">
        <v>38</v>
      </c>
      <c r="AE870" s="2" t="s">
        <v>38</v>
      </c>
    </row>
    <row r="871" spans="1:31" ht="409.5">
      <c r="A871" s="2">
        <v>2655821</v>
      </c>
      <c r="B871" s="2">
        <f>HYPERLINK("https://platform.v2.vetology.net/cases/2655821/screening-report/18?type=pdf&amp;v=v6&amp;scorecard=1&amp;secret_key=BX%25IJ%24%2F65ieZ%29f6", 2655821)</f>
        <v>2655821</v>
      </c>
      <c r="C871" s="2">
        <f>HYPERLINK("https://platform.v2.vetology.net/report/v/final/"&amp;2655821, 2655821)</f>
        <v>2655821</v>
      </c>
      <c r="D871" s="2" t="s">
        <v>2640</v>
      </c>
      <c r="E871" s="2" t="s">
        <v>2641</v>
      </c>
      <c r="F871" s="2" t="s">
        <v>81</v>
      </c>
      <c r="G871" s="2" t="s">
        <v>150</v>
      </c>
      <c r="H871" s="2" t="s">
        <v>2642</v>
      </c>
      <c r="I871" s="2" t="s">
        <v>214</v>
      </c>
      <c r="J871" s="2" t="s">
        <v>50</v>
      </c>
      <c r="K871" s="2" t="s">
        <v>38</v>
      </c>
      <c r="L871" s="2" t="s">
        <v>38</v>
      </c>
      <c r="M871" s="2" t="s">
        <v>38</v>
      </c>
      <c r="N871" s="2" t="s">
        <v>38</v>
      </c>
      <c r="O871" s="2" t="s">
        <v>38</v>
      </c>
      <c r="P871" s="2" t="s">
        <v>38</v>
      </c>
      <c r="Q871" s="2" t="s">
        <v>38</v>
      </c>
      <c r="R871" s="2" t="s">
        <v>38</v>
      </c>
      <c r="S871" s="2" t="s">
        <v>39</v>
      </c>
      <c r="T871" s="2" t="s">
        <v>39</v>
      </c>
      <c r="U871" s="2" t="s">
        <v>38</v>
      </c>
      <c r="V871" s="2" t="s">
        <v>39</v>
      </c>
      <c r="W871" s="2" t="s">
        <v>38</v>
      </c>
      <c r="X871" s="2" t="s">
        <v>39</v>
      </c>
      <c r="Y871" s="2" t="s">
        <v>38</v>
      </c>
      <c r="Z871" s="2" t="s">
        <v>39</v>
      </c>
      <c r="AA871" s="2" t="s">
        <v>38</v>
      </c>
      <c r="AB871" s="2" t="s">
        <v>39</v>
      </c>
      <c r="AC871" s="2" t="s">
        <v>38</v>
      </c>
      <c r="AD871" s="2" t="s">
        <v>38</v>
      </c>
      <c r="AE871" s="2" t="s">
        <v>38</v>
      </c>
    </row>
    <row r="872" spans="1:31" ht="409.5">
      <c r="A872" s="2">
        <v>2655500</v>
      </c>
      <c r="B872" s="2">
        <f>HYPERLINK("https://platform.v2.vetology.net/cases/2655500/screening-report/18?type=pdf&amp;v=v6&amp;scorecard=1&amp;secret_key=BX%25IJ%24%2F65ieZ%29f6", 2655500)</f>
        <v>2655500</v>
      </c>
      <c r="C872" s="2">
        <f>HYPERLINK("https://platform.v2.vetology.net/report/v/final/"&amp;2655500, 2655500)</f>
        <v>2655500</v>
      </c>
      <c r="D872" s="2" t="s">
        <v>2643</v>
      </c>
      <c r="E872" s="2" t="s">
        <v>2644</v>
      </c>
      <c r="F872" s="2" t="s">
        <v>81</v>
      </c>
      <c r="G872" s="2" t="s">
        <v>82</v>
      </c>
      <c r="H872" s="2" t="s">
        <v>54</v>
      </c>
      <c r="I872" s="2" t="s">
        <v>44</v>
      </c>
      <c r="J872" s="2"/>
      <c r="K872" s="2" t="s">
        <v>38</v>
      </c>
      <c r="L872" s="2" t="s">
        <v>39</v>
      </c>
      <c r="M872" s="2" t="s">
        <v>39</v>
      </c>
      <c r="N872" s="2" t="s">
        <v>38</v>
      </c>
      <c r="O872" s="2" t="s">
        <v>38</v>
      </c>
      <c r="P872" s="2" t="s">
        <v>39</v>
      </c>
      <c r="Q872" s="2" t="s">
        <v>38</v>
      </c>
      <c r="R872" s="2" t="s">
        <v>38</v>
      </c>
      <c r="S872" s="2" t="s">
        <v>38</v>
      </c>
      <c r="T872" s="2" t="s">
        <v>38</v>
      </c>
      <c r="U872" s="2" t="s">
        <v>38</v>
      </c>
      <c r="V872" s="2" t="s">
        <v>38</v>
      </c>
      <c r="W872" s="2" t="s">
        <v>38</v>
      </c>
      <c r="X872" s="2" t="s">
        <v>38</v>
      </c>
      <c r="Y872" s="2" t="s">
        <v>38</v>
      </c>
      <c r="Z872" s="2" t="s">
        <v>38</v>
      </c>
      <c r="AA872" s="2" t="s">
        <v>38</v>
      </c>
      <c r="AB872" s="2" t="s">
        <v>39</v>
      </c>
      <c r="AC872" s="2" t="s">
        <v>39</v>
      </c>
      <c r="AD872" s="2" t="s">
        <v>38</v>
      </c>
      <c r="AE872" s="2" t="s">
        <v>38</v>
      </c>
    </row>
    <row r="873" spans="1:31" ht="409.5">
      <c r="A873" s="2">
        <v>2655299</v>
      </c>
      <c r="B873" s="2">
        <f>HYPERLINK("https://platform.v2.vetology.net/cases/2655299/screening-report/18?type=pdf&amp;v=v6&amp;scorecard=1&amp;secret_key=BX%25IJ%24%2F65ieZ%29f6", 2655299)</f>
        <v>2655299</v>
      </c>
      <c r="C873" s="2">
        <f>HYPERLINK("https://platform.v2.vetology.net/report/v/final/"&amp;2655299, 2655299)</f>
        <v>2655299</v>
      </c>
      <c r="D873" s="2" t="s">
        <v>1850</v>
      </c>
      <c r="E873" s="2" t="s">
        <v>796</v>
      </c>
      <c r="F873" s="2" t="s">
        <v>2645</v>
      </c>
      <c r="G873" s="2" t="s">
        <v>135</v>
      </c>
      <c r="H873" s="2" t="s">
        <v>1180</v>
      </c>
      <c r="I873" s="2" t="s">
        <v>158</v>
      </c>
      <c r="J873" s="2" t="s">
        <v>50</v>
      </c>
      <c r="K873" s="2" t="s">
        <v>38</v>
      </c>
      <c r="L873" s="2" t="s">
        <v>39</v>
      </c>
      <c r="M873" s="2" t="s">
        <v>39</v>
      </c>
      <c r="N873" s="2" t="s">
        <v>38</v>
      </c>
      <c r="O873" s="2" t="s">
        <v>38</v>
      </c>
      <c r="P873" s="2" t="s">
        <v>38</v>
      </c>
      <c r="Q873" s="2" t="s">
        <v>38</v>
      </c>
      <c r="R873" s="2" t="s">
        <v>38</v>
      </c>
      <c r="S873" s="2" t="s">
        <v>38</v>
      </c>
      <c r="T873" s="2" t="s">
        <v>39</v>
      </c>
      <c r="U873" s="2" t="s">
        <v>38</v>
      </c>
      <c r="V873" s="2" t="s">
        <v>38</v>
      </c>
      <c r="W873" s="2" t="s">
        <v>38</v>
      </c>
      <c r="X873" s="2" t="s">
        <v>39</v>
      </c>
      <c r="Y873" s="2" t="s">
        <v>38</v>
      </c>
      <c r="Z873" s="2" t="s">
        <v>38</v>
      </c>
      <c r="AA873" s="2" t="s">
        <v>38</v>
      </c>
      <c r="AB873" s="2" t="s">
        <v>38</v>
      </c>
      <c r="AC873" s="2" t="s">
        <v>38</v>
      </c>
      <c r="AD873" s="2" t="s">
        <v>38</v>
      </c>
      <c r="AE873" s="2" t="s">
        <v>38</v>
      </c>
    </row>
    <row r="874" spans="1:31" ht="409.5">
      <c r="A874" s="2">
        <v>2655122</v>
      </c>
      <c r="B874" s="2">
        <f>HYPERLINK("https://platform.v2.vetology.net/cases/2655122/screening-report/18?type=pdf&amp;v=v6&amp;scorecard=1&amp;secret_key=BX%25IJ%24%2F65ieZ%29f6", 2655122)</f>
        <v>2655122</v>
      </c>
      <c r="C874" s="2">
        <f>HYPERLINK("https://platform.v2.vetology.net/report/v/final/"&amp;2655122, 2655122)</f>
        <v>2655122</v>
      </c>
      <c r="D874" s="2" t="s">
        <v>2646</v>
      </c>
      <c r="E874" s="2" t="s">
        <v>2647</v>
      </c>
      <c r="F874" s="2" t="s">
        <v>2648</v>
      </c>
      <c r="G874" s="2" t="s">
        <v>82</v>
      </c>
      <c r="H874" s="2" t="s">
        <v>417</v>
      </c>
      <c r="I874" s="2" t="s">
        <v>418</v>
      </c>
      <c r="J874" s="2" t="s">
        <v>419</v>
      </c>
      <c r="K874" s="2" t="s">
        <v>38</v>
      </c>
      <c r="L874" s="2" t="s">
        <v>39</v>
      </c>
      <c r="M874" s="2" t="s">
        <v>39</v>
      </c>
      <c r="N874" s="2" t="s">
        <v>38</v>
      </c>
      <c r="O874" s="2" t="s">
        <v>38</v>
      </c>
      <c r="P874" s="2" t="s">
        <v>38</v>
      </c>
      <c r="Q874" s="2" t="s">
        <v>38</v>
      </c>
      <c r="R874" s="2" t="s">
        <v>38</v>
      </c>
      <c r="S874" s="2" t="s">
        <v>39</v>
      </c>
      <c r="T874" s="2" t="s">
        <v>39</v>
      </c>
      <c r="U874" s="2" t="s">
        <v>38</v>
      </c>
      <c r="V874" s="2" t="s">
        <v>38</v>
      </c>
      <c r="W874" s="2" t="s">
        <v>38</v>
      </c>
      <c r="X874" s="2" t="s">
        <v>38</v>
      </c>
      <c r="Y874" s="2" t="s">
        <v>38</v>
      </c>
      <c r="Z874" s="2" t="s">
        <v>38</v>
      </c>
      <c r="AA874" s="2" t="s">
        <v>38</v>
      </c>
      <c r="AB874" s="2" t="s">
        <v>39</v>
      </c>
      <c r="AC874" s="2" t="s">
        <v>38</v>
      </c>
      <c r="AD874" s="2" t="s">
        <v>38</v>
      </c>
      <c r="AE874" s="2" t="s">
        <v>38</v>
      </c>
    </row>
    <row r="875" spans="1:31" ht="409.5">
      <c r="A875" s="2">
        <v>2655077</v>
      </c>
      <c r="B875" s="2">
        <f>HYPERLINK("https://platform.v2.vetology.net/cases/2655077/screening-report/18?type=pdf&amp;v=v6&amp;scorecard=1&amp;secret_key=BX%25IJ%24%2F65ieZ%29f6", 2655077)</f>
        <v>2655077</v>
      </c>
      <c r="C875" s="2">
        <f>HYPERLINK("https://platform.v2.vetology.net/report/v/final/"&amp;2655077, 2655077)</f>
        <v>2655077</v>
      </c>
      <c r="D875" s="2" t="s">
        <v>2649</v>
      </c>
      <c r="E875" s="2" t="s">
        <v>2650</v>
      </c>
      <c r="F875" s="2" t="s">
        <v>2651</v>
      </c>
      <c r="G875" s="2" t="s">
        <v>82</v>
      </c>
      <c r="H875" s="2" t="s">
        <v>646</v>
      </c>
      <c r="I875" s="2" t="s">
        <v>167</v>
      </c>
      <c r="J875" s="2" t="s">
        <v>168</v>
      </c>
      <c r="K875" s="2" t="s">
        <v>38</v>
      </c>
      <c r="L875" s="2" t="s">
        <v>39</v>
      </c>
      <c r="M875" s="2" t="s">
        <v>38</v>
      </c>
      <c r="N875" s="2" t="s">
        <v>38</v>
      </c>
      <c r="O875" s="2" t="s">
        <v>38</v>
      </c>
      <c r="P875" s="2" t="s">
        <v>38</v>
      </c>
      <c r="Q875" s="2" t="s">
        <v>38</v>
      </c>
      <c r="R875" s="2" t="s">
        <v>38</v>
      </c>
      <c r="S875" s="2" t="s">
        <v>39</v>
      </c>
      <c r="T875" s="2" t="s">
        <v>38</v>
      </c>
      <c r="U875" s="2" t="s">
        <v>38</v>
      </c>
      <c r="V875" s="2" t="s">
        <v>38</v>
      </c>
      <c r="W875" s="2" t="s">
        <v>38</v>
      </c>
      <c r="X875" s="2" t="s">
        <v>38</v>
      </c>
      <c r="Y875" s="2" t="s">
        <v>38</v>
      </c>
      <c r="Z875" s="2" t="s">
        <v>38</v>
      </c>
      <c r="AA875" s="2" t="s">
        <v>38</v>
      </c>
      <c r="AB875" s="2" t="s">
        <v>39</v>
      </c>
      <c r="AC875" s="2" t="s">
        <v>39</v>
      </c>
      <c r="AD875" s="2" t="s">
        <v>38</v>
      </c>
      <c r="AE875" s="2" t="s">
        <v>38</v>
      </c>
    </row>
    <row r="876" spans="1:31" ht="409.5">
      <c r="A876" s="2">
        <v>2655027</v>
      </c>
      <c r="B876" s="2">
        <f>HYPERLINK("https://platform.v2.vetology.net/cases/2655027/screening-report/18?type=pdf&amp;v=v6&amp;scorecard=1&amp;secret_key=BX%25IJ%24%2F65ieZ%29f6", 2655027)</f>
        <v>2655027</v>
      </c>
      <c r="C876" s="2">
        <f>HYPERLINK("https://platform.v2.vetology.net/report/v/final/"&amp;2655027, 2655027)</f>
        <v>2655027</v>
      </c>
      <c r="D876" s="2" t="s">
        <v>2652</v>
      </c>
      <c r="E876" s="2" t="s">
        <v>2653</v>
      </c>
      <c r="F876" s="2" t="s">
        <v>1629</v>
      </c>
      <c r="G876" s="2" t="s">
        <v>63</v>
      </c>
      <c r="H876" s="2" t="s">
        <v>339</v>
      </c>
      <c r="I876" s="2" t="s">
        <v>124</v>
      </c>
      <c r="J876" s="2" t="s">
        <v>125</v>
      </c>
      <c r="K876" s="2" t="s">
        <v>38</v>
      </c>
      <c r="L876" s="2" t="s">
        <v>38</v>
      </c>
      <c r="M876" s="2" t="s">
        <v>39</v>
      </c>
      <c r="N876" s="2" t="s">
        <v>38</v>
      </c>
      <c r="O876" s="2" t="s">
        <v>38</v>
      </c>
      <c r="P876" s="2" t="s">
        <v>38</v>
      </c>
      <c r="Q876" s="2" t="s">
        <v>38</v>
      </c>
      <c r="R876" s="2" t="s">
        <v>38</v>
      </c>
      <c r="S876" s="2" t="s">
        <v>38</v>
      </c>
      <c r="T876" s="2" t="s">
        <v>38</v>
      </c>
      <c r="U876" s="2" t="s">
        <v>38</v>
      </c>
      <c r="V876" s="2" t="s">
        <v>38</v>
      </c>
      <c r="W876" s="2" t="s">
        <v>38</v>
      </c>
      <c r="X876" s="2" t="s">
        <v>38</v>
      </c>
      <c r="Y876" s="2" t="s">
        <v>38</v>
      </c>
      <c r="Z876" s="2" t="s">
        <v>38</v>
      </c>
      <c r="AA876" s="2" t="s">
        <v>38</v>
      </c>
      <c r="AB876" s="2" t="s">
        <v>38</v>
      </c>
      <c r="AC876" s="2" t="s">
        <v>39</v>
      </c>
      <c r="AD876" s="2" t="s">
        <v>38</v>
      </c>
      <c r="AE876" s="2" t="s">
        <v>39</v>
      </c>
    </row>
    <row r="877" spans="1:31" ht="409.5">
      <c r="A877" s="2">
        <v>2654942</v>
      </c>
      <c r="B877" s="2">
        <f>HYPERLINK("https://platform.v2.vetology.net/cases/2654942/screening-report/18?type=pdf&amp;v=v6&amp;scorecard=1&amp;secret_key=BX%25IJ%24%2F65ieZ%29f6", 2654942)</f>
        <v>2654942</v>
      </c>
      <c r="C877" s="2">
        <f>HYPERLINK("https://platform.v2.vetology.net/report/v/final/"&amp;2654942, 2654942)</f>
        <v>2654942</v>
      </c>
      <c r="D877" s="2" t="s">
        <v>2654</v>
      </c>
      <c r="E877" s="2" t="s">
        <v>2655</v>
      </c>
      <c r="F877" s="2" t="s">
        <v>2656</v>
      </c>
      <c r="G877" s="2" t="s">
        <v>63</v>
      </c>
      <c r="H877" s="2" t="s">
        <v>129</v>
      </c>
      <c r="I877" s="2" t="s">
        <v>44</v>
      </c>
      <c r="J877" s="2" t="s">
        <v>106</v>
      </c>
      <c r="K877" s="2" t="s">
        <v>38</v>
      </c>
      <c r="L877" s="2" t="s">
        <v>38</v>
      </c>
      <c r="M877" s="2" t="s">
        <v>38</v>
      </c>
      <c r="N877" s="2" t="s">
        <v>38</v>
      </c>
      <c r="O877" s="2" t="s">
        <v>38</v>
      </c>
      <c r="P877" s="2" t="s">
        <v>38</v>
      </c>
      <c r="Q877" s="2" t="s">
        <v>38</v>
      </c>
      <c r="R877" s="2" t="s">
        <v>38</v>
      </c>
      <c r="S877" s="2" t="s">
        <v>38</v>
      </c>
      <c r="T877" s="2" t="s">
        <v>38</v>
      </c>
      <c r="U877" s="2" t="s">
        <v>38</v>
      </c>
      <c r="V877" s="2" t="s">
        <v>38</v>
      </c>
      <c r="W877" s="2" t="s">
        <v>38</v>
      </c>
      <c r="X877" s="2" t="s">
        <v>38</v>
      </c>
      <c r="Y877" s="2" t="s">
        <v>38</v>
      </c>
      <c r="Z877" s="2" t="s">
        <v>38</v>
      </c>
      <c r="AA877" s="2" t="s">
        <v>38</v>
      </c>
      <c r="AB877" s="2" t="s">
        <v>38</v>
      </c>
      <c r="AC877" s="2" t="s">
        <v>38</v>
      </c>
      <c r="AD877" s="2" t="s">
        <v>38</v>
      </c>
      <c r="AE877" s="2" t="s">
        <v>38</v>
      </c>
    </row>
    <row r="878" spans="1:31" ht="409.5">
      <c r="A878" s="2">
        <v>2654897</v>
      </c>
      <c r="B878" s="2">
        <f>HYPERLINK("https://platform.v2.vetology.net/cases/2654897/screening-report/18?type=pdf&amp;v=v6&amp;scorecard=1&amp;secret_key=BX%25IJ%24%2F65ieZ%29f6", 2654897)</f>
        <v>2654897</v>
      </c>
      <c r="C878" s="2">
        <f>HYPERLINK("https://platform.v2.vetology.net/report/v/final/"&amp;2654897, 2654897)</f>
        <v>2654897</v>
      </c>
      <c r="D878" s="2" t="s">
        <v>2657</v>
      </c>
      <c r="E878" s="2" t="s">
        <v>2658</v>
      </c>
      <c r="F878" s="2" t="s">
        <v>2659</v>
      </c>
      <c r="G878" s="2" t="s">
        <v>58</v>
      </c>
      <c r="H878" s="2" t="s">
        <v>2660</v>
      </c>
      <c r="I878" s="2" t="s">
        <v>1102</v>
      </c>
      <c r="J878" s="2" t="s">
        <v>307</v>
      </c>
      <c r="K878" s="2" t="s">
        <v>38</v>
      </c>
      <c r="L878" s="2" t="s">
        <v>39</v>
      </c>
      <c r="M878" s="2" t="s">
        <v>39</v>
      </c>
      <c r="N878" s="2" t="s">
        <v>39</v>
      </c>
      <c r="O878" s="2" t="s">
        <v>38</v>
      </c>
      <c r="P878" s="2" t="s">
        <v>39</v>
      </c>
      <c r="Q878" s="2" t="s">
        <v>39</v>
      </c>
      <c r="R878" s="2" t="s">
        <v>38</v>
      </c>
      <c r="S878" s="2" t="s">
        <v>39</v>
      </c>
      <c r="T878" s="2" t="s">
        <v>38</v>
      </c>
      <c r="U878" s="2" t="s">
        <v>38</v>
      </c>
      <c r="V878" s="2" t="s">
        <v>38</v>
      </c>
      <c r="W878" s="2" t="s">
        <v>38</v>
      </c>
      <c r="X878" s="2" t="s">
        <v>39</v>
      </c>
      <c r="Y878" s="2" t="s">
        <v>38</v>
      </c>
      <c r="Z878" s="2" t="s">
        <v>39</v>
      </c>
      <c r="AA878" s="2" t="s">
        <v>38</v>
      </c>
      <c r="AB878" s="2" t="s">
        <v>39</v>
      </c>
      <c r="AC878" s="2" t="s">
        <v>39</v>
      </c>
      <c r="AD878" s="2" t="s">
        <v>38</v>
      </c>
      <c r="AE878" s="2" t="s">
        <v>39</v>
      </c>
    </row>
    <row r="879" spans="1:31" ht="409.5">
      <c r="A879" s="2">
        <v>2654329</v>
      </c>
      <c r="B879" s="2">
        <f>HYPERLINK("https://platform.v2.vetology.net/cases/2654329/screening-report/18?type=pdf&amp;v=v6&amp;scorecard=1&amp;secret_key=BX%25IJ%24%2F65ieZ%29f6", 2654329)</f>
        <v>2654329</v>
      </c>
      <c r="C879" s="2">
        <f>HYPERLINK("https://platform.v2.vetology.net/report/v/final/"&amp;2654329, 2654329)</f>
        <v>2654329</v>
      </c>
      <c r="D879" s="2" t="s">
        <v>2661</v>
      </c>
      <c r="E879" s="2" t="s">
        <v>2662</v>
      </c>
      <c r="F879" s="2" t="s">
        <v>2663</v>
      </c>
      <c r="G879" s="2" t="s">
        <v>93</v>
      </c>
      <c r="H879" s="2" t="s">
        <v>244</v>
      </c>
      <c r="I879" s="2" t="s">
        <v>245</v>
      </c>
      <c r="J879" s="2" t="s">
        <v>246</v>
      </c>
      <c r="K879" s="2" t="s">
        <v>38</v>
      </c>
      <c r="L879" s="2" t="s">
        <v>39</v>
      </c>
      <c r="M879" s="2" t="s">
        <v>39</v>
      </c>
      <c r="N879" s="2" t="s">
        <v>38</v>
      </c>
      <c r="O879" s="2" t="s">
        <v>39</v>
      </c>
      <c r="P879" s="2" t="s">
        <v>39</v>
      </c>
      <c r="Q879" s="2" t="s">
        <v>39</v>
      </c>
      <c r="R879" s="2" t="s">
        <v>38</v>
      </c>
      <c r="S879" s="2" t="s">
        <v>38</v>
      </c>
      <c r="T879" s="2" t="s">
        <v>39</v>
      </c>
      <c r="U879" s="2" t="s">
        <v>38</v>
      </c>
      <c r="V879" s="2" t="s">
        <v>39</v>
      </c>
      <c r="W879" s="2" t="s">
        <v>38</v>
      </c>
      <c r="X879" s="2" t="s">
        <v>39</v>
      </c>
      <c r="Y879" s="2" t="s">
        <v>38</v>
      </c>
      <c r="Z879" s="2" t="s">
        <v>39</v>
      </c>
      <c r="AA879" s="2" t="s">
        <v>38</v>
      </c>
      <c r="AB879" s="2" t="s">
        <v>39</v>
      </c>
      <c r="AC879" s="2" t="s">
        <v>39</v>
      </c>
      <c r="AD879" s="2" t="s">
        <v>38</v>
      </c>
      <c r="AE879" s="2" t="s">
        <v>38</v>
      </c>
    </row>
    <row r="880" spans="1:31" ht="409.5">
      <c r="A880" s="2">
        <v>2654316</v>
      </c>
      <c r="B880" s="2">
        <f>HYPERLINK("https://platform.v2.vetology.net/cases/2654316/screening-report/18?type=pdf&amp;v=v6&amp;scorecard=1&amp;secret_key=BX%25IJ%24%2F65ieZ%29f6", 2654316)</f>
        <v>2654316</v>
      </c>
      <c r="C880" s="2">
        <f>HYPERLINK("https://platform.v2.vetology.net/report/v/final/"&amp;2654316, 2654316)</f>
        <v>2654316</v>
      </c>
      <c r="D880" s="2" t="s">
        <v>2664</v>
      </c>
      <c r="E880" s="2" t="s">
        <v>2665</v>
      </c>
      <c r="F880" s="2" t="s">
        <v>81</v>
      </c>
      <c r="G880" s="2" t="s">
        <v>82</v>
      </c>
      <c r="H880" s="2" t="s">
        <v>54</v>
      </c>
      <c r="I880" s="2" t="s">
        <v>44</v>
      </c>
      <c r="J880" s="2"/>
      <c r="K880" s="2" t="s">
        <v>38</v>
      </c>
      <c r="L880" s="2" t="s">
        <v>38</v>
      </c>
      <c r="M880" s="2" t="s">
        <v>39</v>
      </c>
      <c r="N880" s="2" t="s">
        <v>38</v>
      </c>
      <c r="O880" s="2" t="s">
        <v>39</v>
      </c>
      <c r="P880" s="2" t="s">
        <v>38</v>
      </c>
      <c r="Q880" s="2" t="s">
        <v>39</v>
      </c>
      <c r="R880" s="2" t="s">
        <v>38</v>
      </c>
      <c r="S880" s="2" t="s">
        <v>39</v>
      </c>
      <c r="T880" s="2" t="s">
        <v>38</v>
      </c>
      <c r="U880" s="2" t="s">
        <v>38</v>
      </c>
      <c r="V880" s="2" t="s">
        <v>38</v>
      </c>
      <c r="W880" s="2" t="s">
        <v>38</v>
      </c>
      <c r="X880" s="2" t="s">
        <v>38</v>
      </c>
      <c r="Y880" s="2" t="s">
        <v>38</v>
      </c>
      <c r="Z880" s="2" t="s">
        <v>39</v>
      </c>
      <c r="AA880" s="2" t="s">
        <v>38</v>
      </c>
      <c r="AB880" s="2" t="s">
        <v>39</v>
      </c>
      <c r="AC880" s="2" t="s">
        <v>38</v>
      </c>
      <c r="AD880" s="2" t="s">
        <v>38</v>
      </c>
      <c r="AE880" s="2" t="s">
        <v>38</v>
      </c>
    </row>
    <row r="881" spans="1:31" ht="409.5">
      <c r="A881" s="2">
        <v>2654316</v>
      </c>
      <c r="B881" s="2">
        <f>HYPERLINK("https://platform.v2.vetology.net/cases/2654316/screening-report/18?type=pdf&amp;v=v6&amp;scorecard=1&amp;secret_key=BX%25IJ%24%2F65ieZ%29f6", 2654316)</f>
        <v>2654316</v>
      </c>
      <c r="C881" s="2">
        <f>HYPERLINK("https://platform.v2.vetology.net/report/v/final/"&amp;2654316, 2654316)</f>
        <v>2654316</v>
      </c>
      <c r="D881" s="2" t="s">
        <v>2666</v>
      </c>
      <c r="E881" s="2" t="s">
        <v>2665</v>
      </c>
      <c r="F881" s="2" t="s">
        <v>81</v>
      </c>
      <c r="G881" s="2" t="s">
        <v>82</v>
      </c>
      <c r="H881" s="2" t="s">
        <v>54</v>
      </c>
      <c r="I881" s="2" t="s">
        <v>44</v>
      </c>
      <c r="J881" s="2"/>
      <c r="K881" s="2" t="s">
        <v>38</v>
      </c>
      <c r="L881" s="2" t="s">
        <v>38</v>
      </c>
      <c r="M881" s="2" t="s">
        <v>39</v>
      </c>
      <c r="N881" s="2" t="s">
        <v>38</v>
      </c>
      <c r="O881" s="2" t="s">
        <v>39</v>
      </c>
      <c r="P881" s="2" t="s">
        <v>38</v>
      </c>
      <c r="Q881" s="2" t="s">
        <v>39</v>
      </c>
      <c r="R881" s="2" t="s">
        <v>38</v>
      </c>
      <c r="S881" s="2" t="s">
        <v>39</v>
      </c>
      <c r="T881" s="2" t="s">
        <v>38</v>
      </c>
      <c r="U881" s="2" t="s">
        <v>38</v>
      </c>
      <c r="V881" s="2" t="s">
        <v>38</v>
      </c>
      <c r="W881" s="2" t="s">
        <v>38</v>
      </c>
      <c r="X881" s="2" t="s">
        <v>38</v>
      </c>
      <c r="Y881" s="2" t="s">
        <v>38</v>
      </c>
      <c r="Z881" s="2" t="s">
        <v>39</v>
      </c>
      <c r="AA881" s="2" t="s">
        <v>38</v>
      </c>
      <c r="AB881" s="2" t="s">
        <v>39</v>
      </c>
      <c r="AC881" s="2" t="s">
        <v>38</v>
      </c>
      <c r="AD881" s="2" t="s">
        <v>38</v>
      </c>
      <c r="AE881" s="2" t="s">
        <v>38</v>
      </c>
    </row>
    <row r="882" spans="1:31" ht="409.5">
      <c r="A882" s="2">
        <v>2654274</v>
      </c>
      <c r="B882" s="2">
        <f>HYPERLINK("https://platform.v2.vetology.net/cases/2654274/screening-report/18?type=pdf&amp;v=v6&amp;scorecard=1&amp;secret_key=BX%25IJ%24%2F65ieZ%29f6", 2654274)</f>
        <v>2654274</v>
      </c>
      <c r="C882" s="2">
        <f>HYPERLINK("https://platform.v2.vetology.net/report/v/final/"&amp;2654274, 2654274)</f>
        <v>2654274</v>
      </c>
      <c r="D882" s="2" t="s">
        <v>2667</v>
      </c>
      <c r="E882" s="2" t="s">
        <v>1679</v>
      </c>
      <c r="F882" s="2" t="s">
        <v>81</v>
      </c>
      <c r="G882" s="2" t="s">
        <v>82</v>
      </c>
      <c r="H882" s="2" t="s">
        <v>54</v>
      </c>
      <c r="I882" s="2" t="s">
        <v>199</v>
      </c>
      <c r="J882" s="2"/>
      <c r="K882" s="2" t="s">
        <v>38</v>
      </c>
      <c r="L882" s="2" t="s">
        <v>39</v>
      </c>
      <c r="M882" s="2" t="s">
        <v>39</v>
      </c>
      <c r="N882" s="2" t="s">
        <v>38</v>
      </c>
      <c r="O882" s="2" t="s">
        <v>38</v>
      </c>
      <c r="P882" s="2" t="s">
        <v>39</v>
      </c>
      <c r="Q882" s="2" t="s">
        <v>38</v>
      </c>
      <c r="R882" s="2" t="s">
        <v>38</v>
      </c>
      <c r="S882" s="2" t="s">
        <v>38</v>
      </c>
      <c r="T882" s="2" t="s">
        <v>38</v>
      </c>
      <c r="U882" s="2" t="s">
        <v>38</v>
      </c>
      <c r="V882" s="2" t="s">
        <v>38</v>
      </c>
      <c r="W882" s="2" t="s">
        <v>38</v>
      </c>
      <c r="X882" s="2" t="s">
        <v>39</v>
      </c>
      <c r="Y882" s="2" t="s">
        <v>38</v>
      </c>
      <c r="Z882" s="2" t="s">
        <v>38</v>
      </c>
      <c r="AA882" s="2" t="s">
        <v>38</v>
      </c>
      <c r="AB882" s="2" t="s">
        <v>39</v>
      </c>
      <c r="AC882" s="2" t="s">
        <v>39</v>
      </c>
      <c r="AD882" s="2" t="s">
        <v>38</v>
      </c>
      <c r="AE882" s="2" t="s">
        <v>38</v>
      </c>
    </row>
    <row r="883" spans="1:31" ht="409.5">
      <c r="A883" s="2">
        <v>2654145</v>
      </c>
      <c r="B883" s="2">
        <f>HYPERLINK("https://platform.v2.vetology.net/cases/2654145/screening-report/18?type=pdf&amp;v=v6&amp;scorecard=1&amp;secret_key=BX%25IJ%24%2F65ieZ%29f6", 2654145)</f>
        <v>2654145</v>
      </c>
      <c r="C883" s="2">
        <f>HYPERLINK("https://platform.v2.vetology.net/report/v/final/"&amp;2654145, 2654145)</f>
        <v>2654145</v>
      </c>
      <c r="D883" s="2" t="s">
        <v>2668</v>
      </c>
      <c r="E883" s="2" t="s">
        <v>2669</v>
      </c>
      <c r="F883" s="2" t="s">
        <v>2670</v>
      </c>
      <c r="G883" s="2" t="s">
        <v>135</v>
      </c>
      <c r="H883" s="2" t="s">
        <v>54</v>
      </c>
      <c r="I883" s="2" t="s">
        <v>44</v>
      </c>
      <c r="J883" s="2"/>
      <c r="K883" s="2" t="s">
        <v>38</v>
      </c>
      <c r="L883" s="2" t="s">
        <v>38</v>
      </c>
      <c r="M883" s="2" t="s">
        <v>38</v>
      </c>
      <c r="N883" s="2" t="s">
        <v>38</v>
      </c>
      <c r="O883" s="2" t="s">
        <v>38</v>
      </c>
      <c r="P883" s="2" t="s">
        <v>38</v>
      </c>
      <c r="Q883" s="2" t="s">
        <v>38</v>
      </c>
      <c r="R883" s="2" t="s">
        <v>38</v>
      </c>
      <c r="S883" s="2" t="s">
        <v>38</v>
      </c>
      <c r="T883" s="2" t="s">
        <v>38</v>
      </c>
      <c r="U883" s="2" t="s">
        <v>38</v>
      </c>
      <c r="V883" s="2" t="s">
        <v>38</v>
      </c>
      <c r="W883" s="2" t="s">
        <v>38</v>
      </c>
      <c r="X883" s="2" t="s">
        <v>38</v>
      </c>
      <c r="Y883" s="2" t="s">
        <v>38</v>
      </c>
      <c r="Z883" s="2" t="s">
        <v>38</v>
      </c>
      <c r="AA883" s="2" t="s">
        <v>38</v>
      </c>
      <c r="AB883" s="2" t="s">
        <v>38</v>
      </c>
      <c r="AC883" s="2" t="s">
        <v>38</v>
      </c>
      <c r="AD883" s="2" t="s">
        <v>38</v>
      </c>
      <c r="AE883" s="2" t="s">
        <v>38</v>
      </c>
    </row>
    <row r="884" spans="1:31" ht="409.5">
      <c r="A884" s="2">
        <v>2653974</v>
      </c>
      <c r="B884" s="2">
        <f>HYPERLINK("https://platform.v2.vetology.net/cases/2653974/screening-report/18?type=pdf&amp;v=v6&amp;scorecard=1&amp;secret_key=BX%25IJ%24%2F65ieZ%29f6", 2653974)</f>
        <v>2653974</v>
      </c>
      <c r="C884" s="2">
        <f>HYPERLINK("https://platform.v2.vetology.net/report/v/final/"&amp;2653974, 2653974)</f>
        <v>2653974</v>
      </c>
      <c r="D884" s="2" t="s">
        <v>2671</v>
      </c>
      <c r="E884" s="2" t="s">
        <v>915</v>
      </c>
      <c r="F884" s="2" t="s">
        <v>149</v>
      </c>
      <c r="G884" s="2" t="s">
        <v>150</v>
      </c>
      <c r="H884" s="2" t="s">
        <v>129</v>
      </c>
      <c r="I884" s="2" t="s">
        <v>44</v>
      </c>
      <c r="J884" s="2"/>
      <c r="K884" s="2" t="s">
        <v>38</v>
      </c>
      <c r="L884" s="2" t="s">
        <v>39</v>
      </c>
      <c r="M884" s="2" t="s">
        <v>38</v>
      </c>
      <c r="N884" s="2" t="s">
        <v>38</v>
      </c>
      <c r="O884" s="2" t="s">
        <v>38</v>
      </c>
      <c r="P884" s="2" t="s">
        <v>38</v>
      </c>
      <c r="Q884" s="2" t="s">
        <v>38</v>
      </c>
      <c r="R884" s="2" t="s">
        <v>38</v>
      </c>
      <c r="S884" s="2" t="s">
        <v>38</v>
      </c>
      <c r="T884" s="2" t="s">
        <v>38</v>
      </c>
      <c r="U884" s="2" t="s">
        <v>38</v>
      </c>
      <c r="V884" s="2" t="s">
        <v>38</v>
      </c>
      <c r="W884" s="2" t="s">
        <v>38</v>
      </c>
      <c r="X884" s="2" t="s">
        <v>39</v>
      </c>
      <c r="Y884" s="2" t="s">
        <v>38</v>
      </c>
      <c r="Z884" s="2" t="s">
        <v>38</v>
      </c>
      <c r="AA884" s="2" t="s">
        <v>38</v>
      </c>
      <c r="AB884" s="2" t="s">
        <v>38</v>
      </c>
      <c r="AC884" s="2" t="s">
        <v>38</v>
      </c>
      <c r="AD884" s="2" t="s">
        <v>38</v>
      </c>
      <c r="AE884" s="2" t="s">
        <v>38</v>
      </c>
    </row>
    <row r="885" spans="1:31" ht="409.5">
      <c r="A885" s="2">
        <v>2653965</v>
      </c>
      <c r="B885" s="2">
        <f>HYPERLINK("https://platform.v2.vetology.net/cases/2653965/screening-report/18?type=pdf&amp;v=v6&amp;scorecard=1&amp;secret_key=BX%25IJ%24%2F65ieZ%29f6", 2653965)</f>
        <v>2653965</v>
      </c>
      <c r="C885" s="2">
        <f>HYPERLINK("https://platform.v2.vetology.net/report/v/final/"&amp;2653965, 2653965)</f>
        <v>2653965</v>
      </c>
      <c r="D885" s="2" t="s">
        <v>2672</v>
      </c>
      <c r="E885" s="2" t="s">
        <v>2673</v>
      </c>
      <c r="F885" s="2" t="s">
        <v>2674</v>
      </c>
      <c r="G885" s="2" t="s">
        <v>58</v>
      </c>
      <c r="H885" s="2" t="s">
        <v>54</v>
      </c>
      <c r="I885" s="2" t="s">
        <v>44</v>
      </c>
      <c r="J885" s="2" t="s">
        <v>106</v>
      </c>
      <c r="K885" s="2" t="s">
        <v>38</v>
      </c>
      <c r="L885" s="2" t="s">
        <v>39</v>
      </c>
      <c r="M885" s="2" t="s">
        <v>38</v>
      </c>
      <c r="N885" s="2" t="s">
        <v>38</v>
      </c>
      <c r="O885" s="2" t="s">
        <v>38</v>
      </c>
      <c r="P885" s="2" t="s">
        <v>38</v>
      </c>
      <c r="Q885" s="2" t="s">
        <v>38</v>
      </c>
      <c r="R885" s="2" t="s">
        <v>38</v>
      </c>
      <c r="S885" s="2" t="s">
        <v>38</v>
      </c>
      <c r="T885" s="2" t="s">
        <v>39</v>
      </c>
      <c r="U885" s="2" t="s">
        <v>38</v>
      </c>
      <c r="V885" s="2" t="s">
        <v>38</v>
      </c>
      <c r="W885" s="2" t="s">
        <v>38</v>
      </c>
      <c r="X885" s="2" t="s">
        <v>39</v>
      </c>
      <c r="Y885" s="2" t="s">
        <v>39</v>
      </c>
      <c r="Z885" s="2" t="s">
        <v>38</v>
      </c>
      <c r="AA885" s="2" t="s">
        <v>38</v>
      </c>
      <c r="AB885" s="2" t="s">
        <v>39</v>
      </c>
      <c r="AC885" s="2" t="s">
        <v>38</v>
      </c>
      <c r="AD885" s="2" t="s">
        <v>38</v>
      </c>
      <c r="AE885" s="2" t="s">
        <v>38</v>
      </c>
    </row>
    <row r="886" spans="1:31" ht="409.5">
      <c r="A886" s="2">
        <v>2653805</v>
      </c>
      <c r="B886" s="2">
        <f>HYPERLINK("https://platform.v2.vetology.net/cases/2653805/screening-report/18?type=pdf&amp;v=v6&amp;scorecard=1&amp;secret_key=BX%25IJ%24%2F65ieZ%29f6", 2653805)</f>
        <v>2653805</v>
      </c>
      <c r="C886" s="2">
        <f>HYPERLINK("https://platform.v2.vetology.net/report/v/final/"&amp;2653805, 2653805)</f>
        <v>2653805</v>
      </c>
      <c r="D886" s="2" t="s">
        <v>2675</v>
      </c>
      <c r="E886" s="2" t="s">
        <v>2676</v>
      </c>
      <c r="F886" s="2" t="s">
        <v>2677</v>
      </c>
      <c r="G886" s="2" t="s">
        <v>82</v>
      </c>
      <c r="H886" s="2" t="s">
        <v>1449</v>
      </c>
      <c r="I886" s="2" t="s">
        <v>284</v>
      </c>
      <c r="J886" s="2" t="s">
        <v>285</v>
      </c>
      <c r="K886" s="2" t="s">
        <v>38</v>
      </c>
      <c r="L886" s="2" t="s">
        <v>39</v>
      </c>
      <c r="M886" s="2" t="s">
        <v>39</v>
      </c>
      <c r="N886" s="2" t="s">
        <v>38</v>
      </c>
      <c r="O886" s="2" t="s">
        <v>38</v>
      </c>
      <c r="P886" s="2" t="s">
        <v>38</v>
      </c>
      <c r="Q886" s="2" t="s">
        <v>38</v>
      </c>
      <c r="R886" s="2" t="s">
        <v>38</v>
      </c>
      <c r="S886" s="2" t="s">
        <v>38</v>
      </c>
      <c r="T886" s="2" t="s">
        <v>38</v>
      </c>
      <c r="U886" s="2" t="s">
        <v>38</v>
      </c>
      <c r="V886" s="2" t="s">
        <v>38</v>
      </c>
      <c r="W886" s="2" t="s">
        <v>38</v>
      </c>
      <c r="X886" s="2" t="s">
        <v>38</v>
      </c>
      <c r="Y886" s="2" t="s">
        <v>38</v>
      </c>
      <c r="Z886" s="2" t="s">
        <v>38</v>
      </c>
      <c r="AA886" s="2" t="s">
        <v>38</v>
      </c>
      <c r="AB886" s="2" t="s">
        <v>39</v>
      </c>
      <c r="AC886" s="2" t="s">
        <v>38</v>
      </c>
      <c r="AD886" s="2" t="s">
        <v>38</v>
      </c>
      <c r="AE886" s="2" t="s">
        <v>38</v>
      </c>
    </row>
    <row r="887" spans="1:31" ht="409.5">
      <c r="A887" s="2">
        <v>2653739</v>
      </c>
      <c r="B887" s="2">
        <f>HYPERLINK("https://platform.v2.vetology.net/cases/2653739/screening-report/18?type=pdf&amp;v=v6&amp;scorecard=1&amp;secret_key=BX%25IJ%24%2F65ieZ%29f6", 2653739)</f>
        <v>2653739</v>
      </c>
      <c r="C887" s="2">
        <f>HYPERLINK("https://platform.v2.vetology.net/report/v/final/"&amp;2653739, 2653739)</f>
        <v>2653739</v>
      </c>
      <c r="D887" s="2" t="s">
        <v>2678</v>
      </c>
      <c r="E887" s="2" t="s">
        <v>2679</v>
      </c>
      <c r="F887" s="2" t="s">
        <v>2680</v>
      </c>
      <c r="G887" s="2" t="s">
        <v>58</v>
      </c>
      <c r="H887" s="2" t="s">
        <v>2681</v>
      </c>
      <c r="I887" s="2" t="s">
        <v>89</v>
      </c>
      <c r="J887" s="2" t="s">
        <v>66</v>
      </c>
      <c r="K887" s="2" t="s">
        <v>38</v>
      </c>
      <c r="L887" s="2" t="s">
        <v>39</v>
      </c>
      <c r="M887" s="2" t="s">
        <v>39</v>
      </c>
      <c r="N887" s="2" t="s">
        <v>38</v>
      </c>
      <c r="O887" s="2" t="s">
        <v>38</v>
      </c>
      <c r="P887" s="2" t="s">
        <v>39</v>
      </c>
      <c r="Q887" s="2" t="s">
        <v>39</v>
      </c>
      <c r="R887" s="2" t="s">
        <v>38</v>
      </c>
      <c r="S887" s="2" t="s">
        <v>38</v>
      </c>
      <c r="T887" s="2" t="s">
        <v>38</v>
      </c>
      <c r="U887" s="2" t="s">
        <v>38</v>
      </c>
      <c r="V887" s="2" t="s">
        <v>38</v>
      </c>
      <c r="W887" s="2" t="s">
        <v>38</v>
      </c>
      <c r="X887" s="2" t="s">
        <v>38</v>
      </c>
      <c r="Y887" s="2" t="s">
        <v>38</v>
      </c>
      <c r="Z887" s="2" t="s">
        <v>38</v>
      </c>
      <c r="AA887" s="2" t="s">
        <v>38</v>
      </c>
      <c r="AB887" s="2" t="s">
        <v>38</v>
      </c>
      <c r="AC887" s="2" t="s">
        <v>39</v>
      </c>
      <c r="AD887" s="2" t="s">
        <v>38</v>
      </c>
      <c r="AE887" s="2" t="s">
        <v>39</v>
      </c>
    </row>
    <row r="888" spans="1:31" ht="409.5">
      <c r="A888" s="2">
        <v>2653583</v>
      </c>
      <c r="B888" s="2">
        <f>HYPERLINK("https://platform.v2.vetology.net/cases/2653583/screening-report/18?type=pdf&amp;v=v6&amp;scorecard=1&amp;secret_key=BX%25IJ%24%2F65ieZ%29f6", 2653583)</f>
        <v>2653583</v>
      </c>
      <c r="C888" s="2">
        <f>HYPERLINK("https://platform.v2.vetology.net/report/v/final/"&amp;2653583, 2653583)</f>
        <v>2653583</v>
      </c>
      <c r="D888" s="2" t="s">
        <v>2682</v>
      </c>
      <c r="E888" s="2" t="s">
        <v>2683</v>
      </c>
      <c r="F888" s="2" t="s">
        <v>2684</v>
      </c>
      <c r="G888" s="2" t="s">
        <v>58</v>
      </c>
      <c r="H888" s="2" t="s">
        <v>1825</v>
      </c>
      <c r="I888" s="2" t="s">
        <v>700</v>
      </c>
      <c r="J888" s="2" t="s">
        <v>701</v>
      </c>
      <c r="K888" s="2" t="s">
        <v>38</v>
      </c>
      <c r="L888" s="2" t="s">
        <v>39</v>
      </c>
      <c r="M888" s="2" t="s">
        <v>38</v>
      </c>
      <c r="N888" s="2" t="s">
        <v>38</v>
      </c>
      <c r="O888" s="2" t="s">
        <v>38</v>
      </c>
      <c r="P888" s="2" t="s">
        <v>38</v>
      </c>
      <c r="Q888" s="2" t="s">
        <v>38</v>
      </c>
      <c r="R888" s="2" t="s">
        <v>38</v>
      </c>
      <c r="S888" s="2" t="s">
        <v>38</v>
      </c>
      <c r="T888" s="2" t="s">
        <v>38</v>
      </c>
      <c r="U888" s="2" t="s">
        <v>38</v>
      </c>
      <c r="V888" s="2" t="s">
        <v>38</v>
      </c>
      <c r="W888" s="2" t="s">
        <v>38</v>
      </c>
      <c r="X888" s="2" t="s">
        <v>39</v>
      </c>
      <c r="Y888" s="2" t="s">
        <v>38</v>
      </c>
      <c r="Z888" s="2" t="s">
        <v>38</v>
      </c>
      <c r="AA888" s="2" t="s">
        <v>38</v>
      </c>
      <c r="AB888" s="2" t="s">
        <v>38</v>
      </c>
      <c r="AC888" s="2" t="s">
        <v>38</v>
      </c>
      <c r="AD888" s="2" t="s">
        <v>38</v>
      </c>
      <c r="AE888" s="2" t="s">
        <v>38</v>
      </c>
    </row>
    <row r="889" spans="1:31" ht="409.5">
      <c r="A889" s="2">
        <v>2653395</v>
      </c>
      <c r="B889" s="2">
        <f>HYPERLINK("https://platform.v2.vetology.net/cases/2653395/screening-report/18?type=pdf&amp;v=v6&amp;scorecard=1&amp;secret_key=BX%25IJ%24%2F65ieZ%29f6", 2653395)</f>
        <v>2653395</v>
      </c>
      <c r="C889" s="2">
        <f>HYPERLINK("https://platform.v2.vetology.net/report/v/final/"&amp;2653395, 2653395)</f>
        <v>2653395</v>
      </c>
      <c r="D889" s="2" t="s">
        <v>2685</v>
      </c>
      <c r="E889" s="2" t="s">
        <v>2686</v>
      </c>
      <c r="F889" s="2"/>
      <c r="G889" s="2" t="s">
        <v>141</v>
      </c>
      <c r="H889" s="2" t="s">
        <v>901</v>
      </c>
      <c r="I889" s="2" t="s">
        <v>689</v>
      </c>
      <c r="J889" s="2" t="s">
        <v>690</v>
      </c>
      <c r="K889" s="2" t="s">
        <v>38</v>
      </c>
      <c r="L889" s="2" t="s">
        <v>38</v>
      </c>
      <c r="M889" s="2" t="s">
        <v>39</v>
      </c>
      <c r="N889" s="2" t="s">
        <v>38</v>
      </c>
      <c r="O889" s="2" t="s">
        <v>38</v>
      </c>
      <c r="P889" s="2" t="s">
        <v>38</v>
      </c>
      <c r="Q889" s="2" t="s">
        <v>38</v>
      </c>
      <c r="R889" s="2" t="s">
        <v>38</v>
      </c>
      <c r="S889" s="2" t="s">
        <v>38</v>
      </c>
      <c r="T889" s="2" t="s">
        <v>39</v>
      </c>
      <c r="U889" s="2" t="s">
        <v>38</v>
      </c>
      <c r="V889" s="2" t="s">
        <v>39</v>
      </c>
      <c r="W889" s="2" t="s">
        <v>38</v>
      </c>
      <c r="X889" s="2" t="s">
        <v>39</v>
      </c>
      <c r="Y889" s="2" t="s">
        <v>38</v>
      </c>
      <c r="Z889" s="2" t="s">
        <v>38</v>
      </c>
      <c r="AA889" s="2" t="s">
        <v>38</v>
      </c>
      <c r="AB889" s="2" t="s">
        <v>38</v>
      </c>
      <c r="AC889" s="2" t="s">
        <v>38</v>
      </c>
      <c r="AD889" s="2" t="s">
        <v>38</v>
      </c>
      <c r="AE889" s="2" t="s">
        <v>38</v>
      </c>
    </row>
    <row r="890" spans="1:31" ht="409.5">
      <c r="A890" s="2">
        <v>2653326</v>
      </c>
      <c r="B890" s="2">
        <f>HYPERLINK("https://platform.v2.vetology.net/cases/2653326/screening-report/18?type=pdf&amp;v=v6&amp;scorecard=1&amp;secret_key=BX%25IJ%24%2F65ieZ%29f6", 2653326)</f>
        <v>2653326</v>
      </c>
      <c r="C890" s="2">
        <f>HYPERLINK("https://platform.v2.vetology.net/report/v/final/"&amp;2653326, 2653326)</f>
        <v>2653326</v>
      </c>
      <c r="D890" s="2" t="s">
        <v>2687</v>
      </c>
      <c r="E890" s="2" t="s">
        <v>2688</v>
      </c>
      <c r="F890" s="2" t="s">
        <v>149</v>
      </c>
      <c r="G890" s="2" t="s">
        <v>150</v>
      </c>
      <c r="H890" s="2" t="s">
        <v>136</v>
      </c>
      <c r="I890" s="2" t="s">
        <v>137</v>
      </c>
      <c r="J890" s="2" t="s">
        <v>66</v>
      </c>
      <c r="K890" s="2" t="s">
        <v>38</v>
      </c>
      <c r="L890" s="2" t="s">
        <v>38</v>
      </c>
      <c r="M890" s="2" t="s">
        <v>39</v>
      </c>
      <c r="N890" s="2" t="s">
        <v>38</v>
      </c>
      <c r="O890" s="2" t="s">
        <v>38</v>
      </c>
      <c r="P890" s="2" t="s">
        <v>38</v>
      </c>
      <c r="Q890" s="2" t="s">
        <v>38</v>
      </c>
      <c r="R890" s="2" t="s">
        <v>38</v>
      </c>
      <c r="S890" s="2" t="s">
        <v>38</v>
      </c>
      <c r="T890" s="2" t="s">
        <v>39</v>
      </c>
      <c r="U890" s="2" t="s">
        <v>38</v>
      </c>
      <c r="V890" s="2" t="s">
        <v>39</v>
      </c>
      <c r="W890" s="2" t="s">
        <v>38</v>
      </c>
      <c r="X890" s="2" t="s">
        <v>39</v>
      </c>
      <c r="Y890" s="2" t="s">
        <v>38</v>
      </c>
      <c r="Z890" s="2" t="s">
        <v>38</v>
      </c>
      <c r="AA890" s="2" t="s">
        <v>38</v>
      </c>
      <c r="AB890" s="2" t="s">
        <v>39</v>
      </c>
      <c r="AC890" s="2" t="s">
        <v>38</v>
      </c>
      <c r="AD890" s="2" t="s">
        <v>38</v>
      </c>
      <c r="AE890" s="2" t="s">
        <v>39</v>
      </c>
    </row>
    <row r="891" spans="1:31" ht="409.5">
      <c r="A891" s="2">
        <v>2653283</v>
      </c>
      <c r="B891" s="2">
        <f>HYPERLINK("https://platform.v2.vetology.net/cases/2653283/screening-report/18?type=pdf&amp;v=v6&amp;scorecard=1&amp;secret_key=BX%25IJ%24%2F65ieZ%29f6", 2653283)</f>
        <v>2653283</v>
      </c>
      <c r="C891" s="2">
        <f>HYPERLINK("https://platform.v2.vetology.net/report/v/final/"&amp;2653283, 2653283)</f>
        <v>2653283</v>
      </c>
      <c r="D891" s="2" t="s">
        <v>2689</v>
      </c>
      <c r="E891" s="2" t="s">
        <v>2690</v>
      </c>
      <c r="F891" s="2" t="s">
        <v>149</v>
      </c>
      <c r="G891" s="2" t="s">
        <v>150</v>
      </c>
      <c r="H891" s="2" t="s">
        <v>1205</v>
      </c>
      <c r="I891" s="2" t="s">
        <v>245</v>
      </c>
      <c r="J891" s="2" t="s">
        <v>246</v>
      </c>
      <c r="K891" s="2" t="s">
        <v>38</v>
      </c>
      <c r="L891" s="2" t="s">
        <v>39</v>
      </c>
      <c r="M891" s="2" t="s">
        <v>39</v>
      </c>
      <c r="N891" s="2" t="s">
        <v>39</v>
      </c>
      <c r="O891" s="2" t="s">
        <v>38</v>
      </c>
      <c r="P891" s="2" t="s">
        <v>39</v>
      </c>
      <c r="Q891" s="2" t="s">
        <v>38</v>
      </c>
      <c r="R891" s="2" t="s">
        <v>38</v>
      </c>
      <c r="S891" s="2" t="s">
        <v>39</v>
      </c>
      <c r="T891" s="2" t="s">
        <v>38</v>
      </c>
      <c r="U891" s="2" t="s">
        <v>38</v>
      </c>
      <c r="V891" s="2" t="s">
        <v>38</v>
      </c>
      <c r="W891" s="2" t="s">
        <v>38</v>
      </c>
      <c r="X891" s="2" t="s">
        <v>38</v>
      </c>
      <c r="Y891" s="2" t="s">
        <v>38</v>
      </c>
      <c r="Z891" s="2" t="s">
        <v>39</v>
      </c>
      <c r="AA891" s="2" t="s">
        <v>38</v>
      </c>
      <c r="AB891" s="2" t="s">
        <v>39</v>
      </c>
      <c r="AC891" s="2" t="s">
        <v>39</v>
      </c>
      <c r="AD891" s="2" t="s">
        <v>38</v>
      </c>
      <c r="AE891" s="2" t="s">
        <v>39</v>
      </c>
    </row>
    <row r="892" spans="1:31" ht="409.5">
      <c r="A892" s="2">
        <v>2653163</v>
      </c>
      <c r="B892" s="2">
        <f>HYPERLINK("https://platform.v2.vetology.net/cases/2653163/screening-report/18?type=pdf&amp;v=v6&amp;scorecard=1&amp;secret_key=BX%25IJ%24%2F65ieZ%29f6", 2653163)</f>
        <v>2653163</v>
      </c>
      <c r="C892" s="2">
        <f>HYPERLINK("https://platform.v2.vetology.net/report/v/final/"&amp;2653163, 2653163)</f>
        <v>2653163</v>
      </c>
      <c r="D892" s="2" t="s">
        <v>2691</v>
      </c>
      <c r="E892" s="2" t="s">
        <v>2692</v>
      </c>
      <c r="F892" s="2" t="s">
        <v>2693</v>
      </c>
      <c r="G892" s="2" t="s">
        <v>93</v>
      </c>
      <c r="H892" s="2" t="s">
        <v>655</v>
      </c>
      <c r="I892" s="2" t="s">
        <v>124</v>
      </c>
      <c r="J892" s="2" t="s">
        <v>125</v>
      </c>
      <c r="K892" s="2" t="s">
        <v>38</v>
      </c>
      <c r="L892" s="2" t="s">
        <v>39</v>
      </c>
      <c r="M892" s="2" t="s">
        <v>39</v>
      </c>
      <c r="N892" s="2" t="s">
        <v>38</v>
      </c>
      <c r="O892" s="2" t="s">
        <v>38</v>
      </c>
      <c r="P892" s="2" t="s">
        <v>39</v>
      </c>
      <c r="Q892" s="2" t="s">
        <v>38</v>
      </c>
      <c r="R892" s="2" t="s">
        <v>38</v>
      </c>
      <c r="S892" s="2" t="s">
        <v>38</v>
      </c>
      <c r="T892" s="2" t="s">
        <v>38</v>
      </c>
      <c r="U892" s="2" t="s">
        <v>38</v>
      </c>
      <c r="V892" s="2" t="s">
        <v>38</v>
      </c>
      <c r="W892" s="2" t="s">
        <v>38</v>
      </c>
      <c r="X892" s="2" t="s">
        <v>38</v>
      </c>
      <c r="Y892" s="2" t="s">
        <v>38</v>
      </c>
      <c r="Z892" s="2" t="s">
        <v>38</v>
      </c>
      <c r="AA892" s="2" t="s">
        <v>38</v>
      </c>
      <c r="AB892" s="2" t="s">
        <v>39</v>
      </c>
      <c r="AC892" s="2" t="s">
        <v>39</v>
      </c>
      <c r="AD892" s="2" t="s">
        <v>38</v>
      </c>
      <c r="AE892" s="2" t="s">
        <v>38</v>
      </c>
    </row>
    <row r="893" spans="1:31" ht="409.5">
      <c r="A893" s="2">
        <v>2653140</v>
      </c>
      <c r="B893" s="2">
        <f>HYPERLINK("https://platform.v2.vetology.net/cases/2653140/screening-report/18?type=pdf&amp;v=v6&amp;scorecard=1&amp;secret_key=BX%25IJ%24%2F65ieZ%29f6", 2653140)</f>
        <v>2653140</v>
      </c>
      <c r="C893" s="2">
        <f>HYPERLINK("https://platform.v2.vetology.net/report/v/final/"&amp;2653140, 2653140)</f>
        <v>2653140</v>
      </c>
      <c r="D893" s="2" t="s">
        <v>2694</v>
      </c>
      <c r="E893" s="2" t="s">
        <v>2695</v>
      </c>
      <c r="F893" s="2" t="s">
        <v>2696</v>
      </c>
      <c r="G893" s="2" t="s">
        <v>63</v>
      </c>
      <c r="H893" s="2" t="s">
        <v>901</v>
      </c>
      <c r="I893" s="2" t="s">
        <v>689</v>
      </c>
      <c r="J893" s="2" t="s">
        <v>690</v>
      </c>
      <c r="K893" s="2" t="s">
        <v>38</v>
      </c>
      <c r="L893" s="2" t="s">
        <v>38</v>
      </c>
      <c r="M893" s="2" t="s">
        <v>38</v>
      </c>
      <c r="N893" s="2" t="s">
        <v>38</v>
      </c>
      <c r="O893" s="2" t="s">
        <v>38</v>
      </c>
      <c r="P893" s="2" t="s">
        <v>39</v>
      </c>
      <c r="Q893" s="2" t="s">
        <v>38</v>
      </c>
      <c r="R893" s="2" t="s">
        <v>38</v>
      </c>
      <c r="S893" s="2" t="s">
        <v>38</v>
      </c>
      <c r="T893" s="2" t="s">
        <v>38</v>
      </c>
      <c r="U893" s="2" t="s">
        <v>38</v>
      </c>
      <c r="V893" s="2" t="s">
        <v>38</v>
      </c>
      <c r="W893" s="2" t="s">
        <v>38</v>
      </c>
      <c r="X893" s="2" t="s">
        <v>38</v>
      </c>
      <c r="Y893" s="2" t="s">
        <v>38</v>
      </c>
      <c r="Z893" s="2" t="s">
        <v>38</v>
      </c>
      <c r="AA893" s="2" t="s">
        <v>38</v>
      </c>
      <c r="AB893" s="2" t="s">
        <v>38</v>
      </c>
      <c r="AC893" s="2" t="s">
        <v>38</v>
      </c>
      <c r="AD893" s="2" t="s">
        <v>38</v>
      </c>
      <c r="AE893" s="2" t="s">
        <v>38</v>
      </c>
    </row>
    <row r="894" spans="1:31" ht="409.5">
      <c r="A894" s="2">
        <v>2653130</v>
      </c>
      <c r="B894" s="2">
        <f>HYPERLINK("https://platform.v2.vetology.net/cases/2653130/screening-report/18?type=pdf&amp;v=v6&amp;scorecard=1&amp;secret_key=BX%25IJ%24%2F65ieZ%29f6", 2653130)</f>
        <v>2653130</v>
      </c>
      <c r="C894" s="2">
        <f>HYPERLINK("https://platform.v2.vetology.net/report/v/final/"&amp;2653130, 2653130)</f>
        <v>2653130</v>
      </c>
      <c r="D894" s="2" t="s">
        <v>2697</v>
      </c>
      <c r="E894" s="2" t="s">
        <v>2698</v>
      </c>
      <c r="F894" s="2" t="s">
        <v>2699</v>
      </c>
      <c r="G894" s="2" t="s">
        <v>150</v>
      </c>
      <c r="H894" s="2" t="s">
        <v>751</v>
      </c>
      <c r="I894" s="2" t="s">
        <v>227</v>
      </c>
      <c r="J894" s="2" t="s">
        <v>228</v>
      </c>
      <c r="K894" s="2" t="s">
        <v>38</v>
      </c>
      <c r="L894" s="2" t="s">
        <v>39</v>
      </c>
      <c r="M894" s="2" t="s">
        <v>38</v>
      </c>
      <c r="N894" s="2" t="s">
        <v>38</v>
      </c>
      <c r="O894" s="2" t="s">
        <v>38</v>
      </c>
      <c r="P894" s="2" t="s">
        <v>38</v>
      </c>
      <c r="Q894" s="2" t="s">
        <v>38</v>
      </c>
      <c r="R894" s="2" t="s">
        <v>38</v>
      </c>
      <c r="S894" s="2" t="s">
        <v>38</v>
      </c>
      <c r="T894" s="2" t="s">
        <v>38</v>
      </c>
      <c r="U894" s="2" t="s">
        <v>38</v>
      </c>
      <c r="V894" s="2" t="s">
        <v>38</v>
      </c>
      <c r="W894" s="2" t="s">
        <v>38</v>
      </c>
      <c r="X894" s="2" t="s">
        <v>38</v>
      </c>
      <c r="Y894" s="2" t="s">
        <v>38</v>
      </c>
      <c r="Z894" s="2" t="s">
        <v>38</v>
      </c>
      <c r="AA894" s="2" t="s">
        <v>38</v>
      </c>
      <c r="AB894" s="2" t="s">
        <v>39</v>
      </c>
      <c r="AC894" s="2" t="s">
        <v>38</v>
      </c>
      <c r="AD894" s="2" t="s">
        <v>38</v>
      </c>
      <c r="AE894" s="2" t="s">
        <v>38</v>
      </c>
    </row>
    <row r="895" spans="1:31" ht="409.5">
      <c r="A895" s="2">
        <v>2652731</v>
      </c>
      <c r="B895" s="2">
        <f>HYPERLINK("https://platform.v2.vetology.net/cases/2652731/screening-report/18?type=pdf&amp;v=v6&amp;scorecard=1&amp;secret_key=BX%25IJ%24%2F65ieZ%29f6", 2652731)</f>
        <v>2652731</v>
      </c>
      <c r="C895" s="2">
        <f>HYPERLINK("https://platform.v2.vetology.net/report/v/final/"&amp;2652731, 2652731)</f>
        <v>2652731</v>
      </c>
      <c r="D895" s="2" t="s">
        <v>2694</v>
      </c>
      <c r="E895" s="2" t="s">
        <v>2700</v>
      </c>
      <c r="F895" s="2" t="s">
        <v>2701</v>
      </c>
      <c r="G895" s="2" t="s">
        <v>63</v>
      </c>
      <c r="H895" s="2" t="s">
        <v>2702</v>
      </c>
      <c r="I895" s="2" t="s">
        <v>214</v>
      </c>
      <c r="J895" s="2" t="s">
        <v>50</v>
      </c>
      <c r="K895" s="2" t="s">
        <v>38</v>
      </c>
      <c r="L895" s="2" t="s">
        <v>38</v>
      </c>
      <c r="M895" s="2" t="s">
        <v>38</v>
      </c>
      <c r="N895" s="2" t="s">
        <v>38</v>
      </c>
      <c r="O895" s="2" t="s">
        <v>38</v>
      </c>
      <c r="P895" s="2" t="s">
        <v>38</v>
      </c>
      <c r="Q895" s="2" t="s">
        <v>38</v>
      </c>
      <c r="R895" s="2" t="s">
        <v>38</v>
      </c>
      <c r="S895" s="2" t="s">
        <v>38</v>
      </c>
      <c r="T895" s="2" t="s">
        <v>39</v>
      </c>
      <c r="U895" s="2" t="s">
        <v>38</v>
      </c>
      <c r="V895" s="2" t="s">
        <v>38</v>
      </c>
      <c r="W895" s="2" t="s">
        <v>38</v>
      </c>
      <c r="X895" s="2" t="s">
        <v>38</v>
      </c>
      <c r="Y895" s="2" t="s">
        <v>38</v>
      </c>
      <c r="Z895" s="2" t="s">
        <v>38</v>
      </c>
      <c r="AA895" s="2" t="s">
        <v>38</v>
      </c>
      <c r="AB895" s="2" t="s">
        <v>38</v>
      </c>
      <c r="AC895" s="2" t="s">
        <v>38</v>
      </c>
      <c r="AD895" s="2" t="s">
        <v>38</v>
      </c>
      <c r="AE895" s="2" t="s">
        <v>38</v>
      </c>
    </row>
    <row r="896" spans="1:31" ht="409.5">
      <c r="A896" s="2">
        <v>2652698</v>
      </c>
      <c r="B896" s="2">
        <f>HYPERLINK("https://platform.v2.vetology.net/cases/2652698/screening-report/18?type=pdf&amp;v=v6&amp;scorecard=1&amp;secret_key=BX%25IJ%24%2F65ieZ%29f6", 2652698)</f>
        <v>2652698</v>
      </c>
      <c r="C896" s="2">
        <f>HYPERLINK("https://platform.v2.vetology.net/report/v/final/"&amp;2652698, 2652698)</f>
        <v>2652698</v>
      </c>
      <c r="D896" s="2" t="s">
        <v>2703</v>
      </c>
      <c r="E896" s="2" t="s">
        <v>2704</v>
      </c>
      <c r="F896" s="2" t="s">
        <v>2705</v>
      </c>
      <c r="G896" s="2" t="s">
        <v>464</v>
      </c>
      <c r="H896" s="2" t="s">
        <v>105</v>
      </c>
      <c r="I896" s="2" t="s">
        <v>44</v>
      </c>
      <c r="J896" s="2"/>
      <c r="K896" s="2" t="s">
        <v>38</v>
      </c>
      <c r="L896" s="2" t="s">
        <v>38</v>
      </c>
      <c r="M896" s="2" t="s">
        <v>39</v>
      </c>
      <c r="N896" s="2" t="s">
        <v>38</v>
      </c>
      <c r="O896" s="2" t="s">
        <v>38</v>
      </c>
      <c r="P896" s="2" t="s">
        <v>38</v>
      </c>
      <c r="Q896" s="2" t="s">
        <v>38</v>
      </c>
      <c r="R896" s="2" t="s">
        <v>38</v>
      </c>
      <c r="S896" s="2" t="s">
        <v>38</v>
      </c>
      <c r="T896" s="2" t="s">
        <v>38</v>
      </c>
      <c r="U896" s="2" t="s">
        <v>38</v>
      </c>
      <c r="V896" s="2" t="s">
        <v>38</v>
      </c>
      <c r="W896" s="2" t="s">
        <v>38</v>
      </c>
      <c r="X896" s="2" t="s">
        <v>38</v>
      </c>
      <c r="Y896" s="2" t="s">
        <v>38</v>
      </c>
      <c r="Z896" s="2" t="s">
        <v>38</v>
      </c>
      <c r="AA896" s="2" t="s">
        <v>38</v>
      </c>
      <c r="AB896" s="2" t="s">
        <v>38</v>
      </c>
      <c r="AC896" s="2" t="s">
        <v>38</v>
      </c>
      <c r="AD896" s="2" t="s">
        <v>38</v>
      </c>
      <c r="AE896" s="2" t="s">
        <v>38</v>
      </c>
    </row>
    <row r="897" spans="1:31" ht="409.5">
      <c r="A897" s="2">
        <v>2652681</v>
      </c>
      <c r="B897" s="2">
        <f>HYPERLINK("https://platform.v2.vetology.net/cases/2652681/screening-report/18?type=pdf&amp;v=v6&amp;scorecard=1&amp;secret_key=BX%25IJ%24%2F65ieZ%29f6", 2652681)</f>
        <v>2652681</v>
      </c>
      <c r="C897" s="2">
        <f>HYPERLINK("https://platform.v2.vetology.net/report/v/final/"&amp;2652681, 2652681)</f>
        <v>2652681</v>
      </c>
      <c r="D897" s="2" t="s">
        <v>2706</v>
      </c>
      <c r="E897" s="2" t="s">
        <v>2707</v>
      </c>
      <c r="F897" s="2" t="s">
        <v>2708</v>
      </c>
      <c r="G897" s="2" t="s">
        <v>63</v>
      </c>
      <c r="H897" s="2" t="s">
        <v>822</v>
      </c>
      <c r="I897" s="2" t="s">
        <v>36</v>
      </c>
      <c r="J897" s="2" t="s">
        <v>37</v>
      </c>
      <c r="K897" s="2" t="s">
        <v>38</v>
      </c>
      <c r="L897" s="2" t="s">
        <v>38</v>
      </c>
      <c r="M897" s="2" t="s">
        <v>38</v>
      </c>
      <c r="N897" s="2" t="s">
        <v>38</v>
      </c>
      <c r="O897" s="2" t="s">
        <v>38</v>
      </c>
      <c r="P897" s="2" t="s">
        <v>38</v>
      </c>
      <c r="Q897" s="2" t="s">
        <v>38</v>
      </c>
      <c r="R897" s="2" t="s">
        <v>38</v>
      </c>
      <c r="S897" s="2" t="s">
        <v>38</v>
      </c>
      <c r="T897" s="2" t="s">
        <v>39</v>
      </c>
      <c r="U897" s="2" t="s">
        <v>38</v>
      </c>
      <c r="V897" s="2" t="s">
        <v>38</v>
      </c>
      <c r="W897" s="2" t="s">
        <v>38</v>
      </c>
      <c r="X897" s="2" t="s">
        <v>38</v>
      </c>
      <c r="Y897" s="2" t="s">
        <v>38</v>
      </c>
      <c r="Z897" s="2" t="s">
        <v>38</v>
      </c>
      <c r="AA897" s="2" t="s">
        <v>38</v>
      </c>
      <c r="AB897" s="2" t="s">
        <v>38</v>
      </c>
      <c r="AC897" s="2" t="s">
        <v>38</v>
      </c>
      <c r="AD897" s="2" t="s">
        <v>38</v>
      </c>
      <c r="AE897" s="2" t="s">
        <v>38</v>
      </c>
    </row>
    <row r="898" spans="1:31" ht="409.5">
      <c r="A898" s="2">
        <v>2652664</v>
      </c>
      <c r="B898" s="2">
        <f>HYPERLINK("https://platform.v2.vetology.net/cases/2652664/screening-report/18?type=pdf&amp;v=v6&amp;scorecard=1&amp;secret_key=BX%25IJ%24%2F65ieZ%29f6", 2652664)</f>
        <v>2652664</v>
      </c>
      <c r="C898" s="2">
        <f>HYPERLINK("https://platform.v2.vetology.net/report/v/final/"&amp;2652664, 2652664)</f>
        <v>2652664</v>
      </c>
      <c r="D898" s="2" t="s">
        <v>2709</v>
      </c>
      <c r="E898" s="2" t="s">
        <v>2710</v>
      </c>
      <c r="F898" s="2" t="s">
        <v>2711</v>
      </c>
      <c r="G898" s="2" t="s">
        <v>464</v>
      </c>
      <c r="H898" s="2" t="s">
        <v>71</v>
      </c>
      <c r="I898" s="2" t="s">
        <v>199</v>
      </c>
      <c r="J898" s="2"/>
      <c r="K898" s="2" t="s">
        <v>38</v>
      </c>
      <c r="L898" s="2" t="s">
        <v>38</v>
      </c>
      <c r="M898" s="2" t="s">
        <v>38</v>
      </c>
      <c r="N898" s="2" t="s">
        <v>38</v>
      </c>
      <c r="O898" s="2" t="s">
        <v>38</v>
      </c>
      <c r="P898" s="2" t="s">
        <v>38</v>
      </c>
      <c r="Q898" s="2" t="s">
        <v>38</v>
      </c>
      <c r="R898" s="2" t="s">
        <v>38</v>
      </c>
      <c r="S898" s="2" t="s">
        <v>38</v>
      </c>
      <c r="T898" s="2" t="s">
        <v>38</v>
      </c>
      <c r="U898" s="2" t="s">
        <v>38</v>
      </c>
      <c r="V898" s="2" t="s">
        <v>38</v>
      </c>
      <c r="W898" s="2" t="s">
        <v>38</v>
      </c>
      <c r="X898" s="2" t="s">
        <v>38</v>
      </c>
      <c r="Y898" s="2" t="s">
        <v>38</v>
      </c>
      <c r="Z898" s="2" t="s">
        <v>38</v>
      </c>
      <c r="AA898" s="2" t="s">
        <v>38</v>
      </c>
      <c r="AB898" s="2" t="s">
        <v>38</v>
      </c>
      <c r="AC898" s="2" t="s">
        <v>38</v>
      </c>
      <c r="AD898" s="2" t="s">
        <v>38</v>
      </c>
      <c r="AE898" s="2" t="s">
        <v>38</v>
      </c>
    </row>
    <row r="899" spans="1:31" ht="409.5">
      <c r="A899" s="2">
        <v>2652417</v>
      </c>
      <c r="B899" s="2">
        <f>HYPERLINK("https://platform.v2.vetology.net/cases/2652417/screening-report/18?type=pdf&amp;v=v6&amp;scorecard=1&amp;secret_key=BX%25IJ%24%2F65ieZ%29f6", 2652417)</f>
        <v>2652417</v>
      </c>
      <c r="C899" s="2">
        <f>HYPERLINK("https://platform.v2.vetology.net/report/v/final/"&amp;2652417, 2652417)</f>
        <v>2652417</v>
      </c>
      <c r="D899" s="2" t="s">
        <v>2712</v>
      </c>
      <c r="E899" s="2" t="s">
        <v>2713</v>
      </c>
      <c r="F899" s="2"/>
      <c r="G899" s="2" t="s">
        <v>141</v>
      </c>
      <c r="H899" s="2" t="s">
        <v>659</v>
      </c>
      <c r="I899" s="2" t="s">
        <v>245</v>
      </c>
      <c r="J899" s="2" t="s">
        <v>246</v>
      </c>
      <c r="K899" s="2" t="s">
        <v>38</v>
      </c>
      <c r="L899" s="2" t="s">
        <v>39</v>
      </c>
      <c r="M899" s="2" t="s">
        <v>38</v>
      </c>
      <c r="N899" s="2" t="s">
        <v>38</v>
      </c>
      <c r="O899" s="2" t="s">
        <v>39</v>
      </c>
      <c r="P899" s="2" t="s">
        <v>38</v>
      </c>
      <c r="Q899" s="2" t="s">
        <v>38</v>
      </c>
      <c r="R899" s="2" t="s">
        <v>38</v>
      </c>
      <c r="S899" s="2" t="s">
        <v>38</v>
      </c>
      <c r="T899" s="2" t="s">
        <v>39</v>
      </c>
      <c r="U899" s="2" t="s">
        <v>39</v>
      </c>
      <c r="V899" s="2" t="s">
        <v>39</v>
      </c>
      <c r="W899" s="2" t="s">
        <v>38</v>
      </c>
      <c r="X899" s="2" t="s">
        <v>39</v>
      </c>
      <c r="Y899" s="2" t="s">
        <v>38</v>
      </c>
      <c r="Z899" s="2" t="s">
        <v>38</v>
      </c>
      <c r="AA899" s="2" t="s">
        <v>38</v>
      </c>
      <c r="AB899" s="2" t="s">
        <v>38</v>
      </c>
      <c r="AC899" s="2" t="s">
        <v>38</v>
      </c>
      <c r="AD899" s="2" t="s">
        <v>38</v>
      </c>
      <c r="AE899" s="2" t="s">
        <v>38</v>
      </c>
    </row>
    <row r="900" spans="1:31" ht="409.5">
      <c r="A900" s="2">
        <v>2652346</v>
      </c>
      <c r="B900" s="2">
        <f>HYPERLINK("https://platform.v2.vetology.net/cases/2652346/screening-report/18?type=pdf&amp;v=v6&amp;scorecard=1&amp;secret_key=BX%25IJ%24%2F65ieZ%29f6", 2652346)</f>
        <v>2652346</v>
      </c>
      <c r="C900" s="2">
        <f>HYPERLINK("https://platform.v2.vetology.net/report/v/final/"&amp;2652346, 2652346)</f>
        <v>2652346</v>
      </c>
      <c r="D900" s="2" t="s">
        <v>2714</v>
      </c>
      <c r="E900" s="2" t="s">
        <v>2715</v>
      </c>
      <c r="F900" s="2" t="s">
        <v>2716</v>
      </c>
      <c r="G900" s="2" t="s">
        <v>464</v>
      </c>
      <c r="H900" s="2" t="s">
        <v>339</v>
      </c>
      <c r="I900" s="2" t="s">
        <v>124</v>
      </c>
      <c r="J900" s="2" t="s">
        <v>125</v>
      </c>
      <c r="K900" s="2" t="s">
        <v>38</v>
      </c>
      <c r="L900" s="2" t="s">
        <v>39</v>
      </c>
      <c r="M900" s="2" t="s">
        <v>39</v>
      </c>
      <c r="N900" s="2" t="s">
        <v>38</v>
      </c>
      <c r="O900" s="2" t="s">
        <v>38</v>
      </c>
      <c r="P900" s="2" t="s">
        <v>38</v>
      </c>
      <c r="Q900" s="2" t="s">
        <v>38</v>
      </c>
      <c r="R900" s="2" t="s">
        <v>38</v>
      </c>
      <c r="S900" s="2" t="s">
        <v>39</v>
      </c>
      <c r="T900" s="2" t="s">
        <v>39</v>
      </c>
      <c r="U900" s="2" t="s">
        <v>38</v>
      </c>
      <c r="V900" s="2" t="s">
        <v>38</v>
      </c>
      <c r="W900" s="2" t="s">
        <v>38</v>
      </c>
      <c r="X900" s="2" t="s">
        <v>39</v>
      </c>
      <c r="Y900" s="2" t="s">
        <v>38</v>
      </c>
      <c r="Z900" s="2" t="s">
        <v>39</v>
      </c>
      <c r="AA900" s="2" t="s">
        <v>38</v>
      </c>
      <c r="AB900" s="2" t="s">
        <v>39</v>
      </c>
      <c r="AC900" s="2" t="s">
        <v>38</v>
      </c>
      <c r="AD900" s="2" t="s">
        <v>38</v>
      </c>
      <c r="AE900" s="2" t="s">
        <v>38</v>
      </c>
    </row>
    <row r="901" spans="1:31" ht="409.5">
      <c r="A901" s="2">
        <v>2652186</v>
      </c>
      <c r="B901" s="2">
        <f>HYPERLINK("https://platform.v2.vetology.net/cases/2652186/screening-report/18?type=pdf&amp;v=v6&amp;scorecard=1&amp;secret_key=BX%25IJ%24%2F65ieZ%29f6", 2652186)</f>
        <v>2652186</v>
      </c>
      <c r="C901" s="2">
        <f>HYPERLINK("https://platform.v2.vetology.net/report/v/final/"&amp;2652186, 2652186)</f>
        <v>2652186</v>
      </c>
      <c r="D901" s="2" t="s">
        <v>2717</v>
      </c>
      <c r="E901" s="2" t="s">
        <v>2718</v>
      </c>
      <c r="F901" s="2" t="s">
        <v>81</v>
      </c>
      <c r="G901" s="2" t="s">
        <v>82</v>
      </c>
      <c r="H901" s="2" t="s">
        <v>78</v>
      </c>
      <c r="I901" s="2" t="s">
        <v>44</v>
      </c>
      <c r="J901" s="2" t="s">
        <v>106</v>
      </c>
      <c r="K901" s="2" t="s">
        <v>38</v>
      </c>
      <c r="L901" s="2" t="s">
        <v>38</v>
      </c>
      <c r="M901" s="2" t="s">
        <v>38</v>
      </c>
      <c r="N901" s="2" t="s">
        <v>38</v>
      </c>
      <c r="O901" s="2" t="s">
        <v>38</v>
      </c>
      <c r="P901" s="2" t="s">
        <v>38</v>
      </c>
      <c r="Q901" s="2" t="s">
        <v>38</v>
      </c>
      <c r="R901" s="2" t="s">
        <v>38</v>
      </c>
      <c r="S901" s="2" t="s">
        <v>38</v>
      </c>
      <c r="T901" s="2" t="s">
        <v>38</v>
      </c>
      <c r="U901" s="2" t="s">
        <v>38</v>
      </c>
      <c r="V901" s="2" t="s">
        <v>38</v>
      </c>
      <c r="W901" s="2" t="s">
        <v>38</v>
      </c>
      <c r="X901" s="2" t="s">
        <v>38</v>
      </c>
      <c r="Y901" s="2" t="s">
        <v>38</v>
      </c>
      <c r="Z901" s="2" t="s">
        <v>38</v>
      </c>
      <c r="AA901" s="2" t="s">
        <v>38</v>
      </c>
      <c r="AB901" s="2" t="s">
        <v>38</v>
      </c>
      <c r="AC901" s="2" t="s">
        <v>38</v>
      </c>
      <c r="AD901" s="2" t="s">
        <v>38</v>
      </c>
      <c r="AE901" s="2" t="s">
        <v>38</v>
      </c>
    </row>
    <row r="902" spans="1:31" ht="409.5">
      <c r="A902" s="2">
        <v>2652090</v>
      </c>
      <c r="B902" s="2">
        <f>HYPERLINK("https://platform.v2.vetology.net/cases/2652090/screening-report/18?type=pdf&amp;v=v6&amp;scorecard=1&amp;secret_key=BX%25IJ%24%2F65ieZ%29f6", 2652090)</f>
        <v>2652090</v>
      </c>
      <c r="C902" s="2">
        <f>HYPERLINK("https://platform.v2.vetology.net/report/v/final/"&amp;2652090, 2652090)</f>
        <v>2652090</v>
      </c>
      <c r="D902" s="2" t="s">
        <v>2719</v>
      </c>
      <c r="E902" s="2" t="s">
        <v>2720</v>
      </c>
      <c r="F902" s="2" t="s">
        <v>2721</v>
      </c>
      <c r="G902" s="2" t="s">
        <v>63</v>
      </c>
      <c r="H902" s="2" t="s">
        <v>456</v>
      </c>
      <c r="I902" s="2" t="s">
        <v>284</v>
      </c>
      <c r="J902" s="2" t="s">
        <v>285</v>
      </c>
      <c r="K902" s="2" t="s">
        <v>38</v>
      </c>
      <c r="L902" s="2" t="s">
        <v>38</v>
      </c>
      <c r="M902" s="2" t="s">
        <v>38</v>
      </c>
      <c r="N902" s="2" t="s">
        <v>38</v>
      </c>
      <c r="O902" s="2" t="s">
        <v>38</v>
      </c>
      <c r="P902" s="2" t="s">
        <v>38</v>
      </c>
      <c r="Q902" s="2" t="s">
        <v>38</v>
      </c>
      <c r="R902" s="2" t="s">
        <v>38</v>
      </c>
      <c r="S902" s="2" t="s">
        <v>38</v>
      </c>
      <c r="T902" s="2" t="s">
        <v>39</v>
      </c>
      <c r="U902" s="2" t="s">
        <v>38</v>
      </c>
      <c r="V902" s="2" t="s">
        <v>38</v>
      </c>
      <c r="W902" s="2" t="s">
        <v>38</v>
      </c>
      <c r="X902" s="2" t="s">
        <v>39</v>
      </c>
      <c r="Y902" s="2" t="s">
        <v>38</v>
      </c>
      <c r="Z902" s="2" t="s">
        <v>38</v>
      </c>
      <c r="AA902" s="2" t="s">
        <v>38</v>
      </c>
      <c r="AB902" s="2" t="s">
        <v>38</v>
      </c>
      <c r="AC902" s="2" t="s">
        <v>38</v>
      </c>
      <c r="AD902" s="2" t="s">
        <v>38</v>
      </c>
      <c r="AE902" s="2" t="s">
        <v>38</v>
      </c>
    </row>
    <row r="903" spans="1:31" ht="409.5">
      <c r="A903" s="2">
        <v>2652052</v>
      </c>
      <c r="B903" s="2">
        <f>HYPERLINK("https://platform.v2.vetology.net/cases/2652052/screening-report/18?type=pdf&amp;v=v6&amp;scorecard=1&amp;secret_key=BX%25IJ%24%2F65ieZ%29f6", 2652052)</f>
        <v>2652052</v>
      </c>
      <c r="C903" s="2">
        <f>HYPERLINK("https://platform.v2.vetology.net/report/v/final/"&amp;2652052, 2652052)</f>
        <v>2652052</v>
      </c>
      <c r="D903" s="2" t="s">
        <v>2722</v>
      </c>
      <c r="E903" s="2" t="s">
        <v>2723</v>
      </c>
      <c r="F903" s="2" t="s">
        <v>81</v>
      </c>
      <c r="G903" s="2" t="s">
        <v>82</v>
      </c>
      <c r="H903" s="2" t="s">
        <v>71</v>
      </c>
      <c r="I903" s="2" t="s">
        <v>44</v>
      </c>
      <c r="J903" s="2" t="s">
        <v>106</v>
      </c>
      <c r="K903" s="2" t="s">
        <v>38</v>
      </c>
      <c r="L903" s="2" t="s">
        <v>39</v>
      </c>
      <c r="M903" s="2" t="s">
        <v>38</v>
      </c>
      <c r="N903" s="2" t="s">
        <v>38</v>
      </c>
      <c r="O903" s="2" t="s">
        <v>38</v>
      </c>
      <c r="P903" s="2" t="s">
        <v>38</v>
      </c>
      <c r="Q903" s="2" t="s">
        <v>38</v>
      </c>
      <c r="R903" s="2" t="s">
        <v>38</v>
      </c>
      <c r="S903" s="2" t="s">
        <v>38</v>
      </c>
      <c r="T903" s="2" t="s">
        <v>38</v>
      </c>
      <c r="U903" s="2" t="s">
        <v>38</v>
      </c>
      <c r="V903" s="2" t="s">
        <v>38</v>
      </c>
      <c r="W903" s="2" t="s">
        <v>38</v>
      </c>
      <c r="X903" s="2" t="s">
        <v>38</v>
      </c>
      <c r="Y903" s="2" t="s">
        <v>38</v>
      </c>
      <c r="Z903" s="2" t="s">
        <v>38</v>
      </c>
      <c r="AA903" s="2" t="s">
        <v>38</v>
      </c>
      <c r="AB903" s="2" t="s">
        <v>38</v>
      </c>
      <c r="AC903" s="2" t="s">
        <v>38</v>
      </c>
      <c r="AD903" s="2" t="s">
        <v>38</v>
      </c>
      <c r="AE903" s="2" t="s">
        <v>38</v>
      </c>
    </row>
    <row r="904" spans="1:31" ht="409.5">
      <c r="A904" s="2">
        <v>2651702</v>
      </c>
      <c r="B904" s="2">
        <f>HYPERLINK("https://platform.v2.vetology.net/cases/2651702/screening-report/18?type=pdf&amp;v=v6&amp;scorecard=1&amp;secret_key=BX%25IJ%24%2F65ieZ%29f6", 2651702)</f>
        <v>2651702</v>
      </c>
      <c r="C904" s="2">
        <f>HYPERLINK("https://platform.v2.vetology.net/report/v/final/"&amp;2651702, 2651702)</f>
        <v>2651702</v>
      </c>
      <c r="D904" s="2" t="s">
        <v>2724</v>
      </c>
      <c r="E904" s="2" t="s">
        <v>2725</v>
      </c>
      <c r="F904" s="2" t="s">
        <v>2726</v>
      </c>
      <c r="G904" s="2" t="s">
        <v>212</v>
      </c>
      <c r="H904" s="2" t="s">
        <v>539</v>
      </c>
      <c r="I904" s="2" t="s">
        <v>207</v>
      </c>
      <c r="J904" s="2" t="s">
        <v>208</v>
      </c>
      <c r="K904" s="2" t="s">
        <v>38</v>
      </c>
      <c r="L904" s="2" t="s">
        <v>39</v>
      </c>
      <c r="M904" s="2" t="s">
        <v>38</v>
      </c>
      <c r="N904" s="2" t="s">
        <v>38</v>
      </c>
      <c r="O904" s="2" t="s">
        <v>38</v>
      </c>
      <c r="P904" s="2" t="s">
        <v>38</v>
      </c>
      <c r="Q904" s="2" t="s">
        <v>38</v>
      </c>
      <c r="R904" s="2" t="s">
        <v>38</v>
      </c>
      <c r="S904" s="2" t="s">
        <v>38</v>
      </c>
      <c r="T904" s="2" t="s">
        <v>38</v>
      </c>
      <c r="U904" s="2" t="s">
        <v>38</v>
      </c>
      <c r="V904" s="2" t="s">
        <v>38</v>
      </c>
      <c r="W904" s="2" t="s">
        <v>38</v>
      </c>
      <c r="X904" s="2" t="s">
        <v>38</v>
      </c>
      <c r="Y904" s="2" t="s">
        <v>38</v>
      </c>
      <c r="Z904" s="2" t="s">
        <v>38</v>
      </c>
      <c r="AA904" s="2" t="s">
        <v>38</v>
      </c>
      <c r="AB904" s="2" t="s">
        <v>38</v>
      </c>
      <c r="AC904" s="2" t="s">
        <v>38</v>
      </c>
      <c r="AD904" s="2" t="s">
        <v>38</v>
      </c>
      <c r="AE904" s="2" t="s">
        <v>38</v>
      </c>
    </row>
    <row r="905" spans="1:31" ht="409.5">
      <c r="A905" s="2">
        <v>2651689</v>
      </c>
      <c r="B905" s="2">
        <f>HYPERLINK("https://platform.v2.vetology.net/cases/2651689/screening-report/18?type=pdf&amp;v=v6&amp;scorecard=1&amp;secret_key=BX%25IJ%24%2F65ieZ%29f6", 2651689)</f>
        <v>2651689</v>
      </c>
      <c r="C905" s="2">
        <f>HYPERLINK("https://platform.v2.vetology.net/report/v/final/"&amp;2651689, 2651689)</f>
        <v>2651689</v>
      </c>
      <c r="D905" s="2" t="s">
        <v>2727</v>
      </c>
      <c r="E905" s="2" t="s">
        <v>2728</v>
      </c>
      <c r="F905" s="2" t="s">
        <v>2729</v>
      </c>
      <c r="G905" s="2" t="s">
        <v>58</v>
      </c>
      <c r="H905" s="2" t="s">
        <v>2730</v>
      </c>
      <c r="I905" s="2" t="s">
        <v>245</v>
      </c>
      <c r="J905" s="2" t="s">
        <v>246</v>
      </c>
      <c r="K905" s="2" t="s">
        <v>38</v>
      </c>
      <c r="L905" s="2" t="s">
        <v>38</v>
      </c>
      <c r="M905" s="2" t="s">
        <v>38</v>
      </c>
      <c r="N905" s="2" t="s">
        <v>38</v>
      </c>
      <c r="O905" s="2" t="s">
        <v>38</v>
      </c>
      <c r="P905" s="2" t="s">
        <v>38</v>
      </c>
      <c r="Q905" s="2" t="s">
        <v>38</v>
      </c>
      <c r="R905" s="2" t="s">
        <v>38</v>
      </c>
      <c r="S905" s="2" t="s">
        <v>38</v>
      </c>
      <c r="T905" s="2" t="s">
        <v>39</v>
      </c>
      <c r="U905" s="2" t="s">
        <v>38</v>
      </c>
      <c r="V905" s="2" t="s">
        <v>39</v>
      </c>
      <c r="W905" s="2" t="s">
        <v>38</v>
      </c>
      <c r="X905" s="2" t="s">
        <v>39</v>
      </c>
      <c r="Y905" s="2" t="s">
        <v>38</v>
      </c>
      <c r="Z905" s="2" t="s">
        <v>38</v>
      </c>
      <c r="AA905" s="2" t="s">
        <v>38</v>
      </c>
      <c r="AB905" s="2" t="s">
        <v>38</v>
      </c>
      <c r="AC905" s="2" t="s">
        <v>38</v>
      </c>
      <c r="AD905" s="2" t="s">
        <v>38</v>
      </c>
      <c r="AE905" s="2" t="s">
        <v>38</v>
      </c>
    </row>
    <row r="906" spans="1:31" ht="409.5">
      <c r="A906" s="2">
        <v>2651628</v>
      </c>
      <c r="B906" s="2">
        <f>HYPERLINK("https://platform.v2.vetology.net/cases/2651628/screening-report/18?type=pdf&amp;v=v6&amp;scorecard=1&amp;secret_key=BX%25IJ%24%2F65ieZ%29f6", 2651628)</f>
        <v>2651628</v>
      </c>
      <c r="C906" s="2">
        <f>HYPERLINK("https://platform.v2.vetology.net/report/v/final/"&amp;2651628, 2651628)</f>
        <v>2651628</v>
      </c>
      <c r="D906" s="2" t="s">
        <v>2731</v>
      </c>
      <c r="E906" s="2" t="s">
        <v>2732</v>
      </c>
      <c r="F906" s="2" t="s">
        <v>2733</v>
      </c>
      <c r="G906" s="2" t="s">
        <v>58</v>
      </c>
      <c r="H906" s="2" t="s">
        <v>78</v>
      </c>
      <c r="I906" s="2" t="s">
        <v>44</v>
      </c>
      <c r="J906" s="2" t="s">
        <v>106</v>
      </c>
      <c r="K906" s="2" t="s">
        <v>38</v>
      </c>
      <c r="L906" s="2" t="s">
        <v>39</v>
      </c>
      <c r="M906" s="2" t="s">
        <v>38</v>
      </c>
      <c r="N906" s="2" t="s">
        <v>38</v>
      </c>
      <c r="O906" s="2" t="s">
        <v>38</v>
      </c>
      <c r="P906" s="2" t="s">
        <v>39</v>
      </c>
      <c r="Q906" s="2" t="s">
        <v>39</v>
      </c>
      <c r="R906" s="2" t="s">
        <v>38</v>
      </c>
      <c r="S906" s="2" t="s">
        <v>38</v>
      </c>
      <c r="T906" s="2" t="s">
        <v>38</v>
      </c>
      <c r="U906" s="2" t="s">
        <v>38</v>
      </c>
      <c r="V906" s="2" t="s">
        <v>38</v>
      </c>
      <c r="W906" s="2" t="s">
        <v>38</v>
      </c>
      <c r="X906" s="2" t="s">
        <v>38</v>
      </c>
      <c r="Y906" s="2" t="s">
        <v>38</v>
      </c>
      <c r="Z906" s="2" t="s">
        <v>38</v>
      </c>
      <c r="AA906" s="2" t="s">
        <v>38</v>
      </c>
      <c r="AB906" s="2" t="s">
        <v>38</v>
      </c>
      <c r="AC906" s="2" t="s">
        <v>38</v>
      </c>
      <c r="AD906" s="2" t="s">
        <v>38</v>
      </c>
      <c r="AE906" s="2" t="s">
        <v>38</v>
      </c>
    </row>
    <row r="907" spans="1:31" ht="409.5">
      <c r="A907" s="2">
        <v>2651513</v>
      </c>
      <c r="B907" s="2">
        <f>HYPERLINK("https://platform.v2.vetology.net/cases/2651513/screening-report/18?type=pdf&amp;v=v6&amp;scorecard=1&amp;secret_key=BX%25IJ%24%2F65ieZ%29f6", 2651513)</f>
        <v>2651513</v>
      </c>
      <c r="C907" s="2">
        <f>HYPERLINK("https://platform.v2.vetology.net/report/v/final/"&amp;2651513, 2651513)</f>
        <v>2651513</v>
      </c>
      <c r="D907" s="2" t="s">
        <v>2734</v>
      </c>
      <c r="E907" s="2" t="s">
        <v>2735</v>
      </c>
      <c r="F907" s="2" t="s">
        <v>2736</v>
      </c>
      <c r="G907" s="2" t="s">
        <v>58</v>
      </c>
      <c r="H907" s="2" t="s">
        <v>71</v>
      </c>
      <c r="I907" s="2" t="s">
        <v>44</v>
      </c>
      <c r="J907" s="2"/>
      <c r="K907" s="2" t="s">
        <v>38</v>
      </c>
      <c r="L907" s="2" t="s">
        <v>39</v>
      </c>
      <c r="M907" s="2" t="s">
        <v>39</v>
      </c>
      <c r="N907" s="2" t="s">
        <v>38</v>
      </c>
      <c r="O907" s="2" t="s">
        <v>38</v>
      </c>
      <c r="P907" s="2" t="s">
        <v>39</v>
      </c>
      <c r="Q907" s="2" t="s">
        <v>39</v>
      </c>
      <c r="R907" s="2" t="s">
        <v>38</v>
      </c>
      <c r="S907" s="2" t="s">
        <v>38</v>
      </c>
      <c r="T907" s="2" t="s">
        <v>39</v>
      </c>
      <c r="U907" s="2" t="s">
        <v>38</v>
      </c>
      <c r="V907" s="2" t="s">
        <v>38</v>
      </c>
      <c r="W907" s="2" t="s">
        <v>38</v>
      </c>
      <c r="X907" s="2" t="s">
        <v>39</v>
      </c>
      <c r="Y907" s="2" t="s">
        <v>38</v>
      </c>
      <c r="Z907" s="2" t="s">
        <v>38</v>
      </c>
      <c r="AA907" s="2" t="s">
        <v>38</v>
      </c>
      <c r="AB907" s="2" t="s">
        <v>38</v>
      </c>
      <c r="AC907" s="2" t="s">
        <v>38</v>
      </c>
      <c r="AD907" s="2" t="s">
        <v>38</v>
      </c>
      <c r="AE907" s="2" t="s">
        <v>38</v>
      </c>
    </row>
    <row r="908" spans="1:31" ht="409.5">
      <c r="A908" s="2">
        <v>2650847</v>
      </c>
      <c r="B908" s="2">
        <f>HYPERLINK("https://platform.v2.vetology.net/cases/2650847/screening-report/18?type=pdf&amp;v=v6&amp;scorecard=1&amp;secret_key=BX%25IJ%24%2F65ieZ%29f6", 2650847)</f>
        <v>2650847</v>
      </c>
      <c r="C908" s="2">
        <f>HYPERLINK("https://platform.v2.vetology.net/report/v/final/"&amp;2650847, 2650847)</f>
        <v>2650847</v>
      </c>
      <c r="D908" s="2" t="s">
        <v>2737</v>
      </c>
      <c r="E908" s="2" t="s">
        <v>2738</v>
      </c>
      <c r="F908" s="2" t="s">
        <v>2739</v>
      </c>
      <c r="G908" s="2" t="s">
        <v>150</v>
      </c>
      <c r="H908" s="2" t="s">
        <v>78</v>
      </c>
      <c r="I908" s="2" t="s">
        <v>44</v>
      </c>
      <c r="J908" s="2" t="s">
        <v>106</v>
      </c>
      <c r="K908" s="2" t="s">
        <v>38</v>
      </c>
      <c r="L908" s="2" t="s">
        <v>38</v>
      </c>
      <c r="M908" s="2" t="s">
        <v>38</v>
      </c>
      <c r="N908" s="2" t="s">
        <v>38</v>
      </c>
      <c r="O908" s="2" t="s">
        <v>38</v>
      </c>
      <c r="P908" s="2" t="s">
        <v>38</v>
      </c>
      <c r="Q908" s="2" t="s">
        <v>38</v>
      </c>
      <c r="R908" s="2" t="s">
        <v>38</v>
      </c>
      <c r="S908" s="2" t="s">
        <v>38</v>
      </c>
      <c r="T908" s="2" t="s">
        <v>38</v>
      </c>
      <c r="U908" s="2" t="s">
        <v>38</v>
      </c>
      <c r="V908" s="2" t="s">
        <v>38</v>
      </c>
      <c r="W908" s="2" t="s">
        <v>38</v>
      </c>
      <c r="X908" s="2" t="s">
        <v>38</v>
      </c>
      <c r="Y908" s="2" t="s">
        <v>38</v>
      </c>
      <c r="Z908" s="2" t="s">
        <v>38</v>
      </c>
      <c r="AA908" s="2" t="s">
        <v>38</v>
      </c>
      <c r="AB908" s="2" t="s">
        <v>39</v>
      </c>
      <c r="AC908" s="2" t="s">
        <v>38</v>
      </c>
      <c r="AD908" s="2" t="s">
        <v>38</v>
      </c>
      <c r="AE908" s="2" t="s">
        <v>38</v>
      </c>
    </row>
    <row r="909" spans="1:31" ht="409.5">
      <c r="A909" s="2">
        <v>2650757</v>
      </c>
      <c r="B909" s="2">
        <f>HYPERLINK("https://platform.v2.vetology.net/cases/2650757/screening-report/18?type=pdf&amp;v=v6&amp;scorecard=1&amp;secret_key=BX%25IJ%24%2F65ieZ%29f6", 2650757)</f>
        <v>2650757</v>
      </c>
      <c r="C909" s="2">
        <f>HYPERLINK("https://platform.v2.vetology.net/report/v/final/"&amp;2650757, 2650757)</f>
        <v>2650757</v>
      </c>
      <c r="D909" s="2" t="s">
        <v>2740</v>
      </c>
      <c r="E909" s="2" t="s">
        <v>2741</v>
      </c>
      <c r="F909" s="2" t="s">
        <v>81</v>
      </c>
      <c r="G909" s="2" t="s">
        <v>82</v>
      </c>
      <c r="H909" s="2" t="s">
        <v>2742</v>
      </c>
      <c r="I909" s="2" t="s">
        <v>89</v>
      </c>
      <c r="J909" s="2" t="s">
        <v>66</v>
      </c>
      <c r="K909" s="2" t="s">
        <v>38</v>
      </c>
      <c r="L909" s="2" t="s">
        <v>39</v>
      </c>
      <c r="M909" s="2" t="s">
        <v>39</v>
      </c>
      <c r="N909" s="2" t="s">
        <v>38</v>
      </c>
      <c r="O909" s="2" t="s">
        <v>38</v>
      </c>
      <c r="P909" s="2" t="s">
        <v>38</v>
      </c>
      <c r="Q909" s="2" t="s">
        <v>38</v>
      </c>
      <c r="R909" s="2" t="s">
        <v>38</v>
      </c>
      <c r="S909" s="2" t="s">
        <v>38</v>
      </c>
      <c r="T909" s="2" t="s">
        <v>38</v>
      </c>
      <c r="U909" s="2" t="s">
        <v>38</v>
      </c>
      <c r="V909" s="2" t="s">
        <v>38</v>
      </c>
      <c r="W909" s="2" t="s">
        <v>38</v>
      </c>
      <c r="X909" s="2" t="s">
        <v>38</v>
      </c>
      <c r="Y909" s="2" t="s">
        <v>38</v>
      </c>
      <c r="Z909" s="2" t="s">
        <v>38</v>
      </c>
      <c r="AA909" s="2" t="s">
        <v>38</v>
      </c>
      <c r="AB909" s="2" t="s">
        <v>38</v>
      </c>
      <c r="AC909" s="2" t="s">
        <v>38</v>
      </c>
      <c r="AD909" s="2" t="s">
        <v>38</v>
      </c>
      <c r="AE909" s="2" t="s">
        <v>39</v>
      </c>
    </row>
    <row r="910" spans="1:31" ht="409.5">
      <c r="A910" s="2">
        <v>2650456</v>
      </c>
      <c r="B910" s="2">
        <f>HYPERLINK("https://platform.v2.vetology.net/cases/2650456/screening-report/18?type=pdf&amp;v=v6&amp;scorecard=1&amp;secret_key=BX%25IJ%24%2F65ieZ%29f6", 2650456)</f>
        <v>2650456</v>
      </c>
      <c r="C910" s="2">
        <f>HYPERLINK("https://platform.v2.vetology.net/report/v/final/"&amp;2650456, 2650456)</f>
        <v>2650456</v>
      </c>
      <c r="D910" s="2" t="s">
        <v>2743</v>
      </c>
      <c r="E910" s="2" t="s">
        <v>2744</v>
      </c>
      <c r="F910" s="2"/>
      <c r="G910" s="2" t="s">
        <v>141</v>
      </c>
      <c r="H910" s="2" t="s">
        <v>2745</v>
      </c>
      <c r="I910" s="2" t="s">
        <v>145</v>
      </c>
      <c r="J910" s="2" t="s">
        <v>146</v>
      </c>
      <c r="K910" s="2" t="s">
        <v>38</v>
      </c>
      <c r="L910" s="2" t="s">
        <v>39</v>
      </c>
      <c r="M910" s="2" t="s">
        <v>38</v>
      </c>
      <c r="N910" s="2" t="s">
        <v>38</v>
      </c>
      <c r="O910" s="2" t="s">
        <v>38</v>
      </c>
      <c r="P910" s="2" t="s">
        <v>38</v>
      </c>
      <c r="Q910" s="2" t="s">
        <v>38</v>
      </c>
      <c r="R910" s="2" t="s">
        <v>38</v>
      </c>
      <c r="S910" s="2" t="s">
        <v>39</v>
      </c>
      <c r="T910" s="2" t="s">
        <v>39</v>
      </c>
      <c r="U910" s="2" t="s">
        <v>38</v>
      </c>
      <c r="V910" s="2" t="s">
        <v>39</v>
      </c>
      <c r="W910" s="2" t="s">
        <v>38</v>
      </c>
      <c r="X910" s="2" t="s">
        <v>39</v>
      </c>
      <c r="Y910" s="2" t="s">
        <v>38</v>
      </c>
      <c r="Z910" s="2" t="s">
        <v>38</v>
      </c>
      <c r="AA910" s="2" t="s">
        <v>38</v>
      </c>
      <c r="AB910" s="2" t="s">
        <v>38</v>
      </c>
      <c r="AC910" s="2" t="s">
        <v>38</v>
      </c>
      <c r="AD910" s="2" t="s">
        <v>38</v>
      </c>
      <c r="AE910" s="2" t="s">
        <v>38</v>
      </c>
    </row>
    <row r="911" spans="1:31" ht="409.5">
      <c r="A911" s="2">
        <v>2650423</v>
      </c>
      <c r="B911" s="2">
        <f>HYPERLINK("https://platform.v2.vetology.net/cases/2650423/screening-report/18?type=pdf&amp;v=v6&amp;scorecard=1&amp;secret_key=BX%25IJ%24%2F65ieZ%29f6", 2650423)</f>
        <v>2650423</v>
      </c>
      <c r="C911" s="2">
        <f>HYPERLINK("https://platform.v2.vetology.net/report/v/final/"&amp;2650423, 2650423)</f>
        <v>2650423</v>
      </c>
      <c r="D911" s="2" t="s">
        <v>2746</v>
      </c>
      <c r="E911" s="2" t="s">
        <v>2747</v>
      </c>
      <c r="F911" s="2" t="s">
        <v>2748</v>
      </c>
      <c r="G911" s="2" t="s">
        <v>464</v>
      </c>
      <c r="H911" s="2" t="s">
        <v>2749</v>
      </c>
      <c r="I911" s="2" t="s">
        <v>145</v>
      </c>
      <c r="J911" s="2" t="s">
        <v>146</v>
      </c>
      <c r="K911" s="2" t="s">
        <v>38</v>
      </c>
      <c r="L911" s="2" t="s">
        <v>38</v>
      </c>
      <c r="M911" s="2" t="s">
        <v>39</v>
      </c>
      <c r="N911" s="2" t="s">
        <v>38</v>
      </c>
      <c r="O911" s="2" t="s">
        <v>38</v>
      </c>
      <c r="P911" s="2" t="s">
        <v>39</v>
      </c>
      <c r="Q911" s="2" t="s">
        <v>38</v>
      </c>
      <c r="R911" s="2" t="s">
        <v>38</v>
      </c>
      <c r="S911" s="2" t="s">
        <v>38</v>
      </c>
      <c r="T911" s="2" t="s">
        <v>39</v>
      </c>
      <c r="U911" s="2" t="s">
        <v>38</v>
      </c>
      <c r="V911" s="2" t="s">
        <v>38</v>
      </c>
      <c r="W911" s="2" t="s">
        <v>38</v>
      </c>
      <c r="X911" s="2" t="s">
        <v>39</v>
      </c>
      <c r="Y911" s="2" t="s">
        <v>38</v>
      </c>
      <c r="Z911" s="2" t="s">
        <v>38</v>
      </c>
      <c r="AA911" s="2" t="s">
        <v>38</v>
      </c>
      <c r="AB911" s="2" t="s">
        <v>38</v>
      </c>
      <c r="AC911" s="2" t="s">
        <v>39</v>
      </c>
      <c r="AD911" s="2" t="s">
        <v>38</v>
      </c>
      <c r="AE911" s="2" t="s">
        <v>38</v>
      </c>
    </row>
    <row r="912" spans="1:31" ht="409.5">
      <c r="A912" s="2">
        <v>2650351</v>
      </c>
      <c r="B912" s="2">
        <f>HYPERLINK("https://platform.v2.vetology.net/cases/2650351/screening-report/18?type=pdf&amp;v=v6&amp;scorecard=1&amp;secret_key=BX%25IJ%24%2F65ieZ%29f6", 2650351)</f>
        <v>2650351</v>
      </c>
      <c r="C912" s="2">
        <f>HYPERLINK("https://platform.v2.vetology.net/report/v/final/"&amp;2650351, 2650351)</f>
        <v>2650351</v>
      </c>
      <c r="D912" s="2" t="s">
        <v>229</v>
      </c>
      <c r="E912" s="2" t="s">
        <v>148</v>
      </c>
      <c r="F912" s="2" t="s">
        <v>149</v>
      </c>
      <c r="G912" s="2" t="s">
        <v>150</v>
      </c>
      <c r="H912" s="2" t="s">
        <v>2750</v>
      </c>
      <c r="I912" s="2" t="s">
        <v>1468</v>
      </c>
      <c r="J912" s="2" t="s">
        <v>1469</v>
      </c>
      <c r="K912" s="2" t="s">
        <v>38</v>
      </c>
      <c r="L912" s="2" t="s">
        <v>39</v>
      </c>
      <c r="M912" s="2" t="s">
        <v>39</v>
      </c>
      <c r="N912" s="2" t="s">
        <v>38</v>
      </c>
      <c r="O912" s="2" t="s">
        <v>38</v>
      </c>
      <c r="P912" s="2" t="s">
        <v>39</v>
      </c>
      <c r="Q912" s="2" t="s">
        <v>38</v>
      </c>
      <c r="R912" s="2" t="s">
        <v>38</v>
      </c>
      <c r="S912" s="2" t="s">
        <v>38</v>
      </c>
      <c r="T912" s="2" t="s">
        <v>39</v>
      </c>
      <c r="U912" s="2" t="s">
        <v>38</v>
      </c>
      <c r="V912" s="2" t="s">
        <v>39</v>
      </c>
      <c r="W912" s="2" t="s">
        <v>38</v>
      </c>
      <c r="X912" s="2" t="s">
        <v>39</v>
      </c>
      <c r="Y912" s="2" t="s">
        <v>38</v>
      </c>
      <c r="Z912" s="2" t="s">
        <v>38</v>
      </c>
      <c r="AA912" s="2" t="s">
        <v>38</v>
      </c>
      <c r="AB912" s="2" t="s">
        <v>39</v>
      </c>
      <c r="AC912" s="2" t="s">
        <v>38</v>
      </c>
      <c r="AD912" s="2" t="s">
        <v>38</v>
      </c>
      <c r="AE912" s="2" t="s">
        <v>38</v>
      </c>
    </row>
    <row r="913" spans="1:31" ht="409.5">
      <c r="A913" s="2">
        <v>2650299</v>
      </c>
      <c r="B913" s="2">
        <f>HYPERLINK("https://platform.v2.vetology.net/cases/2650299/screening-report/18?type=pdf&amp;v=v6&amp;scorecard=1&amp;secret_key=BX%25IJ%24%2F65ieZ%29f6", 2650299)</f>
        <v>2650299</v>
      </c>
      <c r="C913" s="2">
        <f>HYPERLINK("https://platform.v2.vetology.net/report/v/final/"&amp;2650299, 2650299)</f>
        <v>2650299</v>
      </c>
      <c r="D913" s="2" t="s">
        <v>2751</v>
      </c>
      <c r="E913" s="2" t="s">
        <v>2752</v>
      </c>
      <c r="F913" s="2" t="s">
        <v>2753</v>
      </c>
      <c r="G913" s="2" t="s">
        <v>58</v>
      </c>
      <c r="H913" s="2" t="s">
        <v>118</v>
      </c>
      <c r="I913" s="2" t="s">
        <v>119</v>
      </c>
      <c r="J913" s="2" t="s">
        <v>112</v>
      </c>
      <c r="K913" s="2" t="s">
        <v>39</v>
      </c>
      <c r="L913" s="2" t="s">
        <v>39</v>
      </c>
      <c r="M913" s="2" t="s">
        <v>39</v>
      </c>
      <c r="N913" s="2" t="s">
        <v>39</v>
      </c>
      <c r="O913" s="2" t="s">
        <v>39</v>
      </c>
      <c r="P913" s="2" t="s">
        <v>39</v>
      </c>
      <c r="Q913" s="2" t="s">
        <v>39</v>
      </c>
      <c r="R913" s="2" t="s">
        <v>39</v>
      </c>
      <c r="S913" s="2" t="s">
        <v>39</v>
      </c>
      <c r="T913" s="2" t="s">
        <v>39</v>
      </c>
      <c r="U913" s="2" t="s">
        <v>39</v>
      </c>
      <c r="V913" s="2" t="s">
        <v>39</v>
      </c>
      <c r="W913" s="2" t="s">
        <v>39</v>
      </c>
      <c r="X913" s="2" t="s">
        <v>39</v>
      </c>
      <c r="Y913" s="2" t="s">
        <v>39</v>
      </c>
      <c r="Z913" s="2" t="s">
        <v>39</v>
      </c>
      <c r="AA913" s="2" t="s">
        <v>39</v>
      </c>
      <c r="AB913" s="2" t="s">
        <v>39</v>
      </c>
      <c r="AC913" s="2" t="s">
        <v>39</v>
      </c>
      <c r="AD913" s="2" t="s">
        <v>39</v>
      </c>
      <c r="AE913" s="2" t="s">
        <v>39</v>
      </c>
    </row>
    <row r="914" spans="1:31" ht="409.5">
      <c r="A914" s="2">
        <v>2650283</v>
      </c>
      <c r="B914" s="2">
        <f>HYPERLINK("https://platform.v2.vetology.net/cases/2650283/screening-report/18?type=pdf&amp;v=v6&amp;scorecard=1&amp;secret_key=BX%25IJ%24%2F65ieZ%29f6", 2650283)</f>
        <v>2650283</v>
      </c>
      <c r="C914" s="2">
        <f>HYPERLINK("https://platform.v2.vetology.net/report/v/final/"&amp;2650283, 2650283)</f>
        <v>2650283</v>
      </c>
      <c r="D914" s="2" t="s">
        <v>2754</v>
      </c>
      <c r="E914" s="2" t="s">
        <v>2755</v>
      </c>
      <c r="F914" s="2" t="s">
        <v>2756</v>
      </c>
      <c r="G914" s="2" t="s">
        <v>575</v>
      </c>
      <c r="H914" s="2" t="s">
        <v>2757</v>
      </c>
      <c r="I914" s="2" t="s">
        <v>2067</v>
      </c>
      <c r="J914" s="2" t="s">
        <v>66</v>
      </c>
      <c r="K914" s="2" t="s">
        <v>38</v>
      </c>
      <c r="L914" s="2" t="s">
        <v>39</v>
      </c>
      <c r="M914" s="2" t="s">
        <v>38</v>
      </c>
      <c r="N914" s="2" t="s">
        <v>38</v>
      </c>
      <c r="O914" s="2" t="s">
        <v>39</v>
      </c>
      <c r="P914" s="2" t="s">
        <v>39</v>
      </c>
      <c r="Q914" s="2" t="s">
        <v>38</v>
      </c>
      <c r="R914" s="2" t="s">
        <v>38</v>
      </c>
      <c r="S914" s="2" t="s">
        <v>38</v>
      </c>
      <c r="T914" s="2" t="s">
        <v>39</v>
      </c>
      <c r="U914" s="2" t="s">
        <v>38</v>
      </c>
      <c r="V914" s="2" t="s">
        <v>39</v>
      </c>
      <c r="W914" s="2" t="s">
        <v>38</v>
      </c>
      <c r="X914" s="2" t="s">
        <v>39</v>
      </c>
      <c r="Y914" s="2" t="s">
        <v>38</v>
      </c>
      <c r="Z914" s="2" t="s">
        <v>38</v>
      </c>
      <c r="AA914" s="2" t="s">
        <v>38</v>
      </c>
      <c r="AB914" s="2" t="s">
        <v>38</v>
      </c>
      <c r="AC914" s="2" t="s">
        <v>38</v>
      </c>
      <c r="AD914" s="2" t="s">
        <v>38</v>
      </c>
      <c r="AE914" s="2" t="s">
        <v>38</v>
      </c>
    </row>
    <row r="915" spans="1:31" ht="409.5">
      <c r="A915" s="2">
        <v>2650193</v>
      </c>
      <c r="B915" s="2">
        <f>HYPERLINK("https://platform.v2.vetology.net/cases/2650193/screening-report/18?type=pdf&amp;v=v6&amp;scorecard=1&amp;secret_key=BX%25IJ%24%2F65ieZ%29f6", 2650193)</f>
        <v>2650193</v>
      </c>
      <c r="C915" s="2">
        <f>HYPERLINK("https://platform.v2.vetology.net/report/v/final/"&amp;2650193, 2650193)</f>
        <v>2650193</v>
      </c>
      <c r="D915" s="2" t="s">
        <v>2758</v>
      </c>
      <c r="E915" s="2" t="s">
        <v>2759</v>
      </c>
      <c r="F915" s="2" t="s">
        <v>2760</v>
      </c>
      <c r="G915" s="2" t="s">
        <v>464</v>
      </c>
      <c r="H915" s="2" t="s">
        <v>1416</v>
      </c>
      <c r="I915" s="2" t="s">
        <v>284</v>
      </c>
      <c r="J915" s="2" t="s">
        <v>285</v>
      </c>
      <c r="K915" s="2" t="s">
        <v>38</v>
      </c>
      <c r="L915" s="2" t="s">
        <v>38</v>
      </c>
      <c r="M915" s="2" t="s">
        <v>38</v>
      </c>
      <c r="N915" s="2" t="s">
        <v>38</v>
      </c>
      <c r="O915" s="2" t="s">
        <v>38</v>
      </c>
      <c r="P915" s="2" t="s">
        <v>38</v>
      </c>
      <c r="Q915" s="2" t="s">
        <v>38</v>
      </c>
      <c r="R915" s="2" t="s">
        <v>38</v>
      </c>
      <c r="S915" s="2" t="s">
        <v>38</v>
      </c>
      <c r="T915" s="2" t="s">
        <v>38</v>
      </c>
      <c r="U915" s="2" t="s">
        <v>38</v>
      </c>
      <c r="V915" s="2" t="s">
        <v>38</v>
      </c>
      <c r="W915" s="2" t="s">
        <v>38</v>
      </c>
      <c r="X915" s="2" t="s">
        <v>38</v>
      </c>
      <c r="Y915" s="2" t="s">
        <v>38</v>
      </c>
      <c r="Z915" s="2" t="s">
        <v>38</v>
      </c>
      <c r="AA915" s="2" t="s">
        <v>38</v>
      </c>
      <c r="AB915" s="2" t="s">
        <v>38</v>
      </c>
      <c r="AC915" s="2" t="s">
        <v>38</v>
      </c>
      <c r="AD915" s="2" t="s">
        <v>38</v>
      </c>
      <c r="AE915" s="2" t="s">
        <v>38</v>
      </c>
    </row>
    <row r="916" spans="1:31" ht="409.5">
      <c r="A916" s="2">
        <v>2650188</v>
      </c>
      <c r="B916" s="2">
        <f>HYPERLINK("https://platform.v2.vetology.net/cases/2650188/screening-report/18?type=pdf&amp;v=v6&amp;scorecard=1&amp;secret_key=BX%25IJ%24%2F65ieZ%29f6", 2650188)</f>
        <v>2650188</v>
      </c>
      <c r="C916" s="2">
        <f>HYPERLINK("https://platform.v2.vetology.net/report/v/final/"&amp;2650188, 2650188)</f>
        <v>2650188</v>
      </c>
      <c r="D916" s="2" t="s">
        <v>795</v>
      </c>
      <c r="E916" s="2" t="s">
        <v>796</v>
      </c>
      <c r="F916" s="2" t="s">
        <v>2761</v>
      </c>
      <c r="G916" s="2" t="s">
        <v>135</v>
      </c>
      <c r="H916" s="2" t="s">
        <v>2320</v>
      </c>
      <c r="I916" s="2" t="s">
        <v>137</v>
      </c>
      <c r="J916" s="2" t="s">
        <v>66</v>
      </c>
      <c r="K916" s="2" t="s">
        <v>38</v>
      </c>
      <c r="L916" s="2" t="s">
        <v>38</v>
      </c>
      <c r="M916" s="2" t="s">
        <v>38</v>
      </c>
      <c r="N916" s="2" t="s">
        <v>38</v>
      </c>
      <c r="O916" s="2" t="s">
        <v>38</v>
      </c>
      <c r="P916" s="2" t="s">
        <v>38</v>
      </c>
      <c r="Q916" s="2" t="s">
        <v>38</v>
      </c>
      <c r="R916" s="2" t="s">
        <v>38</v>
      </c>
      <c r="S916" s="2" t="s">
        <v>38</v>
      </c>
      <c r="T916" s="2" t="s">
        <v>38</v>
      </c>
      <c r="U916" s="2" t="s">
        <v>38</v>
      </c>
      <c r="V916" s="2" t="s">
        <v>38</v>
      </c>
      <c r="W916" s="2" t="s">
        <v>38</v>
      </c>
      <c r="X916" s="2" t="s">
        <v>38</v>
      </c>
      <c r="Y916" s="2" t="s">
        <v>38</v>
      </c>
      <c r="Z916" s="2" t="s">
        <v>38</v>
      </c>
      <c r="AA916" s="2" t="s">
        <v>38</v>
      </c>
      <c r="AB916" s="2" t="s">
        <v>38</v>
      </c>
      <c r="AC916" s="2" t="s">
        <v>38</v>
      </c>
      <c r="AD916" s="2" t="s">
        <v>38</v>
      </c>
      <c r="AE916" s="2" t="s">
        <v>38</v>
      </c>
    </row>
    <row r="917" spans="1:31" ht="409.5">
      <c r="A917" s="2">
        <v>2650176</v>
      </c>
      <c r="B917" s="2">
        <f>HYPERLINK("https://platform.v2.vetology.net/cases/2650176/screening-report/18?type=pdf&amp;v=v6&amp;scorecard=1&amp;secret_key=BX%25IJ%24%2F65ieZ%29f6", 2650176)</f>
        <v>2650176</v>
      </c>
      <c r="C917" s="2">
        <f>HYPERLINK("https://platform.v2.vetology.net/report/v/final/"&amp;2650176, 2650176)</f>
        <v>2650176</v>
      </c>
      <c r="D917" s="2" t="s">
        <v>2762</v>
      </c>
      <c r="E917" s="2" t="s">
        <v>2763</v>
      </c>
      <c r="F917" s="2" t="s">
        <v>2764</v>
      </c>
      <c r="G917" s="2" t="s">
        <v>70</v>
      </c>
      <c r="H917" s="2" t="s">
        <v>218</v>
      </c>
      <c r="I917" s="2" t="s">
        <v>137</v>
      </c>
      <c r="J917" s="2" t="s">
        <v>66</v>
      </c>
      <c r="K917" s="2" t="s">
        <v>38</v>
      </c>
      <c r="L917" s="2" t="s">
        <v>39</v>
      </c>
      <c r="M917" s="2" t="s">
        <v>39</v>
      </c>
      <c r="N917" s="2" t="s">
        <v>38</v>
      </c>
      <c r="O917" s="2" t="s">
        <v>38</v>
      </c>
      <c r="P917" s="2" t="s">
        <v>39</v>
      </c>
      <c r="Q917" s="2" t="s">
        <v>38</v>
      </c>
      <c r="R917" s="2" t="s">
        <v>38</v>
      </c>
      <c r="S917" s="2" t="s">
        <v>39</v>
      </c>
      <c r="T917" s="2" t="s">
        <v>39</v>
      </c>
      <c r="U917" s="2" t="s">
        <v>38</v>
      </c>
      <c r="V917" s="2" t="s">
        <v>38</v>
      </c>
      <c r="W917" s="2" t="s">
        <v>38</v>
      </c>
      <c r="X917" s="2" t="s">
        <v>39</v>
      </c>
      <c r="Y917" s="2" t="s">
        <v>38</v>
      </c>
      <c r="Z917" s="2" t="s">
        <v>39</v>
      </c>
      <c r="AA917" s="2" t="s">
        <v>38</v>
      </c>
      <c r="AB917" s="2" t="s">
        <v>39</v>
      </c>
      <c r="AC917" s="2" t="s">
        <v>39</v>
      </c>
      <c r="AD917" s="2" t="s">
        <v>38</v>
      </c>
      <c r="AE917" s="2" t="s">
        <v>39</v>
      </c>
    </row>
    <row r="918" spans="1:31" ht="409.5">
      <c r="A918" s="2">
        <v>2650092</v>
      </c>
      <c r="B918" s="2">
        <f>HYPERLINK("https://platform.v2.vetology.net/cases/2650092/screening-report/18?type=pdf&amp;v=v6&amp;scorecard=1&amp;secret_key=BX%25IJ%24%2F65ieZ%29f6", 2650092)</f>
        <v>2650092</v>
      </c>
      <c r="C918" s="2">
        <f>HYPERLINK("https://platform.v2.vetology.net/report/v/final/"&amp;2650092, 2650092)</f>
        <v>2650092</v>
      </c>
      <c r="D918" s="2" t="s">
        <v>2765</v>
      </c>
      <c r="E918" s="2" t="s">
        <v>2766</v>
      </c>
      <c r="F918" s="2" t="s">
        <v>2767</v>
      </c>
      <c r="G918" s="2" t="s">
        <v>212</v>
      </c>
      <c r="H918" s="2" t="s">
        <v>1240</v>
      </c>
      <c r="I918" s="2" t="s">
        <v>137</v>
      </c>
      <c r="J918" s="2" t="s">
        <v>66</v>
      </c>
      <c r="K918" s="2" t="s">
        <v>38</v>
      </c>
      <c r="L918" s="2" t="s">
        <v>38</v>
      </c>
      <c r="M918" s="2" t="s">
        <v>38</v>
      </c>
      <c r="N918" s="2" t="s">
        <v>38</v>
      </c>
      <c r="O918" s="2" t="s">
        <v>38</v>
      </c>
      <c r="P918" s="2" t="s">
        <v>39</v>
      </c>
      <c r="Q918" s="2" t="s">
        <v>38</v>
      </c>
      <c r="R918" s="2" t="s">
        <v>38</v>
      </c>
      <c r="S918" s="2" t="s">
        <v>38</v>
      </c>
      <c r="T918" s="2" t="s">
        <v>38</v>
      </c>
      <c r="U918" s="2" t="s">
        <v>38</v>
      </c>
      <c r="V918" s="2" t="s">
        <v>38</v>
      </c>
      <c r="W918" s="2" t="s">
        <v>38</v>
      </c>
      <c r="X918" s="2" t="s">
        <v>39</v>
      </c>
      <c r="Y918" s="2" t="s">
        <v>38</v>
      </c>
      <c r="Z918" s="2" t="s">
        <v>38</v>
      </c>
      <c r="AA918" s="2" t="s">
        <v>38</v>
      </c>
      <c r="AB918" s="2" t="s">
        <v>39</v>
      </c>
      <c r="AC918" s="2" t="s">
        <v>38</v>
      </c>
      <c r="AD918" s="2" t="s">
        <v>38</v>
      </c>
      <c r="AE918" s="2" t="s">
        <v>38</v>
      </c>
    </row>
    <row r="919" spans="1:31" ht="409.5">
      <c r="A919" s="2">
        <v>2650040</v>
      </c>
      <c r="B919" s="2">
        <f>HYPERLINK("https://platform.v2.vetology.net/cases/2650040/screening-report/18?type=pdf&amp;v=v6&amp;scorecard=1&amp;secret_key=BX%25IJ%24%2F65ieZ%29f6", 2650040)</f>
        <v>2650040</v>
      </c>
      <c r="C919" s="2">
        <f>HYPERLINK("https://platform.v2.vetology.net/report/v/final/"&amp;2650040, 2650040)</f>
        <v>2650040</v>
      </c>
      <c r="D919" s="2" t="s">
        <v>2768</v>
      </c>
      <c r="E919" s="2" t="s">
        <v>2769</v>
      </c>
      <c r="F919" s="2" t="s">
        <v>2535</v>
      </c>
      <c r="G919" s="2" t="s">
        <v>58</v>
      </c>
      <c r="H919" s="2" t="s">
        <v>1240</v>
      </c>
      <c r="I919" s="2" t="s">
        <v>137</v>
      </c>
      <c r="J919" s="2" t="s">
        <v>66</v>
      </c>
      <c r="K919" s="2" t="s">
        <v>38</v>
      </c>
      <c r="L919" s="2" t="s">
        <v>39</v>
      </c>
      <c r="M919" s="2" t="s">
        <v>39</v>
      </c>
      <c r="N919" s="2" t="s">
        <v>38</v>
      </c>
      <c r="O919" s="2" t="s">
        <v>38</v>
      </c>
      <c r="P919" s="2" t="s">
        <v>39</v>
      </c>
      <c r="Q919" s="2" t="s">
        <v>38</v>
      </c>
      <c r="R919" s="2" t="s">
        <v>38</v>
      </c>
      <c r="S919" s="2" t="s">
        <v>38</v>
      </c>
      <c r="T919" s="2" t="s">
        <v>38</v>
      </c>
      <c r="U919" s="2" t="s">
        <v>38</v>
      </c>
      <c r="V919" s="2" t="s">
        <v>38</v>
      </c>
      <c r="W919" s="2" t="s">
        <v>38</v>
      </c>
      <c r="X919" s="2" t="s">
        <v>38</v>
      </c>
      <c r="Y919" s="2" t="s">
        <v>38</v>
      </c>
      <c r="Z919" s="2" t="s">
        <v>38</v>
      </c>
      <c r="AA919" s="2" t="s">
        <v>38</v>
      </c>
      <c r="AB919" s="2" t="s">
        <v>39</v>
      </c>
      <c r="AC919" s="2" t="s">
        <v>38</v>
      </c>
      <c r="AD919" s="2" t="s">
        <v>38</v>
      </c>
      <c r="AE919" s="2" t="s">
        <v>38</v>
      </c>
    </row>
    <row r="920" spans="1:31" ht="409.5">
      <c r="A920" s="2">
        <v>2649973</v>
      </c>
      <c r="B920" s="2">
        <f>HYPERLINK("https://platform.v2.vetology.net/cases/2649973/screening-report/18?type=pdf&amp;v=v6&amp;scorecard=1&amp;secret_key=BX%25IJ%24%2F65ieZ%29f6", 2649973)</f>
        <v>2649973</v>
      </c>
      <c r="C920" s="2">
        <f>HYPERLINK("https://platform.v2.vetology.net/report/v/final/"&amp;2649973, 2649973)</f>
        <v>2649973</v>
      </c>
      <c r="D920" s="2" t="s">
        <v>2770</v>
      </c>
      <c r="E920" s="2" t="s">
        <v>2771</v>
      </c>
      <c r="F920" s="2" t="s">
        <v>2772</v>
      </c>
      <c r="G920" s="2" t="s">
        <v>150</v>
      </c>
      <c r="H920" s="2" t="s">
        <v>1162</v>
      </c>
      <c r="I920" s="2" t="s">
        <v>190</v>
      </c>
      <c r="J920" s="2" t="s">
        <v>112</v>
      </c>
      <c r="K920" s="2" t="s">
        <v>39</v>
      </c>
      <c r="L920" s="2" t="s">
        <v>39</v>
      </c>
      <c r="M920" s="2" t="s">
        <v>39</v>
      </c>
      <c r="N920" s="2" t="s">
        <v>39</v>
      </c>
      <c r="O920" s="2" t="s">
        <v>39</v>
      </c>
      <c r="P920" s="2" t="s">
        <v>39</v>
      </c>
      <c r="Q920" s="2" t="s">
        <v>39</v>
      </c>
      <c r="R920" s="2" t="s">
        <v>39</v>
      </c>
      <c r="S920" s="2" t="s">
        <v>39</v>
      </c>
      <c r="T920" s="2" t="s">
        <v>39</v>
      </c>
      <c r="U920" s="2" t="s">
        <v>39</v>
      </c>
      <c r="V920" s="2" t="s">
        <v>39</v>
      </c>
      <c r="W920" s="2" t="s">
        <v>39</v>
      </c>
      <c r="X920" s="2" t="s">
        <v>39</v>
      </c>
      <c r="Y920" s="2" t="s">
        <v>39</v>
      </c>
      <c r="Z920" s="2" t="s">
        <v>39</v>
      </c>
      <c r="AA920" s="2" t="s">
        <v>39</v>
      </c>
      <c r="AB920" s="2" t="s">
        <v>39</v>
      </c>
      <c r="AC920" s="2" t="s">
        <v>39</v>
      </c>
      <c r="AD920" s="2" t="s">
        <v>39</v>
      </c>
      <c r="AE920" s="2" t="s">
        <v>39</v>
      </c>
    </row>
    <row r="921" spans="1:31" ht="409.5">
      <c r="A921" s="2">
        <v>2649930</v>
      </c>
      <c r="B921" s="2">
        <f>HYPERLINK("https://platform.v2.vetology.net/cases/2649930/screening-report/18?type=pdf&amp;v=v6&amp;scorecard=1&amp;secret_key=BX%25IJ%24%2F65ieZ%29f6", 2649930)</f>
        <v>2649930</v>
      </c>
      <c r="C921" s="2">
        <f>HYPERLINK("https://platform.v2.vetology.net/report/v/final/"&amp;2649930, 2649930)</f>
        <v>2649930</v>
      </c>
      <c r="D921" s="2" t="s">
        <v>2773</v>
      </c>
      <c r="E921" s="2" t="s">
        <v>850</v>
      </c>
      <c r="F921" s="2"/>
      <c r="G921" s="2" t="s">
        <v>150</v>
      </c>
      <c r="H921" s="2" t="s">
        <v>54</v>
      </c>
      <c r="I921" s="2" t="s">
        <v>44</v>
      </c>
      <c r="J921" s="2" t="s">
        <v>106</v>
      </c>
      <c r="K921" s="2" t="s">
        <v>38</v>
      </c>
      <c r="L921" s="2" t="s">
        <v>39</v>
      </c>
      <c r="M921" s="2" t="s">
        <v>38</v>
      </c>
      <c r="N921" s="2" t="s">
        <v>38</v>
      </c>
      <c r="O921" s="2" t="s">
        <v>38</v>
      </c>
      <c r="P921" s="2" t="s">
        <v>38</v>
      </c>
      <c r="Q921" s="2" t="s">
        <v>38</v>
      </c>
      <c r="R921" s="2" t="s">
        <v>38</v>
      </c>
      <c r="S921" s="2" t="s">
        <v>38</v>
      </c>
      <c r="T921" s="2" t="s">
        <v>38</v>
      </c>
      <c r="U921" s="2" t="s">
        <v>38</v>
      </c>
      <c r="V921" s="2" t="s">
        <v>38</v>
      </c>
      <c r="W921" s="2" t="s">
        <v>38</v>
      </c>
      <c r="X921" s="2" t="s">
        <v>38</v>
      </c>
      <c r="Y921" s="2" t="s">
        <v>38</v>
      </c>
      <c r="Z921" s="2" t="s">
        <v>38</v>
      </c>
      <c r="AA921" s="2" t="s">
        <v>38</v>
      </c>
      <c r="AB921" s="2" t="s">
        <v>38</v>
      </c>
      <c r="AC921" s="2" t="s">
        <v>39</v>
      </c>
      <c r="AD921" s="2" t="s">
        <v>38</v>
      </c>
      <c r="AE921" s="2" t="s">
        <v>38</v>
      </c>
    </row>
    <row r="922" spans="1:31" ht="409.5">
      <c r="A922" s="2">
        <v>2649778</v>
      </c>
      <c r="B922" s="2">
        <f>HYPERLINK("https://platform.v2.vetology.net/cases/2649778/screening-report/18?type=pdf&amp;v=v6&amp;scorecard=1&amp;secret_key=BX%25IJ%24%2F65ieZ%29f6", 2649778)</f>
        <v>2649778</v>
      </c>
      <c r="C922" s="2">
        <f>HYPERLINK("https://platform.v2.vetology.net/report/v/final/"&amp;2649778, 2649778)</f>
        <v>2649778</v>
      </c>
      <c r="D922" s="2" t="s">
        <v>2774</v>
      </c>
      <c r="E922" s="2" t="s">
        <v>2775</v>
      </c>
      <c r="F922" s="2" t="s">
        <v>2776</v>
      </c>
      <c r="G922" s="2" t="s">
        <v>93</v>
      </c>
      <c r="H922" s="2" t="s">
        <v>2777</v>
      </c>
      <c r="I922" s="2" t="s">
        <v>84</v>
      </c>
      <c r="J922" s="2" t="s">
        <v>85</v>
      </c>
      <c r="K922" s="2" t="s">
        <v>38</v>
      </c>
      <c r="L922" s="2" t="s">
        <v>39</v>
      </c>
      <c r="M922" s="2" t="s">
        <v>38</v>
      </c>
      <c r="N922" s="2" t="s">
        <v>38</v>
      </c>
      <c r="O922" s="2" t="s">
        <v>38</v>
      </c>
      <c r="P922" s="2" t="s">
        <v>38</v>
      </c>
      <c r="Q922" s="2" t="s">
        <v>38</v>
      </c>
      <c r="R922" s="2" t="s">
        <v>38</v>
      </c>
      <c r="S922" s="2" t="s">
        <v>38</v>
      </c>
      <c r="T922" s="2" t="s">
        <v>38</v>
      </c>
      <c r="U922" s="2" t="s">
        <v>38</v>
      </c>
      <c r="V922" s="2" t="s">
        <v>38</v>
      </c>
      <c r="W922" s="2" t="s">
        <v>38</v>
      </c>
      <c r="X922" s="2" t="s">
        <v>38</v>
      </c>
      <c r="Y922" s="2" t="s">
        <v>38</v>
      </c>
      <c r="Z922" s="2" t="s">
        <v>38</v>
      </c>
      <c r="AA922" s="2" t="s">
        <v>38</v>
      </c>
      <c r="AB922" s="2" t="s">
        <v>39</v>
      </c>
      <c r="AC922" s="2" t="s">
        <v>39</v>
      </c>
      <c r="AD922" s="2" t="s">
        <v>38</v>
      </c>
      <c r="AE922" s="2" t="s">
        <v>38</v>
      </c>
    </row>
    <row r="923" spans="1:31" ht="409.5">
      <c r="A923" s="2">
        <v>2649745</v>
      </c>
      <c r="B923" s="2">
        <f>HYPERLINK("https://platform.v2.vetology.net/cases/2649745/screening-report/18?type=pdf&amp;v=v6&amp;scorecard=1&amp;secret_key=BX%25IJ%24%2F65ieZ%29f6", 2649745)</f>
        <v>2649745</v>
      </c>
      <c r="C923" s="2">
        <f>HYPERLINK("https://platform.v2.vetology.net/report/v/final/"&amp;2649745, 2649745)</f>
        <v>2649745</v>
      </c>
      <c r="D923" s="2" t="s">
        <v>2778</v>
      </c>
      <c r="E923" s="2" t="s">
        <v>2779</v>
      </c>
      <c r="F923" s="2" t="s">
        <v>2780</v>
      </c>
      <c r="G923" s="2" t="s">
        <v>135</v>
      </c>
      <c r="H923" s="2" t="s">
        <v>2781</v>
      </c>
      <c r="I923" s="2" t="s">
        <v>2373</v>
      </c>
      <c r="J923" s="2" t="s">
        <v>2374</v>
      </c>
      <c r="K923" s="2" t="s">
        <v>39</v>
      </c>
      <c r="L923" s="2" t="s">
        <v>39</v>
      </c>
      <c r="M923" s="2" t="s">
        <v>39</v>
      </c>
      <c r="N923" s="2" t="s">
        <v>39</v>
      </c>
      <c r="O923" s="2" t="s">
        <v>39</v>
      </c>
      <c r="P923" s="2" t="s">
        <v>39</v>
      </c>
      <c r="Q923" s="2" t="s">
        <v>39</v>
      </c>
      <c r="R923" s="2" t="s">
        <v>39</v>
      </c>
      <c r="S923" s="2" t="s">
        <v>39</v>
      </c>
      <c r="T923" s="2" t="s">
        <v>39</v>
      </c>
      <c r="U923" s="2" t="s">
        <v>39</v>
      </c>
      <c r="V923" s="2" t="s">
        <v>39</v>
      </c>
      <c r="W923" s="2" t="s">
        <v>39</v>
      </c>
      <c r="X923" s="2" t="s">
        <v>39</v>
      </c>
      <c r="Y923" s="2" t="s">
        <v>39</v>
      </c>
      <c r="Z923" s="2" t="s">
        <v>39</v>
      </c>
      <c r="AA923" s="2" t="s">
        <v>39</v>
      </c>
      <c r="AB923" s="2" t="s">
        <v>39</v>
      </c>
      <c r="AC923" s="2" t="s">
        <v>39</v>
      </c>
      <c r="AD923" s="2" t="s">
        <v>39</v>
      </c>
      <c r="AE923" s="2" t="s">
        <v>39</v>
      </c>
    </row>
    <row r="924" spans="1:31" ht="409.5">
      <c r="A924" s="2">
        <v>2649669</v>
      </c>
      <c r="B924" s="2">
        <f>HYPERLINK("https://platform.v2.vetology.net/cases/2649669/screening-report/18?type=pdf&amp;v=v6&amp;scorecard=1&amp;secret_key=BX%25IJ%24%2F65ieZ%29f6", 2649669)</f>
        <v>2649669</v>
      </c>
      <c r="C924" s="2">
        <f>HYPERLINK("https://platform.v2.vetology.net/report/v/final/"&amp;2649669, 2649669)</f>
        <v>2649669</v>
      </c>
      <c r="D924" s="2" t="s">
        <v>1637</v>
      </c>
      <c r="E924" s="2" t="s">
        <v>148</v>
      </c>
      <c r="F924" s="2" t="s">
        <v>2035</v>
      </c>
      <c r="G924" s="2" t="s">
        <v>150</v>
      </c>
      <c r="H924" s="2" t="s">
        <v>129</v>
      </c>
      <c r="I924" s="2" t="s">
        <v>44</v>
      </c>
      <c r="J924" s="2" t="s">
        <v>106</v>
      </c>
      <c r="K924" s="2" t="s">
        <v>38</v>
      </c>
      <c r="L924" s="2" t="s">
        <v>39</v>
      </c>
      <c r="M924" s="2" t="s">
        <v>39</v>
      </c>
      <c r="N924" s="2" t="s">
        <v>38</v>
      </c>
      <c r="O924" s="2" t="s">
        <v>39</v>
      </c>
      <c r="P924" s="2" t="s">
        <v>38</v>
      </c>
      <c r="Q924" s="2" t="s">
        <v>38</v>
      </c>
      <c r="R924" s="2" t="s">
        <v>38</v>
      </c>
      <c r="S924" s="2" t="s">
        <v>38</v>
      </c>
      <c r="T924" s="2" t="s">
        <v>39</v>
      </c>
      <c r="U924" s="2" t="s">
        <v>38</v>
      </c>
      <c r="V924" s="2" t="s">
        <v>39</v>
      </c>
      <c r="W924" s="2" t="s">
        <v>38</v>
      </c>
      <c r="X924" s="2" t="s">
        <v>39</v>
      </c>
      <c r="Y924" s="2" t="s">
        <v>38</v>
      </c>
      <c r="Z924" s="2" t="s">
        <v>38</v>
      </c>
      <c r="AA924" s="2" t="s">
        <v>38</v>
      </c>
      <c r="AB924" s="2" t="s">
        <v>39</v>
      </c>
      <c r="AC924" s="2" t="s">
        <v>39</v>
      </c>
      <c r="AD924" s="2" t="s">
        <v>38</v>
      </c>
      <c r="AE924" s="2" t="s">
        <v>39</v>
      </c>
    </row>
    <row r="925" spans="1:31" ht="409.5">
      <c r="A925" s="2">
        <v>2649565</v>
      </c>
      <c r="B925" s="2">
        <f>HYPERLINK("https://platform.v2.vetology.net/cases/2649565/screening-report/18?type=pdf&amp;v=v6&amp;scorecard=1&amp;secret_key=BX%25IJ%24%2F65ieZ%29f6", 2649565)</f>
        <v>2649565</v>
      </c>
      <c r="C925" s="2">
        <f>HYPERLINK("https://platform.v2.vetology.net/report/v/final/"&amp;2649565, 2649565)</f>
        <v>2649565</v>
      </c>
      <c r="D925" s="2" t="s">
        <v>2782</v>
      </c>
      <c r="E925" s="2" t="s">
        <v>2783</v>
      </c>
      <c r="F925" s="2"/>
      <c r="G925" s="2" t="s">
        <v>141</v>
      </c>
      <c r="H925" s="2" t="s">
        <v>2784</v>
      </c>
      <c r="I925" s="2" t="s">
        <v>418</v>
      </c>
      <c r="J925" s="2" t="s">
        <v>419</v>
      </c>
      <c r="K925" s="2" t="s">
        <v>39</v>
      </c>
      <c r="L925" s="2" t="s">
        <v>38</v>
      </c>
      <c r="M925" s="2" t="s">
        <v>39</v>
      </c>
      <c r="N925" s="2" t="s">
        <v>38</v>
      </c>
      <c r="O925" s="2" t="s">
        <v>39</v>
      </c>
      <c r="P925" s="2" t="s">
        <v>38</v>
      </c>
      <c r="Q925" s="2" t="s">
        <v>38</v>
      </c>
      <c r="R925" s="2" t="s">
        <v>38</v>
      </c>
      <c r="S925" s="2" t="s">
        <v>38</v>
      </c>
      <c r="T925" s="2" t="s">
        <v>39</v>
      </c>
      <c r="U925" s="2" t="s">
        <v>38</v>
      </c>
      <c r="V925" s="2" t="s">
        <v>39</v>
      </c>
      <c r="W925" s="2" t="s">
        <v>38</v>
      </c>
      <c r="X925" s="2" t="s">
        <v>39</v>
      </c>
      <c r="Y925" s="2" t="s">
        <v>38</v>
      </c>
      <c r="Z925" s="2" t="s">
        <v>38</v>
      </c>
      <c r="AA925" s="2" t="s">
        <v>38</v>
      </c>
      <c r="AB925" s="2" t="s">
        <v>39</v>
      </c>
      <c r="AC925" s="2" t="s">
        <v>39</v>
      </c>
      <c r="AD925" s="2" t="s">
        <v>38</v>
      </c>
      <c r="AE925" s="2" t="s">
        <v>38</v>
      </c>
    </row>
    <row r="926" spans="1:31" ht="409.5">
      <c r="A926" s="2">
        <v>2649556</v>
      </c>
      <c r="B926" s="2">
        <f>HYPERLINK("https://platform.v2.vetology.net/cases/2649556/screening-report/18?type=pdf&amp;v=v6&amp;scorecard=1&amp;secret_key=BX%25IJ%24%2F65ieZ%29f6", 2649556)</f>
        <v>2649556</v>
      </c>
      <c r="C926" s="2">
        <f>HYPERLINK("https://platform.v2.vetology.net/report/v/final/"&amp;2649556, 2649556)</f>
        <v>2649556</v>
      </c>
      <c r="D926" s="2" t="s">
        <v>2785</v>
      </c>
      <c r="E926" s="2" t="s">
        <v>2786</v>
      </c>
      <c r="F926" s="2"/>
      <c r="G926" s="2" t="s">
        <v>141</v>
      </c>
      <c r="H926" s="2" t="s">
        <v>101</v>
      </c>
      <c r="I926" s="2" t="s">
        <v>44</v>
      </c>
      <c r="J926" s="2"/>
      <c r="K926" s="2" t="s">
        <v>38</v>
      </c>
      <c r="L926" s="2" t="s">
        <v>38</v>
      </c>
      <c r="M926" s="2" t="s">
        <v>39</v>
      </c>
      <c r="N926" s="2" t="s">
        <v>38</v>
      </c>
      <c r="O926" s="2" t="s">
        <v>38</v>
      </c>
      <c r="P926" s="2" t="s">
        <v>38</v>
      </c>
      <c r="Q926" s="2" t="s">
        <v>38</v>
      </c>
      <c r="R926" s="2" t="s">
        <v>38</v>
      </c>
      <c r="S926" s="2" t="s">
        <v>38</v>
      </c>
      <c r="T926" s="2" t="s">
        <v>39</v>
      </c>
      <c r="U926" s="2" t="s">
        <v>38</v>
      </c>
      <c r="V926" s="2" t="s">
        <v>39</v>
      </c>
      <c r="W926" s="2" t="s">
        <v>38</v>
      </c>
      <c r="X926" s="2" t="s">
        <v>39</v>
      </c>
      <c r="Y926" s="2" t="s">
        <v>38</v>
      </c>
      <c r="Z926" s="2" t="s">
        <v>38</v>
      </c>
      <c r="AA926" s="2" t="s">
        <v>38</v>
      </c>
      <c r="AB926" s="2" t="s">
        <v>38</v>
      </c>
      <c r="AC926" s="2" t="s">
        <v>38</v>
      </c>
      <c r="AD926" s="2" t="s">
        <v>38</v>
      </c>
      <c r="AE926" s="2" t="s">
        <v>38</v>
      </c>
    </row>
    <row r="927" spans="1:31" ht="409.5">
      <c r="A927" s="2">
        <v>2649508</v>
      </c>
      <c r="B927" s="2">
        <f>HYPERLINK("https://platform.v2.vetology.net/cases/2649508/screening-report/18?type=pdf&amp;v=v6&amp;scorecard=1&amp;secret_key=BX%25IJ%24%2F65ieZ%29f6", 2649508)</f>
        <v>2649508</v>
      </c>
      <c r="C927" s="2">
        <f>HYPERLINK("https://platform.v2.vetology.net/report/v/final/"&amp;2649508, 2649508)</f>
        <v>2649508</v>
      </c>
      <c r="D927" s="2" t="s">
        <v>2787</v>
      </c>
      <c r="E927" s="2" t="s">
        <v>2788</v>
      </c>
      <c r="F927" s="2"/>
      <c r="G927" s="2" t="s">
        <v>141</v>
      </c>
      <c r="H927" s="2" t="s">
        <v>2564</v>
      </c>
      <c r="I927" s="2" t="s">
        <v>167</v>
      </c>
      <c r="J927" s="2" t="s">
        <v>168</v>
      </c>
      <c r="K927" s="2" t="s">
        <v>38</v>
      </c>
      <c r="L927" s="2" t="s">
        <v>38</v>
      </c>
      <c r="M927" s="2" t="s">
        <v>39</v>
      </c>
      <c r="N927" s="2" t="s">
        <v>38</v>
      </c>
      <c r="O927" s="2" t="s">
        <v>38</v>
      </c>
      <c r="P927" s="2" t="s">
        <v>38</v>
      </c>
      <c r="Q927" s="2" t="s">
        <v>38</v>
      </c>
      <c r="R927" s="2" t="s">
        <v>38</v>
      </c>
      <c r="S927" s="2" t="s">
        <v>39</v>
      </c>
      <c r="T927" s="2" t="s">
        <v>38</v>
      </c>
      <c r="U927" s="2" t="s">
        <v>38</v>
      </c>
      <c r="V927" s="2" t="s">
        <v>38</v>
      </c>
      <c r="W927" s="2" t="s">
        <v>38</v>
      </c>
      <c r="X927" s="2" t="s">
        <v>38</v>
      </c>
      <c r="Y927" s="2" t="s">
        <v>38</v>
      </c>
      <c r="Z927" s="2" t="s">
        <v>38</v>
      </c>
      <c r="AA927" s="2" t="s">
        <v>38</v>
      </c>
      <c r="AB927" s="2" t="s">
        <v>38</v>
      </c>
      <c r="AC927" s="2" t="s">
        <v>39</v>
      </c>
      <c r="AD927" s="2" t="s">
        <v>38</v>
      </c>
      <c r="AE927" s="2" t="s">
        <v>38</v>
      </c>
    </row>
    <row r="928" spans="1:31" ht="409.5">
      <c r="A928" s="2">
        <v>2649474</v>
      </c>
      <c r="B928" s="2">
        <f>HYPERLINK("https://platform.v2.vetology.net/cases/2649474/screening-report/18?type=pdf&amp;v=v6&amp;scorecard=1&amp;secret_key=BX%25IJ%24%2F65ieZ%29f6", 2649474)</f>
        <v>2649474</v>
      </c>
      <c r="C928" s="2">
        <f>HYPERLINK("https://platform.v2.vetology.net/report/v/final/"&amp;2649474, 2649474)</f>
        <v>2649474</v>
      </c>
      <c r="D928" s="2" t="s">
        <v>2789</v>
      </c>
      <c r="E928" s="2" t="s">
        <v>2790</v>
      </c>
      <c r="F928" s="2" t="s">
        <v>81</v>
      </c>
      <c r="G928" s="2" t="s">
        <v>82</v>
      </c>
      <c r="H928" s="2" t="s">
        <v>129</v>
      </c>
      <c r="I928" s="2" t="s">
        <v>44</v>
      </c>
      <c r="J928" s="2"/>
      <c r="K928" s="2" t="s">
        <v>38</v>
      </c>
      <c r="L928" s="2" t="s">
        <v>39</v>
      </c>
      <c r="M928" s="2" t="s">
        <v>39</v>
      </c>
      <c r="N928" s="2" t="s">
        <v>38</v>
      </c>
      <c r="O928" s="2" t="s">
        <v>38</v>
      </c>
      <c r="P928" s="2" t="s">
        <v>39</v>
      </c>
      <c r="Q928" s="2" t="s">
        <v>38</v>
      </c>
      <c r="R928" s="2" t="s">
        <v>38</v>
      </c>
      <c r="S928" s="2" t="s">
        <v>39</v>
      </c>
      <c r="T928" s="2" t="s">
        <v>39</v>
      </c>
      <c r="U928" s="2" t="s">
        <v>38</v>
      </c>
      <c r="V928" s="2" t="s">
        <v>39</v>
      </c>
      <c r="W928" s="2" t="s">
        <v>38</v>
      </c>
      <c r="X928" s="2" t="s">
        <v>39</v>
      </c>
      <c r="Y928" s="2" t="s">
        <v>38</v>
      </c>
      <c r="Z928" s="2" t="s">
        <v>39</v>
      </c>
      <c r="AA928" s="2" t="s">
        <v>38</v>
      </c>
      <c r="AB928" s="2" t="s">
        <v>39</v>
      </c>
      <c r="AC928" s="2" t="s">
        <v>38</v>
      </c>
      <c r="AD928" s="2" t="s">
        <v>38</v>
      </c>
      <c r="AE928" s="2" t="s">
        <v>38</v>
      </c>
    </row>
    <row r="929" spans="1:31" ht="409.5">
      <c r="A929" s="2">
        <v>2649337</v>
      </c>
      <c r="B929" s="2">
        <f>HYPERLINK("https://platform.v2.vetology.net/cases/2649337/screening-report/18?type=pdf&amp;v=v6&amp;scorecard=1&amp;secret_key=BX%25IJ%24%2F65ieZ%29f6", 2649337)</f>
        <v>2649337</v>
      </c>
      <c r="C929" s="2">
        <f>HYPERLINK("https://platform.v2.vetology.net/report/v/final/"&amp;2649337, 2649337)</f>
        <v>2649337</v>
      </c>
      <c r="D929" s="2" t="s">
        <v>2791</v>
      </c>
      <c r="E929" s="2" t="s">
        <v>2792</v>
      </c>
      <c r="F929" s="2" t="s">
        <v>2793</v>
      </c>
      <c r="G929" s="2" t="s">
        <v>70</v>
      </c>
      <c r="H929" s="2" t="s">
        <v>607</v>
      </c>
      <c r="I929" s="2" t="s">
        <v>137</v>
      </c>
      <c r="J929" s="2" t="s">
        <v>66</v>
      </c>
      <c r="K929" s="2" t="s">
        <v>38</v>
      </c>
      <c r="L929" s="2" t="s">
        <v>38</v>
      </c>
      <c r="M929" s="2" t="s">
        <v>39</v>
      </c>
      <c r="N929" s="2" t="s">
        <v>38</v>
      </c>
      <c r="O929" s="2" t="s">
        <v>38</v>
      </c>
      <c r="P929" s="2" t="s">
        <v>38</v>
      </c>
      <c r="Q929" s="2" t="s">
        <v>38</v>
      </c>
      <c r="R929" s="2" t="s">
        <v>38</v>
      </c>
      <c r="S929" s="2" t="s">
        <v>38</v>
      </c>
      <c r="T929" s="2" t="s">
        <v>39</v>
      </c>
      <c r="U929" s="2" t="s">
        <v>38</v>
      </c>
      <c r="V929" s="2" t="s">
        <v>39</v>
      </c>
      <c r="W929" s="2" t="s">
        <v>38</v>
      </c>
      <c r="X929" s="2" t="s">
        <v>39</v>
      </c>
      <c r="Y929" s="2" t="s">
        <v>38</v>
      </c>
      <c r="Z929" s="2" t="s">
        <v>38</v>
      </c>
      <c r="AA929" s="2" t="s">
        <v>38</v>
      </c>
      <c r="AB929" s="2" t="s">
        <v>39</v>
      </c>
      <c r="AC929" s="2" t="s">
        <v>39</v>
      </c>
      <c r="AD929" s="2" t="s">
        <v>38</v>
      </c>
      <c r="AE929" s="2" t="s">
        <v>39</v>
      </c>
    </row>
    <row r="930" spans="1:31" ht="409.5">
      <c r="A930" s="2">
        <v>2649260</v>
      </c>
      <c r="B930" s="2">
        <f>HYPERLINK("https://platform.v2.vetology.net/cases/2649260/screening-report/18?type=pdf&amp;v=v6&amp;scorecard=1&amp;secret_key=BX%25IJ%24%2F65ieZ%29f6", 2649260)</f>
        <v>2649260</v>
      </c>
      <c r="C930" s="2">
        <f>HYPERLINK("https://platform.v2.vetology.net/report/v/final/"&amp;2649260, 2649260)</f>
        <v>2649260</v>
      </c>
      <c r="D930" s="2" t="s">
        <v>2794</v>
      </c>
      <c r="E930" s="2" t="s">
        <v>2795</v>
      </c>
      <c r="F930" s="2" t="s">
        <v>2796</v>
      </c>
      <c r="G930" s="2" t="s">
        <v>464</v>
      </c>
      <c r="H930" s="2" t="s">
        <v>88</v>
      </c>
      <c r="I930" s="2" t="s">
        <v>89</v>
      </c>
      <c r="J930" s="2" t="s">
        <v>66</v>
      </c>
      <c r="K930" s="2" t="s">
        <v>38</v>
      </c>
      <c r="L930" s="2" t="s">
        <v>39</v>
      </c>
      <c r="M930" s="2" t="s">
        <v>39</v>
      </c>
      <c r="N930" s="2" t="s">
        <v>38</v>
      </c>
      <c r="O930" s="2" t="s">
        <v>38</v>
      </c>
      <c r="P930" s="2" t="s">
        <v>39</v>
      </c>
      <c r="Q930" s="2" t="s">
        <v>38</v>
      </c>
      <c r="R930" s="2" t="s">
        <v>38</v>
      </c>
      <c r="S930" s="2" t="s">
        <v>38</v>
      </c>
      <c r="T930" s="2" t="s">
        <v>38</v>
      </c>
      <c r="U930" s="2" t="s">
        <v>38</v>
      </c>
      <c r="V930" s="2" t="s">
        <v>38</v>
      </c>
      <c r="W930" s="2" t="s">
        <v>38</v>
      </c>
      <c r="X930" s="2" t="s">
        <v>38</v>
      </c>
      <c r="Y930" s="2" t="s">
        <v>38</v>
      </c>
      <c r="Z930" s="2" t="s">
        <v>38</v>
      </c>
      <c r="AA930" s="2" t="s">
        <v>38</v>
      </c>
      <c r="AB930" s="2" t="s">
        <v>38</v>
      </c>
      <c r="AC930" s="2" t="s">
        <v>39</v>
      </c>
      <c r="AD930" s="2" t="s">
        <v>38</v>
      </c>
      <c r="AE930" s="2" t="s">
        <v>39</v>
      </c>
    </row>
    <row r="931" spans="1:31" ht="409.5">
      <c r="A931" s="2">
        <v>2649087</v>
      </c>
      <c r="B931" s="2">
        <f>HYPERLINK("https://platform.v2.vetology.net/cases/2649087/screening-report/18?type=pdf&amp;v=v6&amp;scorecard=1&amp;secret_key=BX%25IJ%24%2F65ieZ%29f6", 2649087)</f>
        <v>2649087</v>
      </c>
      <c r="C931" s="2">
        <f>HYPERLINK("https://platform.v2.vetology.net/report/v/final/"&amp;2649087, 2649087)</f>
        <v>2649087</v>
      </c>
      <c r="D931" s="2" t="s">
        <v>2797</v>
      </c>
      <c r="E931" s="2" t="s">
        <v>2798</v>
      </c>
      <c r="F931" s="2" t="s">
        <v>2799</v>
      </c>
      <c r="G931" s="2" t="s">
        <v>58</v>
      </c>
      <c r="H931" s="2" t="s">
        <v>2800</v>
      </c>
      <c r="I931" s="2" t="s">
        <v>214</v>
      </c>
      <c r="J931" s="2" t="s">
        <v>50</v>
      </c>
      <c r="K931" s="2" t="s">
        <v>38</v>
      </c>
      <c r="L931" s="2" t="s">
        <v>39</v>
      </c>
      <c r="M931" s="2" t="s">
        <v>39</v>
      </c>
      <c r="N931" s="2" t="s">
        <v>38</v>
      </c>
      <c r="O931" s="2" t="s">
        <v>38</v>
      </c>
      <c r="P931" s="2" t="s">
        <v>38</v>
      </c>
      <c r="Q931" s="2" t="s">
        <v>38</v>
      </c>
      <c r="R931" s="2" t="s">
        <v>38</v>
      </c>
      <c r="S931" s="2" t="s">
        <v>38</v>
      </c>
      <c r="T931" s="2" t="s">
        <v>38</v>
      </c>
      <c r="U931" s="2" t="s">
        <v>38</v>
      </c>
      <c r="V931" s="2" t="s">
        <v>38</v>
      </c>
      <c r="W931" s="2" t="s">
        <v>38</v>
      </c>
      <c r="X931" s="2" t="s">
        <v>38</v>
      </c>
      <c r="Y931" s="2" t="s">
        <v>38</v>
      </c>
      <c r="Z931" s="2" t="s">
        <v>38</v>
      </c>
      <c r="AA931" s="2" t="s">
        <v>38</v>
      </c>
      <c r="AB931" s="2" t="s">
        <v>39</v>
      </c>
      <c r="AC931" s="2" t="s">
        <v>38</v>
      </c>
      <c r="AD931" s="2" t="s">
        <v>38</v>
      </c>
      <c r="AE931" s="2" t="s">
        <v>38</v>
      </c>
    </row>
    <row r="932" spans="1:31" ht="409.5">
      <c r="A932" s="2">
        <v>2648969</v>
      </c>
      <c r="B932" s="2">
        <f>HYPERLINK("https://platform.v2.vetology.net/cases/2648969/screening-report/18?type=pdf&amp;v=v6&amp;scorecard=1&amp;secret_key=BX%25IJ%24%2F65ieZ%29f6", 2648969)</f>
        <v>2648969</v>
      </c>
      <c r="C932" s="2">
        <f>HYPERLINK("https://platform.v2.vetology.net/report/v/final/"&amp;2648969, 2648969)</f>
        <v>2648969</v>
      </c>
      <c r="D932" s="2" t="s">
        <v>2801</v>
      </c>
      <c r="E932" s="2" t="s">
        <v>2802</v>
      </c>
      <c r="F932" s="2" t="s">
        <v>2803</v>
      </c>
      <c r="G932" s="2" t="s">
        <v>464</v>
      </c>
      <c r="H932" s="2" t="s">
        <v>129</v>
      </c>
      <c r="I932" s="2" t="s">
        <v>44</v>
      </c>
      <c r="J932" s="2" t="s">
        <v>106</v>
      </c>
      <c r="K932" s="2" t="s">
        <v>38</v>
      </c>
      <c r="L932" s="2" t="s">
        <v>38</v>
      </c>
      <c r="M932" s="2" t="s">
        <v>39</v>
      </c>
      <c r="N932" s="2" t="s">
        <v>38</v>
      </c>
      <c r="O932" s="2" t="s">
        <v>38</v>
      </c>
      <c r="P932" s="2" t="s">
        <v>38</v>
      </c>
      <c r="Q932" s="2" t="s">
        <v>38</v>
      </c>
      <c r="R932" s="2" t="s">
        <v>38</v>
      </c>
      <c r="S932" s="2" t="s">
        <v>38</v>
      </c>
      <c r="T932" s="2" t="s">
        <v>39</v>
      </c>
      <c r="U932" s="2" t="s">
        <v>38</v>
      </c>
      <c r="V932" s="2" t="s">
        <v>39</v>
      </c>
      <c r="W932" s="2" t="s">
        <v>38</v>
      </c>
      <c r="X932" s="2" t="s">
        <v>39</v>
      </c>
      <c r="Y932" s="2" t="s">
        <v>38</v>
      </c>
      <c r="Z932" s="2" t="s">
        <v>38</v>
      </c>
      <c r="AA932" s="2" t="s">
        <v>38</v>
      </c>
      <c r="AB932" s="2" t="s">
        <v>39</v>
      </c>
      <c r="AC932" s="2" t="s">
        <v>39</v>
      </c>
      <c r="AD932" s="2" t="s">
        <v>38</v>
      </c>
      <c r="AE932" s="2" t="s">
        <v>38</v>
      </c>
    </row>
    <row r="933" spans="1:31" ht="409.5">
      <c r="A933" s="2">
        <v>2648898</v>
      </c>
      <c r="B933" s="2">
        <f>HYPERLINK("https://platform.v2.vetology.net/cases/2648898/screening-report/18?type=pdf&amp;v=v6&amp;scorecard=1&amp;secret_key=BX%25IJ%24%2F65ieZ%29f6", 2648898)</f>
        <v>2648898</v>
      </c>
      <c r="C933" s="2">
        <f>HYPERLINK("https://platform.v2.vetology.net/report/v/final/"&amp;2648898, 2648898)</f>
        <v>2648898</v>
      </c>
      <c r="D933" s="2" t="s">
        <v>2804</v>
      </c>
      <c r="E933" s="2" t="s">
        <v>2805</v>
      </c>
      <c r="F933" s="2" t="s">
        <v>81</v>
      </c>
      <c r="G933" s="2" t="s">
        <v>150</v>
      </c>
      <c r="H933" s="2" t="s">
        <v>607</v>
      </c>
      <c r="I933" s="2" t="s">
        <v>137</v>
      </c>
      <c r="J933" s="2" t="s">
        <v>66</v>
      </c>
      <c r="K933" s="2" t="s">
        <v>38</v>
      </c>
      <c r="L933" s="2" t="s">
        <v>38</v>
      </c>
      <c r="M933" s="2" t="s">
        <v>38</v>
      </c>
      <c r="N933" s="2" t="s">
        <v>38</v>
      </c>
      <c r="O933" s="2" t="s">
        <v>38</v>
      </c>
      <c r="P933" s="2" t="s">
        <v>38</v>
      </c>
      <c r="Q933" s="2" t="s">
        <v>38</v>
      </c>
      <c r="R933" s="2" t="s">
        <v>38</v>
      </c>
      <c r="S933" s="2" t="s">
        <v>38</v>
      </c>
      <c r="T933" s="2" t="s">
        <v>38</v>
      </c>
      <c r="U933" s="2" t="s">
        <v>38</v>
      </c>
      <c r="V933" s="2" t="s">
        <v>38</v>
      </c>
      <c r="W933" s="2" t="s">
        <v>38</v>
      </c>
      <c r="X933" s="2" t="s">
        <v>38</v>
      </c>
      <c r="Y933" s="2" t="s">
        <v>38</v>
      </c>
      <c r="Z933" s="2" t="s">
        <v>38</v>
      </c>
      <c r="AA933" s="2" t="s">
        <v>38</v>
      </c>
      <c r="AB933" s="2" t="s">
        <v>38</v>
      </c>
      <c r="AC933" s="2" t="s">
        <v>38</v>
      </c>
      <c r="AD933" s="2" t="s">
        <v>38</v>
      </c>
      <c r="AE933" s="2" t="s">
        <v>39</v>
      </c>
    </row>
    <row r="934" spans="1:31" ht="409.5">
      <c r="A934" s="2">
        <v>2648854</v>
      </c>
      <c r="B934" s="2">
        <f>HYPERLINK("https://platform.v2.vetology.net/cases/2648854/screening-report/18?type=pdf&amp;v=v6&amp;scorecard=1&amp;secret_key=BX%25IJ%24%2F65ieZ%29f6", 2648854)</f>
        <v>2648854</v>
      </c>
      <c r="C934" s="2">
        <f>HYPERLINK("https://platform.v2.vetology.net/report/v/final/"&amp;2648854, 2648854)</f>
        <v>2648854</v>
      </c>
      <c r="D934" s="2" t="s">
        <v>2806</v>
      </c>
      <c r="E934" s="2" t="s">
        <v>1842</v>
      </c>
      <c r="F934" s="2" t="s">
        <v>2807</v>
      </c>
      <c r="G934" s="2" t="s">
        <v>70</v>
      </c>
      <c r="H934" s="2" t="s">
        <v>1261</v>
      </c>
      <c r="I934" s="2" t="s">
        <v>137</v>
      </c>
      <c r="J934" s="2" t="s">
        <v>66</v>
      </c>
      <c r="K934" s="2" t="s">
        <v>38</v>
      </c>
      <c r="L934" s="2" t="s">
        <v>38</v>
      </c>
      <c r="M934" s="2" t="s">
        <v>38</v>
      </c>
      <c r="N934" s="2" t="s">
        <v>38</v>
      </c>
      <c r="O934" s="2" t="s">
        <v>38</v>
      </c>
      <c r="P934" s="2" t="s">
        <v>38</v>
      </c>
      <c r="Q934" s="2" t="s">
        <v>38</v>
      </c>
      <c r="R934" s="2" t="s">
        <v>38</v>
      </c>
      <c r="S934" s="2" t="s">
        <v>38</v>
      </c>
      <c r="T934" s="2" t="s">
        <v>39</v>
      </c>
      <c r="U934" s="2" t="s">
        <v>38</v>
      </c>
      <c r="V934" s="2" t="s">
        <v>39</v>
      </c>
      <c r="W934" s="2" t="s">
        <v>38</v>
      </c>
      <c r="X934" s="2" t="s">
        <v>39</v>
      </c>
      <c r="Y934" s="2" t="s">
        <v>38</v>
      </c>
      <c r="Z934" s="2" t="s">
        <v>38</v>
      </c>
      <c r="AA934" s="2" t="s">
        <v>38</v>
      </c>
      <c r="AB934" s="2" t="s">
        <v>38</v>
      </c>
      <c r="AC934" s="2" t="s">
        <v>38</v>
      </c>
      <c r="AD934" s="2" t="s">
        <v>38</v>
      </c>
      <c r="AE934" s="2" t="s">
        <v>39</v>
      </c>
    </row>
    <row r="935" spans="1:31" ht="409.5">
      <c r="A935" s="2">
        <v>2648702</v>
      </c>
      <c r="B935" s="2">
        <f>HYPERLINK("https://platform.v2.vetology.net/cases/2648702/screening-report/18?type=pdf&amp;v=v6&amp;scorecard=1&amp;secret_key=BX%25IJ%24%2F65ieZ%29f6", 2648702)</f>
        <v>2648702</v>
      </c>
      <c r="C935" s="2">
        <f>HYPERLINK("https://platform.v2.vetology.net/report/v/final/"&amp;2648702, 2648702)</f>
        <v>2648702</v>
      </c>
      <c r="D935" s="2" t="s">
        <v>2808</v>
      </c>
      <c r="E935" s="2" t="s">
        <v>2809</v>
      </c>
      <c r="F935" s="2" t="s">
        <v>81</v>
      </c>
      <c r="G935" s="2" t="s">
        <v>268</v>
      </c>
      <c r="H935" s="2" t="s">
        <v>1526</v>
      </c>
      <c r="I935" s="2" t="s">
        <v>1118</v>
      </c>
      <c r="J935" s="2" t="s">
        <v>1119</v>
      </c>
      <c r="K935" s="2" t="s">
        <v>38</v>
      </c>
      <c r="L935" s="2" t="s">
        <v>39</v>
      </c>
      <c r="M935" s="2" t="s">
        <v>38</v>
      </c>
      <c r="N935" s="2" t="s">
        <v>38</v>
      </c>
      <c r="O935" s="2" t="s">
        <v>38</v>
      </c>
      <c r="P935" s="2" t="s">
        <v>38</v>
      </c>
      <c r="Q935" s="2" t="s">
        <v>38</v>
      </c>
      <c r="R935" s="2" t="s">
        <v>38</v>
      </c>
      <c r="S935" s="2" t="s">
        <v>39</v>
      </c>
      <c r="T935" s="2" t="s">
        <v>39</v>
      </c>
      <c r="U935" s="2" t="s">
        <v>38</v>
      </c>
      <c r="V935" s="2" t="s">
        <v>39</v>
      </c>
      <c r="W935" s="2" t="s">
        <v>38</v>
      </c>
      <c r="X935" s="2" t="s">
        <v>39</v>
      </c>
      <c r="Y935" s="2" t="s">
        <v>38</v>
      </c>
      <c r="Z935" s="2" t="s">
        <v>38</v>
      </c>
      <c r="AA935" s="2" t="s">
        <v>38</v>
      </c>
      <c r="AB935" s="2" t="s">
        <v>38</v>
      </c>
      <c r="AC935" s="2" t="s">
        <v>38</v>
      </c>
      <c r="AD935" s="2" t="s">
        <v>38</v>
      </c>
      <c r="AE935" s="2" t="s">
        <v>38</v>
      </c>
    </row>
    <row r="936" spans="1:31" ht="409.5">
      <c r="A936" s="2">
        <v>2648558</v>
      </c>
      <c r="B936" s="2">
        <f>HYPERLINK("https://platform.v2.vetology.net/cases/2648558/screening-report/18?type=pdf&amp;v=v6&amp;scorecard=1&amp;secret_key=BX%25IJ%24%2F65ieZ%29f6", 2648558)</f>
        <v>2648558</v>
      </c>
      <c r="C936" s="2">
        <f>HYPERLINK("https://platform.v2.vetology.net/report/v/final/"&amp;2648558, 2648558)</f>
        <v>2648558</v>
      </c>
      <c r="D936" s="2" t="s">
        <v>608</v>
      </c>
      <c r="E936" s="2" t="s">
        <v>617</v>
      </c>
      <c r="F936" s="2" t="s">
        <v>2810</v>
      </c>
      <c r="G936" s="2" t="s">
        <v>135</v>
      </c>
      <c r="H936" s="2" t="s">
        <v>54</v>
      </c>
      <c r="I936" s="2" t="s">
        <v>44</v>
      </c>
      <c r="J936" s="2"/>
      <c r="K936" s="2" t="s">
        <v>38</v>
      </c>
      <c r="L936" s="2" t="s">
        <v>38</v>
      </c>
      <c r="M936" s="2" t="s">
        <v>39</v>
      </c>
      <c r="N936" s="2" t="s">
        <v>38</v>
      </c>
      <c r="O936" s="2" t="s">
        <v>38</v>
      </c>
      <c r="P936" s="2" t="s">
        <v>38</v>
      </c>
      <c r="Q936" s="2" t="s">
        <v>38</v>
      </c>
      <c r="R936" s="2" t="s">
        <v>38</v>
      </c>
      <c r="S936" s="2" t="s">
        <v>38</v>
      </c>
      <c r="T936" s="2" t="s">
        <v>39</v>
      </c>
      <c r="U936" s="2" t="s">
        <v>38</v>
      </c>
      <c r="V936" s="2" t="s">
        <v>39</v>
      </c>
      <c r="W936" s="2" t="s">
        <v>38</v>
      </c>
      <c r="X936" s="2" t="s">
        <v>39</v>
      </c>
      <c r="Y936" s="2" t="s">
        <v>38</v>
      </c>
      <c r="Z936" s="2" t="s">
        <v>38</v>
      </c>
      <c r="AA936" s="2" t="s">
        <v>38</v>
      </c>
      <c r="AB936" s="2" t="s">
        <v>38</v>
      </c>
      <c r="AC936" s="2" t="s">
        <v>38</v>
      </c>
      <c r="AD936" s="2" t="s">
        <v>38</v>
      </c>
      <c r="AE936" s="2" t="s">
        <v>38</v>
      </c>
    </row>
    <row r="937" spans="1:31" ht="409.5">
      <c r="A937" s="2">
        <v>2648554</v>
      </c>
      <c r="B937" s="2">
        <f>HYPERLINK("https://platform.v2.vetology.net/cases/2648554/screening-report/18?type=pdf&amp;v=v6&amp;scorecard=1&amp;secret_key=BX%25IJ%24%2F65ieZ%29f6", 2648554)</f>
        <v>2648554</v>
      </c>
      <c r="C937" s="2">
        <f>HYPERLINK("https://platform.v2.vetology.net/report/v/final/"&amp;2648554, 2648554)</f>
        <v>2648554</v>
      </c>
      <c r="D937" s="2" t="s">
        <v>2811</v>
      </c>
      <c r="E937" s="2" t="s">
        <v>2812</v>
      </c>
      <c r="F937" s="2" t="s">
        <v>2813</v>
      </c>
      <c r="G937" s="2" t="s">
        <v>93</v>
      </c>
      <c r="H937" s="2" t="s">
        <v>43</v>
      </c>
      <c r="I937" s="2" t="s">
        <v>199</v>
      </c>
      <c r="J937" s="2"/>
      <c r="K937" s="2" t="s">
        <v>38</v>
      </c>
      <c r="L937" s="2" t="s">
        <v>39</v>
      </c>
      <c r="M937" s="2" t="s">
        <v>39</v>
      </c>
      <c r="N937" s="2" t="s">
        <v>38</v>
      </c>
      <c r="O937" s="2" t="s">
        <v>38</v>
      </c>
      <c r="P937" s="2" t="s">
        <v>38</v>
      </c>
      <c r="Q937" s="2" t="s">
        <v>38</v>
      </c>
      <c r="R937" s="2" t="s">
        <v>38</v>
      </c>
      <c r="S937" s="2" t="s">
        <v>38</v>
      </c>
      <c r="T937" s="2" t="s">
        <v>39</v>
      </c>
      <c r="U937" s="2" t="s">
        <v>39</v>
      </c>
      <c r="V937" s="2" t="s">
        <v>38</v>
      </c>
      <c r="W937" s="2" t="s">
        <v>38</v>
      </c>
      <c r="X937" s="2" t="s">
        <v>38</v>
      </c>
      <c r="Y937" s="2" t="s">
        <v>38</v>
      </c>
      <c r="Z937" s="2" t="s">
        <v>39</v>
      </c>
      <c r="AA937" s="2" t="s">
        <v>38</v>
      </c>
      <c r="AB937" s="2" t="s">
        <v>39</v>
      </c>
      <c r="AC937" s="2" t="s">
        <v>39</v>
      </c>
      <c r="AD937" s="2" t="s">
        <v>38</v>
      </c>
      <c r="AE937" s="2" t="s">
        <v>38</v>
      </c>
    </row>
    <row r="938" spans="1:31" ht="409.5">
      <c r="A938" s="2">
        <v>2648383</v>
      </c>
      <c r="B938" s="2">
        <f>HYPERLINK("https://platform.v2.vetology.net/cases/2648383/screening-report/18?type=pdf&amp;v=v6&amp;scorecard=1&amp;secret_key=BX%25IJ%24%2F65ieZ%29f6", 2648383)</f>
        <v>2648383</v>
      </c>
      <c r="C938" s="2">
        <f>HYPERLINK("https://platform.v2.vetology.net/report/v/final/"&amp;2648383, 2648383)</f>
        <v>2648383</v>
      </c>
      <c r="D938" s="2" t="s">
        <v>2814</v>
      </c>
      <c r="E938" s="2" t="s">
        <v>2815</v>
      </c>
      <c r="F938" s="2" t="s">
        <v>81</v>
      </c>
      <c r="G938" s="2" t="s">
        <v>82</v>
      </c>
      <c r="H938" s="2" t="s">
        <v>54</v>
      </c>
      <c r="I938" s="2" t="s">
        <v>44</v>
      </c>
      <c r="J938" s="2"/>
      <c r="K938" s="2" t="s">
        <v>38</v>
      </c>
      <c r="L938" s="2" t="s">
        <v>38</v>
      </c>
      <c r="M938" s="2" t="s">
        <v>38</v>
      </c>
      <c r="N938" s="2" t="s">
        <v>38</v>
      </c>
      <c r="O938" s="2" t="s">
        <v>38</v>
      </c>
      <c r="P938" s="2" t="s">
        <v>38</v>
      </c>
      <c r="Q938" s="2" t="s">
        <v>38</v>
      </c>
      <c r="R938" s="2" t="s">
        <v>38</v>
      </c>
      <c r="S938" s="2" t="s">
        <v>38</v>
      </c>
      <c r="T938" s="2" t="s">
        <v>38</v>
      </c>
      <c r="U938" s="2" t="s">
        <v>38</v>
      </c>
      <c r="V938" s="2" t="s">
        <v>38</v>
      </c>
      <c r="W938" s="2" t="s">
        <v>38</v>
      </c>
      <c r="X938" s="2" t="s">
        <v>38</v>
      </c>
      <c r="Y938" s="2" t="s">
        <v>38</v>
      </c>
      <c r="Z938" s="2" t="s">
        <v>38</v>
      </c>
      <c r="AA938" s="2" t="s">
        <v>38</v>
      </c>
      <c r="AB938" s="2" t="s">
        <v>38</v>
      </c>
      <c r="AC938" s="2" t="s">
        <v>38</v>
      </c>
      <c r="AD938" s="2" t="s">
        <v>38</v>
      </c>
      <c r="AE938" s="2" t="s">
        <v>39</v>
      </c>
    </row>
    <row r="939" spans="1:31" ht="409.5">
      <c r="A939" s="2">
        <v>2648148</v>
      </c>
      <c r="B939" s="2">
        <f>HYPERLINK("https://platform.v2.vetology.net/cases/2648148/screening-report/18?type=pdf&amp;v=v6&amp;scorecard=1&amp;secret_key=BX%25IJ%24%2F65ieZ%29f6", 2648148)</f>
        <v>2648148</v>
      </c>
      <c r="C939" s="2">
        <f>HYPERLINK("https://platform.v2.vetology.net/report/v/final/"&amp;2648148, 2648148)</f>
        <v>2648148</v>
      </c>
      <c r="D939" s="2" t="s">
        <v>2816</v>
      </c>
      <c r="E939" s="2" t="s">
        <v>2817</v>
      </c>
      <c r="F939" s="2" t="s">
        <v>2818</v>
      </c>
      <c r="G939" s="2" t="s">
        <v>58</v>
      </c>
      <c r="H939" s="2" t="s">
        <v>54</v>
      </c>
      <c r="I939" s="2" t="s">
        <v>44</v>
      </c>
      <c r="J939" s="2" t="s">
        <v>106</v>
      </c>
      <c r="K939" s="2" t="s">
        <v>38</v>
      </c>
      <c r="L939" s="2" t="s">
        <v>39</v>
      </c>
      <c r="M939" s="2" t="s">
        <v>38</v>
      </c>
      <c r="N939" s="2" t="s">
        <v>38</v>
      </c>
      <c r="O939" s="2" t="s">
        <v>38</v>
      </c>
      <c r="P939" s="2" t="s">
        <v>38</v>
      </c>
      <c r="Q939" s="2" t="s">
        <v>38</v>
      </c>
      <c r="R939" s="2" t="s">
        <v>38</v>
      </c>
      <c r="S939" s="2" t="s">
        <v>38</v>
      </c>
      <c r="T939" s="2" t="s">
        <v>39</v>
      </c>
      <c r="U939" s="2" t="s">
        <v>38</v>
      </c>
      <c r="V939" s="2" t="s">
        <v>39</v>
      </c>
      <c r="W939" s="2" t="s">
        <v>38</v>
      </c>
      <c r="X939" s="2" t="s">
        <v>39</v>
      </c>
      <c r="Y939" s="2" t="s">
        <v>38</v>
      </c>
      <c r="Z939" s="2" t="s">
        <v>38</v>
      </c>
      <c r="AA939" s="2" t="s">
        <v>38</v>
      </c>
      <c r="AB939" s="2" t="s">
        <v>38</v>
      </c>
      <c r="AC939" s="2" t="s">
        <v>38</v>
      </c>
      <c r="AD939" s="2" t="s">
        <v>38</v>
      </c>
      <c r="AE939" s="2" t="s">
        <v>38</v>
      </c>
    </row>
    <row r="940" spans="1:31" ht="409.5">
      <c r="A940" s="2">
        <v>2648136</v>
      </c>
      <c r="B940" s="2">
        <f>HYPERLINK("https://platform.v2.vetology.net/cases/2648136/screening-report/18?type=pdf&amp;v=v6&amp;scorecard=1&amp;secret_key=BX%25IJ%24%2F65ieZ%29f6", 2648136)</f>
        <v>2648136</v>
      </c>
      <c r="C940" s="2">
        <f>HYPERLINK("https://platform.v2.vetology.net/report/v/final/"&amp;2648136, 2648136)</f>
        <v>2648136</v>
      </c>
      <c r="D940" s="2" t="s">
        <v>2819</v>
      </c>
      <c r="E940" s="2" t="s">
        <v>2820</v>
      </c>
      <c r="F940" s="2" t="s">
        <v>2821</v>
      </c>
      <c r="G940" s="2" t="s">
        <v>464</v>
      </c>
      <c r="H940" s="2" t="s">
        <v>54</v>
      </c>
      <c r="I940" s="2" t="s">
        <v>44</v>
      </c>
      <c r="J940" s="2"/>
      <c r="K940" s="2" t="s">
        <v>38</v>
      </c>
      <c r="L940" s="2" t="s">
        <v>39</v>
      </c>
      <c r="M940" s="2" t="s">
        <v>39</v>
      </c>
      <c r="N940" s="2" t="s">
        <v>38</v>
      </c>
      <c r="O940" s="2" t="s">
        <v>38</v>
      </c>
      <c r="P940" s="2" t="s">
        <v>38</v>
      </c>
      <c r="Q940" s="2" t="s">
        <v>39</v>
      </c>
      <c r="R940" s="2" t="s">
        <v>38</v>
      </c>
      <c r="S940" s="2" t="s">
        <v>39</v>
      </c>
      <c r="T940" s="2" t="s">
        <v>39</v>
      </c>
      <c r="U940" s="2" t="s">
        <v>39</v>
      </c>
      <c r="V940" s="2" t="s">
        <v>38</v>
      </c>
      <c r="W940" s="2" t="s">
        <v>38</v>
      </c>
      <c r="X940" s="2" t="s">
        <v>38</v>
      </c>
      <c r="Y940" s="2" t="s">
        <v>38</v>
      </c>
      <c r="Z940" s="2" t="s">
        <v>39</v>
      </c>
      <c r="AA940" s="2" t="s">
        <v>38</v>
      </c>
      <c r="AB940" s="2" t="s">
        <v>38</v>
      </c>
      <c r="AC940" s="2" t="s">
        <v>38</v>
      </c>
      <c r="AD940" s="2" t="s">
        <v>38</v>
      </c>
      <c r="AE940" s="2" t="s">
        <v>38</v>
      </c>
    </row>
    <row r="941" spans="1:31" ht="409.5">
      <c r="A941" s="2">
        <v>2648113</v>
      </c>
      <c r="B941" s="2">
        <f>HYPERLINK("https://platform.v2.vetology.net/cases/2648113/screening-report/18?type=pdf&amp;v=v6&amp;scorecard=1&amp;secret_key=BX%25IJ%24%2F65ieZ%29f6", 2648113)</f>
        <v>2648113</v>
      </c>
      <c r="C941" s="2">
        <f>HYPERLINK("https://platform.v2.vetology.net/report/v/final/"&amp;2648113, 2648113)</f>
        <v>2648113</v>
      </c>
      <c r="D941" s="2" t="s">
        <v>303</v>
      </c>
      <c r="E941" s="2" t="s">
        <v>304</v>
      </c>
      <c r="F941" s="2"/>
      <c r="G941" s="2" t="s">
        <v>150</v>
      </c>
      <c r="H941" s="2" t="s">
        <v>54</v>
      </c>
      <c r="I941" s="2" t="s">
        <v>44</v>
      </c>
      <c r="J941" s="2" t="s">
        <v>106</v>
      </c>
      <c r="K941" s="2" t="s">
        <v>38</v>
      </c>
      <c r="L941" s="2" t="s">
        <v>38</v>
      </c>
      <c r="M941" s="2" t="s">
        <v>38</v>
      </c>
      <c r="N941" s="2" t="s">
        <v>38</v>
      </c>
      <c r="O941" s="2" t="s">
        <v>38</v>
      </c>
      <c r="P941" s="2" t="s">
        <v>38</v>
      </c>
      <c r="Q941" s="2" t="s">
        <v>38</v>
      </c>
      <c r="R941" s="2" t="s">
        <v>38</v>
      </c>
      <c r="S941" s="2" t="s">
        <v>38</v>
      </c>
      <c r="T941" s="2" t="s">
        <v>39</v>
      </c>
      <c r="U941" s="2" t="s">
        <v>38</v>
      </c>
      <c r="V941" s="2" t="s">
        <v>39</v>
      </c>
      <c r="W941" s="2" t="s">
        <v>38</v>
      </c>
      <c r="X941" s="2" t="s">
        <v>39</v>
      </c>
      <c r="Y941" s="2" t="s">
        <v>38</v>
      </c>
      <c r="Z941" s="2" t="s">
        <v>38</v>
      </c>
      <c r="AA941" s="2" t="s">
        <v>38</v>
      </c>
      <c r="AB941" s="2" t="s">
        <v>38</v>
      </c>
      <c r="AC941" s="2" t="s">
        <v>38</v>
      </c>
      <c r="AD941" s="2" t="s">
        <v>38</v>
      </c>
      <c r="AE941" s="2" t="s">
        <v>38</v>
      </c>
    </row>
    <row r="942" spans="1:31" ht="409.5">
      <c r="A942" s="2">
        <v>2648067</v>
      </c>
      <c r="B942" s="2">
        <f>HYPERLINK("https://platform.v2.vetology.net/cases/2648067/screening-report/18?type=pdf&amp;v=v6&amp;scorecard=1&amp;secret_key=BX%25IJ%24%2F65ieZ%29f6", 2648067)</f>
        <v>2648067</v>
      </c>
      <c r="C942" s="2">
        <f>HYPERLINK("https://platform.v2.vetology.net/report/v/final/"&amp;2648067, 2648067)</f>
        <v>2648067</v>
      </c>
      <c r="D942" s="2" t="s">
        <v>2822</v>
      </c>
      <c r="E942" s="2" t="s">
        <v>2823</v>
      </c>
      <c r="F942" s="2" t="s">
        <v>2824</v>
      </c>
      <c r="G942" s="2" t="s">
        <v>464</v>
      </c>
      <c r="H942" s="2" t="s">
        <v>244</v>
      </c>
      <c r="I942" s="2" t="s">
        <v>245</v>
      </c>
      <c r="J942" s="2" t="s">
        <v>246</v>
      </c>
      <c r="K942" s="2" t="s">
        <v>38</v>
      </c>
      <c r="L942" s="2" t="s">
        <v>39</v>
      </c>
      <c r="M942" s="2" t="s">
        <v>39</v>
      </c>
      <c r="N942" s="2" t="s">
        <v>38</v>
      </c>
      <c r="O942" s="2" t="s">
        <v>38</v>
      </c>
      <c r="P942" s="2" t="s">
        <v>39</v>
      </c>
      <c r="Q942" s="2" t="s">
        <v>38</v>
      </c>
      <c r="R942" s="2" t="s">
        <v>38</v>
      </c>
      <c r="S942" s="2" t="s">
        <v>38</v>
      </c>
      <c r="T942" s="2" t="s">
        <v>39</v>
      </c>
      <c r="U942" s="2" t="s">
        <v>39</v>
      </c>
      <c r="V942" s="2" t="s">
        <v>39</v>
      </c>
      <c r="W942" s="2" t="s">
        <v>38</v>
      </c>
      <c r="X942" s="2" t="s">
        <v>39</v>
      </c>
      <c r="Y942" s="2" t="s">
        <v>38</v>
      </c>
      <c r="Z942" s="2" t="s">
        <v>38</v>
      </c>
      <c r="AA942" s="2" t="s">
        <v>38</v>
      </c>
      <c r="AB942" s="2" t="s">
        <v>38</v>
      </c>
      <c r="AC942" s="2" t="s">
        <v>39</v>
      </c>
      <c r="AD942" s="2" t="s">
        <v>38</v>
      </c>
      <c r="AE942" s="2" t="s">
        <v>39</v>
      </c>
    </row>
    <row r="943" spans="1:31" ht="409.5">
      <c r="A943" s="2">
        <v>2647586</v>
      </c>
      <c r="B943" s="2">
        <f>HYPERLINK("https://platform.v2.vetology.net/cases/2647586/screening-report/18?type=pdf&amp;v=v6&amp;scorecard=1&amp;secret_key=BX%25IJ%24%2F65ieZ%29f6", 2647586)</f>
        <v>2647586</v>
      </c>
      <c r="C943" s="2">
        <f>HYPERLINK("https://platform.v2.vetology.net/report/v/final/"&amp;2647586, 2647586)</f>
        <v>2647586</v>
      </c>
      <c r="D943" s="2" t="s">
        <v>2825</v>
      </c>
      <c r="E943" s="2" t="s">
        <v>2826</v>
      </c>
      <c r="F943" s="2" t="s">
        <v>1444</v>
      </c>
      <c r="G943" s="2" t="s">
        <v>464</v>
      </c>
      <c r="H943" s="2" t="s">
        <v>2827</v>
      </c>
      <c r="I943" s="2" t="s">
        <v>207</v>
      </c>
      <c r="J943" s="2" t="s">
        <v>208</v>
      </c>
      <c r="K943" s="2" t="s">
        <v>38</v>
      </c>
      <c r="L943" s="2" t="s">
        <v>39</v>
      </c>
      <c r="M943" s="2" t="s">
        <v>38</v>
      </c>
      <c r="N943" s="2" t="s">
        <v>38</v>
      </c>
      <c r="O943" s="2" t="s">
        <v>38</v>
      </c>
      <c r="P943" s="2" t="s">
        <v>39</v>
      </c>
      <c r="Q943" s="2" t="s">
        <v>38</v>
      </c>
      <c r="R943" s="2" t="s">
        <v>38</v>
      </c>
      <c r="S943" s="2" t="s">
        <v>38</v>
      </c>
      <c r="T943" s="2" t="s">
        <v>39</v>
      </c>
      <c r="U943" s="2" t="s">
        <v>38</v>
      </c>
      <c r="V943" s="2" t="s">
        <v>39</v>
      </c>
      <c r="W943" s="2" t="s">
        <v>38</v>
      </c>
      <c r="X943" s="2" t="s">
        <v>39</v>
      </c>
      <c r="Y943" s="2" t="s">
        <v>38</v>
      </c>
      <c r="Z943" s="2" t="s">
        <v>38</v>
      </c>
      <c r="AA943" s="2" t="s">
        <v>38</v>
      </c>
      <c r="AB943" s="2" t="s">
        <v>38</v>
      </c>
      <c r="AC943" s="2" t="s">
        <v>38</v>
      </c>
      <c r="AD943" s="2" t="s">
        <v>38</v>
      </c>
      <c r="AE943" s="2" t="s">
        <v>38</v>
      </c>
    </row>
    <row r="944" spans="1:31" ht="409.5">
      <c r="A944" s="2">
        <v>2647553</v>
      </c>
      <c r="B944" s="2">
        <f>HYPERLINK("https://platform.v2.vetology.net/cases/2647553/screening-report/18?type=pdf&amp;v=v6&amp;scorecard=1&amp;secret_key=BX%25IJ%24%2F65ieZ%29f6", 2647553)</f>
        <v>2647553</v>
      </c>
      <c r="C944" s="2">
        <f>HYPERLINK("https://platform.v2.vetology.net/report/v/final/"&amp;2647553, 2647553)</f>
        <v>2647553</v>
      </c>
      <c r="D944" s="2" t="s">
        <v>2828</v>
      </c>
      <c r="E944" s="2" t="s">
        <v>2829</v>
      </c>
      <c r="F944" s="2" t="s">
        <v>81</v>
      </c>
      <c r="G944" s="2" t="s">
        <v>82</v>
      </c>
      <c r="H944" s="2" t="s">
        <v>101</v>
      </c>
      <c r="I944" s="2" t="s">
        <v>44</v>
      </c>
      <c r="J944" s="2"/>
      <c r="K944" s="2" t="s">
        <v>38</v>
      </c>
      <c r="L944" s="2" t="s">
        <v>39</v>
      </c>
      <c r="M944" s="2" t="s">
        <v>38</v>
      </c>
      <c r="N944" s="2" t="s">
        <v>38</v>
      </c>
      <c r="O944" s="2" t="s">
        <v>38</v>
      </c>
      <c r="P944" s="2" t="s">
        <v>39</v>
      </c>
      <c r="Q944" s="2" t="s">
        <v>38</v>
      </c>
      <c r="R944" s="2" t="s">
        <v>38</v>
      </c>
      <c r="S944" s="2" t="s">
        <v>38</v>
      </c>
      <c r="T944" s="2" t="s">
        <v>39</v>
      </c>
      <c r="U944" s="2" t="s">
        <v>38</v>
      </c>
      <c r="V944" s="2" t="s">
        <v>39</v>
      </c>
      <c r="W944" s="2" t="s">
        <v>38</v>
      </c>
      <c r="X944" s="2" t="s">
        <v>39</v>
      </c>
      <c r="Y944" s="2" t="s">
        <v>38</v>
      </c>
      <c r="Z944" s="2" t="s">
        <v>39</v>
      </c>
      <c r="AA944" s="2" t="s">
        <v>38</v>
      </c>
      <c r="AB944" s="2" t="s">
        <v>39</v>
      </c>
      <c r="AC944" s="2" t="s">
        <v>38</v>
      </c>
      <c r="AD944" s="2" t="s">
        <v>38</v>
      </c>
      <c r="AE944" s="2" t="s">
        <v>38</v>
      </c>
    </row>
    <row r="945" spans="1:31" ht="409.5">
      <c r="A945" s="2">
        <v>2647474</v>
      </c>
      <c r="B945" s="2">
        <f>HYPERLINK("https://platform.v2.vetology.net/cases/2647474/screening-report/18?type=pdf&amp;v=v6&amp;scorecard=1&amp;secret_key=BX%25IJ%24%2F65ieZ%29f6", 2647474)</f>
        <v>2647474</v>
      </c>
      <c r="C945" s="2">
        <f>HYPERLINK("https://platform.v2.vetology.net/report/v/final/"&amp;2647474, 2647474)</f>
        <v>2647474</v>
      </c>
      <c r="D945" s="2" t="s">
        <v>2830</v>
      </c>
      <c r="E945" s="2" t="s">
        <v>2831</v>
      </c>
      <c r="F945" s="2" t="s">
        <v>2832</v>
      </c>
      <c r="G945" s="2" t="s">
        <v>464</v>
      </c>
      <c r="H945" s="2" t="s">
        <v>2833</v>
      </c>
      <c r="I945" s="2" t="s">
        <v>2834</v>
      </c>
      <c r="J945" s="2" t="s">
        <v>66</v>
      </c>
      <c r="K945" s="2" t="s">
        <v>38</v>
      </c>
      <c r="L945" s="2" t="s">
        <v>39</v>
      </c>
      <c r="M945" s="2" t="s">
        <v>39</v>
      </c>
      <c r="N945" s="2" t="s">
        <v>38</v>
      </c>
      <c r="O945" s="2" t="s">
        <v>39</v>
      </c>
      <c r="P945" s="2" t="s">
        <v>38</v>
      </c>
      <c r="Q945" s="2" t="s">
        <v>38</v>
      </c>
      <c r="R945" s="2" t="s">
        <v>38</v>
      </c>
      <c r="S945" s="2" t="s">
        <v>39</v>
      </c>
      <c r="T945" s="2" t="s">
        <v>39</v>
      </c>
      <c r="U945" s="2" t="s">
        <v>38</v>
      </c>
      <c r="V945" s="2" t="s">
        <v>38</v>
      </c>
      <c r="W945" s="2" t="s">
        <v>38</v>
      </c>
      <c r="X945" s="2" t="s">
        <v>38</v>
      </c>
      <c r="Y945" s="2" t="s">
        <v>38</v>
      </c>
      <c r="Z945" s="2" t="s">
        <v>39</v>
      </c>
      <c r="AA945" s="2" t="s">
        <v>38</v>
      </c>
      <c r="AB945" s="2" t="s">
        <v>39</v>
      </c>
      <c r="AC945" s="2" t="s">
        <v>38</v>
      </c>
      <c r="AD945" s="2" t="s">
        <v>38</v>
      </c>
      <c r="AE945" s="2" t="s">
        <v>38</v>
      </c>
    </row>
    <row r="946" spans="1:31" ht="409.5">
      <c r="A946" s="2">
        <v>2647469</v>
      </c>
      <c r="B946" s="2">
        <f>HYPERLINK("https://platform.v2.vetology.net/cases/2647469/screening-report/18?type=pdf&amp;v=v6&amp;scorecard=1&amp;secret_key=BX%25IJ%24%2F65ieZ%29f6", 2647469)</f>
        <v>2647469</v>
      </c>
      <c r="C946" s="2">
        <f>HYPERLINK("https://platform.v2.vetology.net/report/v/final/"&amp;2647469, 2647469)</f>
        <v>2647469</v>
      </c>
      <c r="D946" s="2" t="s">
        <v>2835</v>
      </c>
      <c r="E946" s="2" t="s">
        <v>2836</v>
      </c>
      <c r="F946" s="2" t="s">
        <v>2837</v>
      </c>
      <c r="G946" s="2" t="s">
        <v>2838</v>
      </c>
      <c r="H946" s="2" t="s">
        <v>2839</v>
      </c>
      <c r="I946" s="2" t="s">
        <v>214</v>
      </c>
      <c r="J946" s="2" t="s">
        <v>50</v>
      </c>
      <c r="K946" s="2" t="s">
        <v>38</v>
      </c>
      <c r="L946" s="2" t="s">
        <v>39</v>
      </c>
      <c r="M946" s="2" t="s">
        <v>39</v>
      </c>
      <c r="N946" s="2" t="s">
        <v>38</v>
      </c>
      <c r="O946" s="2" t="s">
        <v>38</v>
      </c>
      <c r="P946" s="2" t="s">
        <v>38</v>
      </c>
      <c r="Q946" s="2" t="s">
        <v>38</v>
      </c>
      <c r="R946" s="2" t="s">
        <v>38</v>
      </c>
      <c r="S946" s="2" t="s">
        <v>38</v>
      </c>
      <c r="T946" s="2" t="s">
        <v>39</v>
      </c>
      <c r="U946" s="2" t="s">
        <v>38</v>
      </c>
      <c r="V946" s="2" t="s">
        <v>39</v>
      </c>
      <c r="W946" s="2" t="s">
        <v>38</v>
      </c>
      <c r="X946" s="2" t="s">
        <v>39</v>
      </c>
      <c r="Y946" s="2" t="s">
        <v>38</v>
      </c>
      <c r="Z946" s="2" t="s">
        <v>39</v>
      </c>
      <c r="AA946" s="2" t="s">
        <v>38</v>
      </c>
      <c r="AB946" s="2" t="s">
        <v>38</v>
      </c>
      <c r="AC946" s="2" t="s">
        <v>39</v>
      </c>
      <c r="AD946" s="2" t="s">
        <v>38</v>
      </c>
      <c r="AE946" s="2" t="s">
        <v>38</v>
      </c>
    </row>
    <row r="947" spans="1:31" ht="409.5">
      <c r="A947" s="2">
        <v>2646777</v>
      </c>
      <c r="B947" s="2">
        <f>HYPERLINK("https://platform.v2.vetology.net/cases/2646777/screening-report/18?type=pdf&amp;v=v6&amp;scorecard=1&amp;secret_key=BX%25IJ%24%2F65ieZ%29f6", 2646777)</f>
        <v>2646777</v>
      </c>
      <c r="C947" s="2">
        <f>HYPERLINK("https://platform.v2.vetology.net/report/v/final/"&amp;2646777, 2646777)</f>
        <v>2646777</v>
      </c>
      <c r="D947" s="2" t="s">
        <v>2840</v>
      </c>
      <c r="E947" s="2" t="s">
        <v>2841</v>
      </c>
      <c r="F947" s="2" t="s">
        <v>1369</v>
      </c>
      <c r="G947" s="2" t="s">
        <v>58</v>
      </c>
      <c r="H947" s="2" t="s">
        <v>54</v>
      </c>
      <c r="I947" s="2" t="s">
        <v>44</v>
      </c>
      <c r="J947" s="2"/>
      <c r="K947" s="2" t="s">
        <v>38</v>
      </c>
      <c r="L947" s="2" t="s">
        <v>38</v>
      </c>
      <c r="M947" s="2" t="s">
        <v>38</v>
      </c>
      <c r="N947" s="2" t="s">
        <v>38</v>
      </c>
      <c r="O947" s="2" t="s">
        <v>38</v>
      </c>
      <c r="P947" s="2" t="s">
        <v>38</v>
      </c>
      <c r="Q947" s="2" t="s">
        <v>38</v>
      </c>
      <c r="R947" s="2" t="s">
        <v>38</v>
      </c>
      <c r="S947" s="2" t="s">
        <v>38</v>
      </c>
      <c r="T947" s="2" t="s">
        <v>38</v>
      </c>
      <c r="U947" s="2" t="s">
        <v>38</v>
      </c>
      <c r="V947" s="2" t="s">
        <v>38</v>
      </c>
      <c r="W947" s="2" t="s">
        <v>38</v>
      </c>
      <c r="X947" s="2" t="s">
        <v>38</v>
      </c>
      <c r="Y947" s="2" t="s">
        <v>38</v>
      </c>
      <c r="Z947" s="2" t="s">
        <v>38</v>
      </c>
      <c r="AA947" s="2" t="s">
        <v>38</v>
      </c>
      <c r="AB947" s="2" t="s">
        <v>39</v>
      </c>
      <c r="AC947" s="2" t="s">
        <v>38</v>
      </c>
      <c r="AD947" s="2" t="s">
        <v>38</v>
      </c>
      <c r="AE947" s="2" t="s">
        <v>38</v>
      </c>
    </row>
    <row r="948" spans="1:31" ht="409.5">
      <c r="A948" s="2">
        <v>2646541</v>
      </c>
      <c r="B948" s="2">
        <f>HYPERLINK("https://platform.v2.vetology.net/cases/2646541/screening-report/18?type=pdf&amp;v=v6&amp;scorecard=1&amp;secret_key=BX%25IJ%24%2F65ieZ%29f6", 2646541)</f>
        <v>2646541</v>
      </c>
      <c r="C948" s="2">
        <f>HYPERLINK("https://platform.v2.vetology.net/report/v/final/"&amp;2646541, 2646541)</f>
        <v>2646541</v>
      </c>
      <c r="D948" s="2" t="s">
        <v>2842</v>
      </c>
      <c r="E948" s="2" t="s">
        <v>617</v>
      </c>
      <c r="F948" s="2" t="s">
        <v>2843</v>
      </c>
      <c r="G948" s="2" t="s">
        <v>135</v>
      </c>
      <c r="H948" s="2" t="s">
        <v>646</v>
      </c>
      <c r="I948" s="2" t="s">
        <v>167</v>
      </c>
      <c r="J948" s="2" t="s">
        <v>168</v>
      </c>
      <c r="K948" s="2" t="s">
        <v>38</v>
      </c>
      <c r="L948" s="2" t="s">
        <v>39</v>
      </c>
      <c r="M948" s="2" t="s">
        <v>39</v>
      </c>
      <c r="N948" s="2" t="s">
        <v>38</v>
      </c>
      <c r="O948" s="2" t="s">
        <v>38</v>
      </c>
      <c r="P948" s="2" t="s">
        <v>38</v>
      </c>
      <c r="Q948" s="2" t="s">
        <v>38</v>
      </c>
      <c r="R948" s="2" t="s">
        <v>38</v>
      </c>
      <c r="S948" s="2" t="s">
        <v>39</v>
      </c>
      <c r="T948" s="2" t="s">
        <v>38</v>
      </c>
      <c r="U948" s="2" t="s">
        <v>38</v>
      </c>
      <c r="V948" s="2" t="s">
        <v>39</v>
      </c>
      <c r="W948" s="2" t="s">
        <v>38</v>
      </c>
      <c r="X948" s="2" t="s">
        <v>39</v>
      </c>
      <c r="Y948" s="2" t="s">
        <v>38</v>
      </c>
      <c r="Z948" s="2" t="s">
        <v>38</v>
      </c>
      <c r="AA948" s="2" t="s">
        <v>38</v>
      </c>
      <c r="AB948" s="2" t="s">
        <v>38</v>
      </c>
      <c r="AC948" s="2" t="s">
        <v>38</v>
      </c>
      <c r="AD948" s="2" t="s">
        <v>38</v>
      </c>
      <c r="AE948" s="2" t="s">
        <v>38</v>
      </c>
    </row>
    <row r="949" spans="1:31" ht="409.5">
      <c r="A949" s="2">
        <v>2646393</v>
      </c>
      <c r="B949" s="2">
        <f>HYPERLINK("https://platform.v2.vetology.net/cases/2646393/screening-report/18?type=pdf&amp;v=v6&amp;scorecard=1&amp;secret_key=BX%25IJ%24%2F65ieZ%29f6", 2646393)</f>
        <v>2646393</v>
      </c>
      <c r="C949" s="2">
        <f>HYPERLINK("https://platform.v2.vetology.net/report/v/final/"&amp;2646393, 2646393)</f>
        <v>2646393</v>
      </c>
      <c r="D949" s="2" t="s">
        <v>2844</v>
      </c>
      <c r="E949" s="2" t="s">
        <v>2845</v>
      </c>
      <c r="F949" s="2" t="s">
        <v>2846</v>
      </c>
      <c r="G949" s="2" t="s">
        <v>150</v>
      </c>
      <c r="H949" s="2" t="s">
        <v>78</v>
      </c>
      <c r="I949" s="2" t="s">
        <v>44</v>
      </c>
      <c r="J949" s="2" t="s">
        <v>106</v>
      </c>
      <c r="K949" s="2" t="s">
        <v>38</v>
      </c>
      <c r="L949" s="2" t="s">
        <v>38</v>
      </c>
      <c r="M949" s="2" t="s">
        <v>38</v>
      </c>
      <c r="N949" s="2" t="s">
        <v>38</v>
      </c>
      <c r="O949" s="2" t="s">
        <v>38</v>
      </c>
      <c r="P949" s="2" t="s">
        <v>38</v>
      </c>
      <c r="Q949" s="2" t="s">
        <v>38</v>
      </c>
      <c r="R949" s="2" t="s">
        <v>38</v>
      </c>
      <c r="S949" s="2" t="s">
        <v>38</v>
      </c>
      <c r="T949" s="2" t="s">
        <v>39</v>
      </c>
      <c r="U949" s="2" t="s">
        <v>38</v>
      </c>
      <c r="V949" s="2" t="s">
        <v>39</v>
      </c>
      <c r="W949" s="2" t="s">
        <v>38</v>
      </c>
      <c r="X949" s="2" t="s">
        <v>39</v>
      </c>
      <c r="Y949" s="2" t="s">
        <v>38</v>
      </c>
      <c r="Z949" s="2" t="s">
        <v>38</v>
      </c>
      <c r="AA949" s="2" t="s">
        <v>38</v>
      </c>
      <c r="AB949" s="2" t="s">
        <v>38</v>
      </c>
      <c r="AC949" s="2" t="s">
        <v>38</v>
      </c>
      <c r="AD949" s="2" t="s">
        <v>38</v>
      </c>
      <c r="AE949" s="2" t="s">
        <v>38</v>
      </c>
    </row>
    <row r="950" spans="1:31" ht="409.5">
      <c r="A950" s="2">
        <v>2646344</v>
      </c>
      <c r="B950" s="2">
        <f>HYPERLINK("https://platform.v2.vetology.net/cases/2646344/screening-report/18?type=pdf&amp;v=v6&amp;scorecard=1&amp;secret_key=BX%25IJ%24%2F65ieZ%29f6", 2646344)</f>
        <v>2646344</v>
      </c>
      <c r="C950" s="2">
        <f>HYPERLINK("https://platform.v2.vetology.net/report/v/final/"&amp;2646344, 2646344)</f>
        <v>2646344</v>
      </c>
      <c r="D950" s="2" t="s">
        <v>2847</v>
      </c>
      <c r="E950" s="2" t="s">
        <v>2848</v>
      </c>
      <c r="F950" s="2" t="s">
        <v>81</v>
      </c>
      <c r="G950" s="2" t="s">
        <v>82</v>
      </c>
      <c r="H950" s="2" t="s">
        <v>151</v>
      </c>
      <c r="I950" s="2" t="s">
        <v>152</v>
      </c>
      <c r="J950" s="2" t="s">
        <v>153</v>
      </c>
      <c r="K950" s="2" t="s">
        <v>38</v>
      </c>
      <c r="L950" s="2" t="s">
        <v>38</v>
      </c>
      <c r="M950" s="2" t="s">
        <v>38</v>
      </c>
      <c r="N950" s="2" t="s">
        <v>38</v>
      </c>
      <c r="O950" s="2" t="s">
        <v>38</v>
      </c>
      <c r="P950" s="2" t="s">
        <v>38</v>
      </c>
      <c r="Q950" s="2" t="s">
        <v>38</v>
      </c>
      <c r="R950" s="2" t="s">
        <v>38</v>
      </c>
      <c r="S950" s="2" t="s">
        <v>38</v>
      </c>
      <c r="T950" s="2" t="s">
        <v>38</v>
      </c>
      <c r="U950" s="2" t="s">
        <v>38</v>
      </c>
      <c r="V950" s="2" t="s">
        <v>38</v>
      </c>
      <c r="W950" s="2" t="s">
        <v>38</v>
      </c>
      <c r="X950" s="2" t="s">
        <v>38</v>
      </c>
      <c r="Y950" s="2" t="s">
        <v>38</v>
      </c>
      <c r="Z950" s="2" t="s">
        <v>38</v>
      </c>
      <c r="AA950" s="2" t="s">
        <v>38</v>
      </c>
      <c r="AB950" s="2" t="s">
        <v>38</v>
      </c>
      <c r="AC950" s="2" t="s">
        <v>38</v>
      </c>
      <c r="AD950" s="2" t="s">
        <v>38</v>
      </c>
      <c r="AE950" s="2" t="s">
        <v>38</v>
      </c>
    </row>
    <row r="951" spans="1:31" ht="409.5">
      <c r="A951" s="2">
        <v>2646247</v>
      </c>
      <c r="B951" s="2">
        <f>HYPERLINK("https://platform.v2.vetology.net/cases/2646247/screening-report/18?type=pdf&amp;v=v6&amp;scorecard=1&amp;secret_key=BX%25IJ%24%2F65ieZ%29f6", 2646247)</f>
        <v>2646247</v>
      </c>
      <c r="C951" s="2">
        <f>HYPERLINK("https://platform.v2.vetology.net/report/v/final/"&amp;2646247, 2646247)</f>
        <v>2646247</v>
      </c>
      <c r="D951" s="2" t="s">
        <v>2849</v>
      </c>
      <c r="E951" s="2" t="s">
        <v>2850</v>
      </c>
      <c r="F951" s="2" t="s">
        <v>2851</v>
      </c>
      <c r="G951" s="2" t="s">
        <v>93</v>
      </c>
      <c r="H951" s="2" t="s">
        <v>54</v>
      </c>
      <c r="I951" s="2" t="s">
        <v>44</v>
      </c>
      <c r="J951" s="2" t="s">
        <v>106</v>
      </c>
      <c r="K951" s="2" t="s">
        <v>38</v>
      </c>
      <c r="L951" s="2" t="s">
        <v>39</v>
      </c>
      <c r="M951" s="2" t="s">
        <v>38</v>
      </c>
      <c r="N951" s="2" t="s">
        <v>38</v>
      </c>
      <c r="O951" s="2" t="s">
        <v>38</v>
      </c>
      <c r="P951" s="2" t="s">
        <v>38</v>
      </c>
      <c r="Q951" s="2" t="s">
        <v>38</v>
      </c>
      <c r="R951" s="2" t="s">
        <v>38</v>
      </c>
      <c r="S951" s="2" t="s">
        <v>38</v>
      </c>
      <c r="T951" s="2" t="s">
        <v>38</v>
      </c>
      <c r="U951" s="2" t="s">
        <v>38</v>
      </c>
      <c r="V951" s="2" t="s">
        <v>38</v>
      </c>
      <c r="W951" s="2" t="s">
        <v>38</v>
      </c>
      <c r="X951" s="2" t="s">
        <v>38</v>
      </c>
      <c r="Y951" s="2" t="s">
        <v>38</v>
      </c>
      <c r="Z951" s="2" t="s">
        <v>38</v>
      </c>
      <c r="AA951" s="2" t="s">
        <v>38</v>
      </c>
      <c r="AB951" s="2" t="s">
        <v>38</v>
      </c>
      <c r="AC951" s="2" t="s">
        <v>38</v>
      </c>
      <c r="AD951" s="2" t="s">
        <v>38</v>
      </c>
      <c r="AE951" s="2" t="s">
        <v>38</v>
      </c>
    </row>
    <row r="952" spans="1:31" ht="409.5">
      <c r="A952" s="2">
        <v>2646221</v>
      </c>
      <c r="B952" s="2">
        <f>HYPERLINK("https://platform.v2.vetology.net/cases/2646221/screening-report/18?type=pdf&amp;v=v6&amp;scorecard=1&amp;secret_key=BX%25IJ%24%2F65ieZ%29f6", 2646221)</f>
        <v>2646221</v>
      </c>
      <c r="C952" s="2">
        <f>HYPERLINK("https://platform.v2.vetology.net/report/v/final/"&amp;2646221, 2646221)</f>
        <v>2646221</v>
      </c>
      <c r="D952" s="2" t="s">
        <v>2852</v>
      </c>
      <c r="E952" s="2" t="s">
        <v>2853</v>
      </c>
      <c r="F952" s="2" t="s">
        <v>81</v>
      </c>
      <c r="G952" s="2" t="s">
        <v>150</v>
      </c>
      <c r="H952" s="2" t="s">
        <v>2854</v>
      </c>
      <c r="I952" s="2" t="s">
        <v>89</v>
      </c>
      <c r="J952" s="2" t="s">
        <v>66</v>
      </c>
      <c r="K952" s="2" t="s">
        <v>38</v>
      </c>
      <c r="L952" s="2" t="s">
        <v>38</v>
      </c>
      <c r="M952" s="2" t="s">
        <v>39</v>
      </c>
      <c r="N952" s="2" t="s">
        <v>38</v>
      </c>
      <c r="O952" s="2" t="s">
        <v>38</v>
      </c>
      <c r="P952" s="2" t="s">
        <v>39</v>
      </c>
      <c r="Q952" s="2" t="s">
        <v>39</v>
      </c>
      <c r="R952" s="2" t="s">
        <v>38</v>
      </c>
      <c r="S952" s="2" t="s">
        <v>38</v>
      </c>
      <c r="T952" s="2" t="s">
        <v>39</v>
      </c>
      <c r="U952" s="2" t="s">
        <v>38</v>
      </c>
      <c r="V952" s="2" t="s">
        <v>39</v>
      </c>
      <c r="W952" s="2" t="s">
        <v>38</v>
      </c>
      <c r="X952" s="2" t="s">
        <v>39</v>
      </c>
      <c r="Y952" s="2" t="s">
        <v>38</v>
      </c>
      <c r="Z952" s="2" t="s">
        <v>39</v>
      </c>
      <c r="AA952" s="2" t="s">
        <v>38</v>
      </c>
      <c r="AB952" s="2" t="s">
        <v>39</v>
      </c>
      <c r="AC952" s="2" t="s">
        <v>39</v>
      </c>
      <c r="AD952" s="2" t="s">
        <v>38</v>
      </c>
      <c r="AE952" s="2" t="s">
        <v>39</v>
      </c>
    </row>
    <row r="953" spans="1:31" ht="409.5">
      <c r="A953" s="2">
        <v>2646198</v>
      </c>
      <c r="B953" s="2">
        <f>HYPERLINK("https://platform.v2.vetology.net/cases/2646198/screening-report/18?type=pdf&amp;v=v6&amp;scorecard=1&amp;secret_key=BX%25IJ%24%2F65ieZ%29f6", 2646198)</f>
        <v>2646198</v>
      </c>
      <c r="C953" s="2">
        <f>HYPERLINK("https://platform.v2.vetology.net/report/v/final/"&amp;2646198, 2646198)</f>
        <v>2646198</v>
      </c>
      <c r="D953" s="2" t="s">
        <v>2855</v>
      </c>
      <c r="E953" s="2" t="s">
        <v>2856</v>
      </c>
      <c r="F953" s="2" t="s">
        <v>2857</v>
      </c>
      <c r="G953" s="2" t="s">
        <v>93</v>
      </c>
      <c r="H953" s="2" t="s">
        <v>2858</v>
      </c>
      <c r="I953" s="2" t="s">
        <v>214</v>
      </c>
      <c r="J953" s="2" t="s">
        <v>50</v>
      </c>
      <c r="K953" s="2" t="s">
        <v>38</v>
      </c>
      <c r="L953" s="2" t="s">
        <v>39</v>
      </c>
      <c r="M953" s="2" t="s">
        <v>38</v>
      </c>
      <c r="N953" s="2" t="s">
        <v>38</v>
      </c>
      <c r="O953" s="2" t="s">
        <v>38</v>
      </c>
      <c r="P953" s="2" t="s">
        <v>38</v>
      </c>
      <c r="Q953" s="2" t="s">
        <v>38</v>
      </c>
      <c r="R953" s="2" t="s">
        <v>38</v>
      </c>
      <c r="S953" s="2" t="s">
        <v>38</v>
      </c>
      <c r="T953" s="2" t="s">
        <v>38</v>
      </c>
      <c r="U953" s="2" t="s">
        <v>38</v>
      </c>
      <c r="V953" s="2" t="s">
        <v>38</v>
      </c>
      <c r="W953" s="2" t="s">
        <v>38</v>
      </c>
      <c r="X953" s="2" t="s">
        <v>38</v>
      </c>
      <c r="Y953" s="2" t="s">
        <v>38</v>
      </c>
      <c r="Z953" s="2" t="s">
        <v>38</v>
      </c>
      <c r="AA953" s="2" t="s">
        <v>38</v>
      </c>
      <c r="AB953" s="2" t="s">
        <v>39</v>
      </c>
      <c r="AC953" s="2" t="s">
        <v>38</v>
      </c>
      <c r="AD953" s="2" t="s">
        <v>38</v>
      </c>
      <c r="AE953" s="2" t="s">
        <v>38</v>
      </c>
    </row>
    <row r="954" spans="1:31" ht="409.5">
      <c r="A954" s="2">
        <v>2646102</v>
      </c>
      <c r="B954" s="2">
        <f>HYPERLINK("https://platform.v2.vetology.net/cases/2646102/screening-report/18?type=pdf&amp;v=v6&amp;scorecard=1&amp;secret_key=BX%25IJ%24%2F65ieZ%29f6", 2646102)</f>
        <v>2646102</v>
      </c>
      <c r="C954" s="2">
        <f>HYPERLINK("https://platform.v2.vetology.net/report/v/final/"&amp;2646102, 2646102)</f>
        <v>2646102</v>
      </c>
      <c r="D954" s="2" t="s">
        <v>2859</v>
      </c>
      <c r="E954" s="2" t="s">
        <v>2860</v>
      </c>
      <c r="F954" s="2" t="s">
        <v>149</v>
      </c>
      <c r="G954" s="2" t="s">
        <v>150</v>
      </c>
      <c r="H954" s="2" t="s">
        <v>43</v>
      </c>
      <c r="I954" s="2" t="s">
        <v>44</v>
      </c>
      <c r="J954" s="2" t="s">
        <v>106</v>
      </c>
      <c r="K954" s="2" t="s">
        <v>38</v>
      </c>
      <c r="L954" s="2" t="s">
        <v>39</v>
      </c>
      <c r="M954" s="2" t="s">
        <v>38</v>
      </c>
      <c r="N954" s="2" t="s">
        <v>38</v>
      </c>
      <c r="O954" s="2" t="s">
        <v>38</v>
      </c>
      <c r="P954" s="2" t="s">
        <v>38</v>
      </c>
      <c r="Q954" s="2" t="s">
        <v>38</v>
      </c>
      <c r="R954" s="2" t="s">
        <v>38</v>
      </c>
      <c r="S954" s="2" t="s">
        <v>39</v>
      </c>
      <c r="T954" s="2" t="s">
        <v>39</v>
      </c>
      <c r="U954" s="2" t="s">
        <v>39</v>
      </c>
      <c r="V954" s="2" t="s">
        <v>39</v>
      </c>
      <c r="W954" s="2" t="s">
        <v>38</v>
      </c>
      <c r="X954" s="2" t="s">
        <v>39</v>
      </c>
      <c r="Y954" s="2" t="s">
        <v>38</v>
      </c>
      <c r="Z954" s="2" t="s">
        <v>38</v>
      </c>
      <c r="AA954" s="2" t="s">
        <v>38</v>
      </c>
      <c r="AB954" s="2" t="s">
        <v>38</v>
      </c>
      <c r="AC954" s="2" t="s">
        <v>38</v>
      </c>
      <c r="AD954" s="2" t="s">
        <v>38</v>
      </c>
      <c r="AE954" s="2" t="s">
        <v>38</v>
      </c>
    </row>
    <row r="955" spans="1:31" ht="409.5">
      <c r="A955" s="2">
        <v>2646020</v>
      </c>
      <c r="B955" s="2">
        <f>HYPERLINK("https://platform.v2.vetology.net/cases/2646020/screening-report/18?type=pdf&amp;v=v6&amp;scorecard=1&amp;secret_key=BX%25IJ%24%2F65ieZ%29f6", 2646020)</f>
        <v>2646020</v>
      </c>
      <c r="C955" s="2">
        <f>HYPERLINK("https://platform.v2.vetology.net/report/v/final/"&amp;2646020, 2646020)</f>
        <v>2646020</v>
      </c>
      <c r="D955" s="2" t="s">
        <v>2861</v>
      </c>
      <c r="E955" s="2" t="s">
        <v>2862</v>
      </c>
      <c r="F955" s="2" t="s">
        <v>2863</v>
      </c>
      <c r="G955" s="2" t="s">
        <v>70</v>
      </c>
      <c r="H955" s="2" t="s">
        <v>2864</v>
      </c>
      <c r="I955" s="2" t="s">
        <v>2834</v>
      </c>
      <c r="J955" s="2" t="s">
        <v>66</v>
      </c>
      <c r="K955" s="2" t="s">
        <v>38</v>
      </c>
      <c r="L955" s="2" t="s">
        <v>39</v>
      </c>
      <c r="M955" s="2" t="s">
        <v>39</v>
      </c>
      <c r="N955" s="2" t="s">
        <v>39</v>
      </c>
      <c r="O955" s="2" t="s">
        <v>39</v>
      </c>
      <c r="P955" s="2" t="s">
        <v>39</v>
      </c>
      <c r="Q955" s="2" t="s">
        <v>38</v>
      </c>
      <c r="R955" s="2" t="s">
        <v>38</v>
      </c>
      <c r="S955" s="2" t="s">
        <v>39</v>
      </c>
      <c r="T955" s="2" t="s">
        <v>39</v>
      </c>
      <c r="U955" s="2" t="s">
        <v>39</v>
      </c>
      <c r="V955" s="2" t="s">
        <v>39</v>
      </c>
      <c r="W955" s="2" t="s">
        <v>38</v>
      </c>
      <c r="X955" s="2" t="s">
        <v>39</v>
      </c>
      <c r="Y955" s="2" t="s">
        <v>38</v>
      </c>
      <c r="Z955" s="2" t="s">
        <v>39</v>
      </c>
      <c r="AA955" s="2" t="s">
        <v>38</v>
      </c>
      <c r="AB955" s="2" t="s">
        <v>38</v>
      </c>
      <c r="AC955" s="2" t="s">
        <v>38</v>
      </c>
      <c r="AD955" s="2" t="s">
        <v>38</v>
      </c>
      <c r="AE955" s="2" t="s">
        <v>38</v>
      </c>
    </row>
    <row r="956" spans="1:31" ht="409.5">
      <c r="A956" s="2">
        <v>2646001</v>
      </c>
      <c r="B956" s="2">
        <f>HYPERLINK("https://platform.v2.vetology.net/cases/2646001/screening-report/18?type=pdf&amp;v=v6&amp;scorecard=1&amp;secret_key=BX%25IJ%24%2F65ieZ%29f6", 2646001)</f>
        <v>2646001</v>
      </c>
      <c r="C956" s="2">
        <f>HYPERLINK("https://platform.v2.vetology.net/report/v/final/"&amp;2646001, 2646001)</f>
        <v>2646001</v>
      </c>
      <c r="D956" s="2" t="s">
        <v>2865</v>
      </c>
      <c r="E956" s="2" t="s">
        <v>874</v>
      </c>
      <c r="F956" s="2" t="s">
        <v>81</v>
      </c>
      <c r="G956" s="2" t="s">
        <v>82</v>
      </c>
      <c r="H956" s="2" t="s">
        <v>1281</v>
      </c>
      <c r="I956" s="2" t="s">
        <v>1282</v>
      </c>
      <c r="J956" s="2" t="s">
        <v>1283</v>
      </c>
      <c r="K956" s="2" t="s">
        <v>38</v>
      </c>
      <c r="L956" s="2" t="s">
        <v>39</v>
      </c>
      <c r="M956" s="2" t="s">
        <v>39</v>
      </c>
      <c r="N956" s="2" t="s">
        <v>39</v>
      </c>
      <c r="O956" s="2" t="s">
        <v>39</v>
      </c>
      <c r="P956" s="2" t="s">
        <v>39</v>
      </c>
      <c r="Q956" s="2" t="s">
        <v>39</v>
      </c>
      <c r="R956" s="2" t="s">
        <v>38</v>
      </c>
      <c r="S956" s="2" t="s">
        <v>39</v>
      </c>
      <c r="T956" s="2" t="s">
        <v>39</v>
      </c>
      <c r="U956" s="2" t="s">
        <v>39</v>
      </c>
      <c r="V956" s="2" t="s">
        <v>39</v>
      </c>
      <c r="W956" s="2" t="s">
        <v>38</v>
      </c>
      <c r="X956" s="2" t="s">
        <v>39</v>
      </c>
      <c r="Y956" s="2" t="s">
        <v>38</v>
      </c>
      <c r="Z956" s="2" t="s">
        <v>39</v>
      </c>
      <c r="AA956" s="2" t="s">
        <v>38</v>
      </c>
      <c r="AB956" s="2" t="s">
        <v>39</v>
      </c>
      <c r="AC956" s="2" t="s">
        <v>39</v>
      </c>
      <c r="AD956" s="2" t="s">
        <v>38</v>
      </c>
      <c r="AE956" s="2" t="s">
        <v>39</v>
      </c>
    </row>
    <row r="957" spans="1:31" ht="409.5">
      <c r="A957" s="2">
        <v>2645926</v>
      </c>
      <c r="B957" s="2">
        <f>HYPERLINK("https://platform.v2.vetology.net/cases/2645926/screening-report/18?type=pdf&amp;v=v6&amp;scorecard=1&amp;secret_key=BX%25IJ%24%2F65ieZ%29f6", 2645926)</f>
        <v>2645926</v>
      </c>
      <c r="C957" s="2">
        <f>HYPERLINK("https://platform.v2.vetology.net/report/v/final/"&amp;2645926, 2645926)</f>
        <v>2645926</v>
      </c>
      <c r="D957" s="2" t="s">
        <v>2866</v>
      </c>
      <c r="E957" s="2" t="s">
        <v>2867</v>
      </c>
      <c r="F957" s="2" t="s">
        <v>81</v>
      </c>
      <c r="G957" s="2" t="s">
        <v>82</v>
      </c>
      <c r="H957" s="2" t="s">
        <v>2868</v>
      </c>
      <c r="I957" s="2" t="s">
        <v>2869</v>
      </c>
      <c r="J957" s="2" t="s">
        <v>989</v>
      </c>
      <c r="K957" s="2" t="s">
        <v>39</v>
      </c>
      <c r="L957" s="2" t="s">
        <v>38</v>
      </c>
      <c r="M957" s="2" t="s">
        <v>39</v>
      </c>
      <c r="N957" s="2" t="s">
        <v>39</v>
      </c>
      <c r="O957" s="2" t="s">
        <v>39</v>
      </c>
      <c r="P957" s="2" t="s">
        <v>39</v>
      </c>
      <c r="Q957" s="2" t="s">
        <v>39</v>
      </c>
      <c r="R957" s="2" t="s">
        <v>39</v>
      </c>
      <c r="S957" s="2" t="s">
        <v>39</v>
      </c>
      <c r="T957" s="2" t="s">
        <v>39</v>
      </c>
      <c r="U957" s="2" t="s">
        <v>39</v>
      </c>
      <c r="V957" s="2" t="s">
        <v>39</v>
      </c>
      <c r="W957" s="2" t="s">
        <v>38</v>
      </c>
      <c r="X957" s="2" t="s">
        <v>39</v>
      </c>
      <c r="Y957" s="2" t="s">
        <v>38</v>
      </c>
      <c r="Z957" s="2" t="s">
        <v>39</v>
      </c>
      <c r="AA957" s="2" t="s">
        <v>39</v>
      </c>
      <c r="AB957" s="2" t="s">
        <v>39</v>
      </c>
      <c r="AC957" s="2" t="s">
        <v>39</v>
      </c>
      <c r="AD957" s="2" t="s">
        <v>38</v>
      </c>
      <c r="AE957" s="2" t="s">
        <v>39</v>
      </c>
    </row>
    <row r="958" spans="1:31" ht="409.5">
      <c r="A958" s="2">
        <v>2645885</v>
      </c>
      <c r="B958" s="2">
        <f>HYPERLINK("https://platform.v2.vetology.net/cases/2645885/screening-report/18?type=pdf&amp;v=v6&amp;scorecard=1&amp;secret_key=BX%25IJ%24%2F65ieZ%29f6", 2645885)</f>
        <v>2645885</v>
      </c>
      <c r="C958" s="2">
        <f>HYPERLINK("https://platform.v2.vetology.net/report/v/final/"&amp;2645885, 2645885)</f>
        <v>2645885</v>
      </c>
      <c r="D958" s="2" t="s">
        <v>2870</v>
      </c>
      <c r="E958" s="2" t="s">
        <v>850</v>
      </c>
      <c r="F958" s="2" t="s">
        <v>2871</v>
      </c>
      <c r="G958" s="2" t="s">
        <v>150</v>
      </c>
      <c r="H958" s="2" t="s">
        <v>2872</v>
      </c>
      <c r="I958" s="2" t="s">
        <v>2873</v>
      </c>
      <c r="J958" s="2" t="s">
        <v>2874</v>
      </c>
      <c r="K958" s="2" t="s">
        <v>38</v>
      </c>
      <c r="L958" s="2" t="s">
        <v>39</v>
      </c>
      <c r="M958" s="2" t="s">
        <v>39</v>
      </c>
      <c r="N958" s="2" t="s">
        <v>39</v>
      </c>
      <c r="O958" s="2" t="s">
        <v>38</v>
      </c>
      <c r="P958" s="2" t="s">
        <v>39</v>
      </c>
      <c r="Q958" s="2" t="s">
        <v>38</v>
      </c>
      <c r="R958" s="2" t="s">
        <v>38</v>
      </c>
      <c r="S958" s="2" t="s">
        <v>39</v>
      </c>
      <c r="T958" s="2" t="s">
        <v>39</v>
      </c>
      <c r="U958" s="2" t="s">
        <v>39</v>
      </c>
      <c r="V958" s="2" t="s">
        <v>38</v>
      </c>
      <c r="W958" s="2" t="s">
        <v>38</v>
      </c>
      <c r="X958" s="2" t="s">
        <v>39</v>
      </c>
      <c r="Y958" s="2" t="s">
        <v>38</v>
      </c>
      <c r="Z958" s="2" t="s">
        <v>39</v>
      </c>
      <c r="AA958" s="2" t="s">
        <v>39</v>
      </c>
      <c r="AB958" s="2" t="s">
        <v>39</v>
      </c>
      <c r="AC958" s="2" t="s">
        <v>39</v>
      </c>
      <c r="AD958" s="2" t="s">
        <v>38</v>
      </c>
      <c r="AE958" s="2" t="s">
        <v>38</v>
      </c>
    </row>
    <row r="959" spans="1:31" ht="409.5">
      <c r="A959" s="2">
        <v>2645726</v>
      </c>
      <c r="B959" s="2">
        <f>HYPERLINK("https://platform.v2.vetology.net/cases/2645726/screening-report/18?type=pdf&amp;v=v6&amp;scorecard=1&amp;secret_key=BX%25IJ%24%2F65ieZ%29f6", 2645726)</f>
        <v>2645726</v>
      </c>
      <c r="C959" s="2">
        <f>HYPERLINK("https://platform.v2.vetology.net/report/v/final/"&amp;2645726, 2645726)</f>
        <v>2645726</v>
      </c>
      <c r="D959" s="2" t="s">
        <v>2875</v>
      </c>
      <c r="E959" s="2" t="s">
        <v>2876</v>
      </c>
      <c r="F959" s="2" t="s">
        <v>2877</v>
      </c>
      <c r="G959" s="2" t="s">
        <v>464</v>
      </c>
      <c r="H959" s="2" t="s">
        <v>54</v>
      </c>
      <c r="I959" s="2" t="s">
        <v>44</v>
      </c>
      <c r="J959" s="2"/>
      <c r="K959" s="2" t="s">
        <v>38</v>
      </c>
      <c r="L959" s="2" t="s">
        <v>39</v>
      </c>
      <c r="M959" s="2" t="s">
        <v>38</v>
      </c>
      <c r="N959" s="2" t="s">
        <v>38</v>
      </c>
      <c r="O959" s="2" t="s">
        <v>38</v>
      </c>
      <c r="P959" s="2" t="s">
        <v>39</v>
      </c>
      <c r="Q959" s="2" t="s">
        <v>38</v>
      </c>
      <c r="R959" s="2" t="s">
        <v>38</v>
      </c>
      <c r="S959" s="2" t="s">
        <v>38</v>
      </c>
      <c r="T959" s="2" t="s">
        <v>38</v>
      </c>
      <c r="U959" s="2" t="s">
        <v>38</v>
      </c>
      <c r="V959" s="2" t="s">
        <v>38</v>
      </c>
      <c r="W959" s="2" t="s">
        <v>38</v>
      </c>
      <c r="X959" s="2" t="s">
        <v>38</v>
      </c>
      <c r="Y959" s="2" t="s">
        <v>38</v>
      </c>
      <c r="Z959" s="2" t="s">
        <v>38</v>
      </c>
      <c r="AA959" s="2" t="s">
        <v>38</v>
      </c>
      <c r="AB959" s="2" t="s">
        <v>38</v>
      </c>
      <c r="AC959" s="2" t="s">
        <v>38</v>
      </c>
      <c r="AD959" s="2" t="s">
        <v>38</v>
      </c>
      <c r="AE959" s="2" t="s">
        <v>38</v>
      </c>
    </row>
    <row r="960" spans="1:31" ht="409.5">
      <c r="A960" s="2">
        <v>2645588</v>
      </c>
      <c r="B960" s="2">
        <f>HYPERLINK("https://platform.v2.vetology.net/cases/2645588/screening-report/18?type=pdf&amp;v=v6&amp;scorecard=1&amp;secret_key=BX%25IJ%24%2F65ieZ%29f6", 2645588)</f>
        <v>2645588</v>
      </c>
      <c r="C960" s="2">
        <f>HYPERLINK("https://platform.v2.vetology.net/report/v/final/"&amp;2645588, 2645588)</f>
        <v>2645588</v>
      </c>
      <c r="D960" s="2" t="s">
        <v>2593</v>
      </c>
      <c r="E960" s="2" t="s">
        <v>850</v>
      </c>
      <c r="F960" s="2"/>
      <c r="G960" s="2" t="s">
        <v>150</v>
      </c>
      <c r="H960" s="2" t="s">
        <v>2878</v>
      </c>
      <c r="I960" s="2" t="s">
        <v>290</v>
      </c>
      <c r="J960" s="2" t="s">
        <v>66</v>
      </c>
      <c r="K960" s="2" t="s">
        <v>38</v>
      </c>
      <c r="L960" s="2" t="s">
        <v>39</v>
      </c>
      <c r="M960" s="2" t="s">
        <v>39</v>
      </c>
      <c r="N960" s="2" t="s">
        <v>38</v>
      </c>
      <c r="O960" s="2" t="s">
        <v>38</v>
      </c>
      <c r="P960" s="2" t="s">
        <v>39</v>
      </c>
      <c r="Q960" s="2" t="s">
        <v>39</v>
      </c>
      <c r="R960" s="2" t="s">
        <v>38</v>
      </c>
      <c r="S960" s="2" t="s">
        <v>38</v>
      </c>
      <c r="T960" s="2" t="s">
        <v>39</v>
      </c>
      <c r="U960" s="2" t="s">
        <v>38</v>
      </c>
      <c r="V960" s="2" t="s">
        <v>39</v>
      </c>
      <c r="W960" s="2" t="s">
        <v>38</v>
      </c>
      <c r="X960" s="2" t="s">
        <v>39</v>
      </c>
      <c r="Y960" s="2" t="s">
        <v>38</v>
      </c>
      <c r="Z960" s="2" t="s">
        <v>39</v>
      </c>
      <c r="AA960" s="2" t="s">
        <v>38</v>
      </c>
      <c r="AB960" s="2" t="s">
        <v>39</v>
      </c>
      <c r="AC960" s="2" t="s">
        <v>38</v>
      </c>
      <c r="AD960" s="2" t="s">
        <v>38</v>
      </c>
      <c r="AE960" s="2" t="s">
        <v>38</v>
      </c>
    </row>
    <row r="961" spans="1:31" ht="409.5">
      <c r="A961" s="2">
        <v>2645506</v>
      </c>
      <c r="B961" s="2">
        <f>HYPERLINK("https://platform.v2.vetology.net/cases/2645506/screening-report/18?type=pdf&amp;v=v6&amp;scorecard=1&amp;secret_key=BX%25IJ%24%2F65ieZ%29f6", 2645506)</f>
        <v>2645506</v>
      </c>
      <c r="C961" s="2">
        <f>HYPERLINK("https://platform.v2.vetology.net/report/v/final/"&amp;2645506, 2645506)</f>
        <v>2645506</v>
      </c>
      <c r="D961" s="2" t="s">
        <v>2879</v>
      </c>
      <c r="E961" s="2" t="s">
        <v>2880</v>
      </c>
      <c r="F961" s="2" t="s">
        <v>2881</v>
      </c>
      <c r="G961" s="2" t="s">
        <v>135</v>
      </c>
      <c r="H961" s="2" t="s">
        <v>78</v>
      </c>
      <c r="I961" s="2" t="s">
        <v>44</v>
      </c>
      <c r="J961" s="2" t="s">
        <v>106</v>
      </c>
      <c r="K961" s="2" t="s">
        <v>38</v>
      </c>
      <c r="L961" s="2" t="s">
        <v>39</v>
      </c>
      <c r="M961" s="2" t="s">
        <v>39</v>
      </c>
      <c r="N961" s="2" t="s">
        <v>38</v>
      </c>
      <c r="O961" s="2" t="s">
        <v>38</v>
      </c>
      <c r="P961" s="2" t="s">
        <v>39</v>
      </c>
      <c r="Q961" s="2" t="s">
        <v>38</v>
      </c>
      <c r="R961" s="2" t="s">
        <v>38</v>
      </c>
      <c r="S961" s="2" t="s">
        <v>39</v>
      </c>
      <c r="T961" s="2" t="s">
        <v>39</v>
      </c>
      <c r="U961" s="2" t="s">
        <v>38</v>
      </c>
      <c r="V961" s="2" t="s">
        <v>38</v>
      </c>
      <c r="W961" s="2" t="s">
        <v>38</v>
      </c>
      <c r="X961" s="2" t="s">
        <v>39</v>
      </c>
      <c r="Y961" s="2" t="s">
        <v>38</v>
      </c>
      <c r="Z961" s="2" t="s">
        <v>38</v>
      </c>
      <c r="AA961" s="2" t="s">
        <v>38</v>
      </c>
      <c r="AB961" s="2" t="s">
        <v>39</v>
      </c>
      <c r="AC961" s="2" t="s">
        <v>39</v>
      </c>
      <c r="AD961" s="2" t="s">
        <v>38</v>
      </c>
      <c r="AE961" s="2" t="s">
        <v>38</v>
      </c>
    </row>
    <row r="962" spans="1:31" ht="409.5">
      <c r="A962" s="2">
        <v>2645114</v>
      </c>
      <c r="B962" s="2">
        <f>HYPERLINK("https://platform.v2.vetology.net/cases/2645114/screening-report/18?type=pdf&amp;v=v6&amp;scorecard=1&amp;secret_key=BX%25IJ%24%2F65ieZ%29f6", 2645114)</f>
        <v>2645114</v>
      </c>
      <c r="C962" s="2">
        <f>HYPERLINK("https://platform.v2.vetology.net/report/v/final/"&amp;2645114, 2645114)</f>
        <v>2645114</v>
      </c>
      <c r="D962" s="2" t="s">
        <v>2882</v>
      </c>
      <c r="E962" s="2" t="s">
        <v>2883</v>
      </c>
      <c r="F962" s="2" t="s">
        <v>2884</v>
      </c>
      <c r="G962" s="2" t="s">
        <v>464</v>
      </c>
      <c r="H962" s="2" t="s">
        <v>2885</v>
      </c>
      <c r="I962" s="2" t="s">
        <v>173</v>
      </c>
      <c r="J962" s="2" t="s">
        <v>174</v>
      </c>
      <c r="K962" s="2" t="s">
        <v>38</v>
      </c>
      <c r="L962" s="2" t="s">
        <v>38</v>
      </c>
      <c r="M962" s="2" t="s">
        <v>38</v>
      </c>
      <c r="N962" s="2" t="s">
        <v>38</v>
      </c>
      <c r="O962" s="2" t="s">
        <v>38</v>
      </c>
      <c r="P962" s="2" t="s">
        <v>38</v>
      </c>
      <c r="Q962" s="2" t="s">
        <v>38</v>
      </c>
      <c r="R962" s="2" t="s">
        <v>38</v>
      </c>
      <c r="S962" s="2" t="s">
        <v>38</v>
      </c>
      <c r="T962" s="2" t="s">
        <v>38</v>
      </c>
      <c r="U962" s="2" t="s">
        <v>38</v>
      </c>
      <c r="V962" s="2" t="s">
        <v>38</v>
      </c>
      <c r="W962" s="2" t="s">
        <v>38</v>
      </c>
      <c r="X962" s="2" t="s">
        <v>38</v>
      </c>
      <c r="Y962" s="2" t="s">
        <v>38</v>
      </c>
      <c r="Z962" s="2" t="s">
        <v>38</v>
      </c>
      <c r="AA962" s="2" t="s">
        <v>38</v>
      </c>
      <c r="AB962" s="2" t="s">
        <v>38</v>
      </c>
      <c r="AC962" s="2" t="s">
        <v>39</v>
      </c>
      <c r="AD962" s="2" t="s">
        <v>38</v>
      </c>
      <c r="AE962" s="2" t="s">
        <v>38</v>
      </c>
    </row>
    <row r="963" spans="1:31" ht="409.5">
      <c r="A963" s="2">
        <v>2645093</v>
      </c>
      <c r="B963" s="2">
        <f>HYPERLINK("https://platform.v2.vetology.net/cases/2645093/screening-report/18?type=pdf&amp;v=v6&amp;scorecard=1&amp;secret_key=BX%25IJ%24%2F65ieZ%29f6", 2645093)</f>
        <v>2645093</v>
      </c>
      <c r="C963" s="2">
        <f>HYPERLINK("https://platform.v2.vetology.net/report/v/final/"&amp;2645093, 2645093)</f>
        <v>2645093</v>
      </c>
      <c r="D963" s="2" t="s">
        <v>414</v>
      </c>
      <c r="E963" s="2" t="s">
        <v>2886</v>
      </c>
      <c r="F963" s="2" t="s">
        <v>789</v>
      </c>
      <c r="G963" s="2" t="s">
        <v>135</v>
      </c>
      <c r="H963" s="2" t="s">
        <v>78</v>
      </c>
      <c r="I963" s="2" t="s">
        <v>44</v>
      </c>
      <c r="J963" s="2"/>
      <c r="K963" s="2" t="s">
        <v>38</v>
      </c>
      <c r="L963" s="2" t="s">
        <v>39</v>
      </c>
      <c r="M963" s="2" t="s">
        <v>39</v>
      </c>
      <c r="N963" s="2" t="s">
        <v>38</v>
      </c>
      <c r="O963" s="2" t="s">
        <v>38</v>
      </c>
      <c r="P963" s="2" t="s">
        <v>38</v>
      </c>
      <c r="Q963" s="2" t="s">
        <v>38</v>
      </c>
      <c r="R963" s="2" t="s">
        <v>38</v>
      </c>
      <c r="S963" s="2" t="s">
        <v>38</v>
      </c>
      <c r="T963" s="2" t="s">
        <v>38</v>
      </c>
      <c r="U963" s="2" t="s">
        <v>38</v>
      </c>
      <c r="V963" s="2" t="s">
        <v>38</v>
      </c>
      <c r="W963" s="2" t="s">
        <v>38</v>
      </c>
      <c r="X963" s="2" t="s">
        <v>38</v>
      </c>
      <c r="Y963" s="2" t="s">
        <v>38</v>
      </c>
      <c r="Z963" s="2" t="s">
        <v>38</v>
      </c>
      <c r="AA963" s="2" t="s">
        <v>38</v>
      </c>
      <c r="AB963" s="2" t="s">
        <v>39</v>
      </c>
      <c r="AC963" s="2" t="s">
        <v>38</v>
      </c>
      <c r="AD963" s="2" t="s">
        <v>38</v>
      </c>
      <c r="AE963" s="2" t="s">
        <v>38</v>
      </c>
    </row>
    <row r="964" spans="1:31" ht="409.5">
      <c r="A964" s="2">
        <v>2645055</v>
      </c>
      <c r="B964" s="2">
        <f>HYPERLINK("https://platform.v2.vetology.net/cases/2645055/screening-report/18?type=pdf&amp;v=v6&amp;scorecard=1&amp;secret_key=BX%25IJ%24%2F65ieZ%29f6", 2645055)</f>
        <v>2645055</v>
      </c>
      <c r="C964" s="2">
        <f>HYPERLINK("https://platform.v2.vetology.net/report/v/final/"&amp;2645055, 2645055)</f>
        <v>2645055</v>
      </c>
      <c r="D964" s="2" t="s">
        <v>2887</v>
      </c>
      <c r="E964" s="2" t="s">
        <v>2888</v>
      </c>
      <c r="F964" s="2" t="s">
        <v>2889</v>
      </c>
      <c r="G964" s="2" t="s">
        <v>464</v>
      </c>
      <c r="H964" s="2" t="s">
        <v>751</v>
      </c>
      <c r="I964" s="2" t="s">
        <v>227</v>
      </c>
      <c r="J964" s="2" t="s">
        <v>228</v>
      </c>
      <c r="K964" s="2" t="s">
        <v>38</v>
      </c>
      <c r="L964" s="2" t="s">
        <v>39</v>
      </c>
      <c r="M964" s="2" t="s">
        <v>39</v>
      </c>
      <c r="N964" s="2" t="s">
        <v>39</v>
      </c>
      <c r="O964" s="2" t="s">
        <v>39</v>
      </c>
      <c r="P964" s="2" t="s">
        <v>39</v>
      </c>
      <c r="Q964" s="2" t="s">
        <v>38</v>
      </c>
      <c r="R964" s="2" t="s">
        <v>38</v>
      </c>
      <c r="S964" s="2" t="s">
        <v>38</v>
      </c>
      <c r="T964" s="2" t="s">
        <v>38</v>
      </c>
      <c r="U964" s="2" t="s">
        <v>38</v>
      </c>
      <c r="V964" s="2" t="s">
        <v>38</v>
      </c>
      <c r="W964" s="2" t="s">
        <v>38</v>
      </c>
      <c r="X964" s="2" t="s">
        <v>38</v>
      </c>
      <c r="Y964" s="2" t="s">
        <v>38</v>
      </c>
      <c r="Z964" s="2" t="s">
        <v>39</v>
      </c>
      <c r="AA964" s="2" t="s">
        <v>38</v>
      </c>
      <c r="AB964" s="2" t="s">
        <v>39</v>
      </c>
      <c r="AC964" s="2" t="s">
        <v>39</v>
      </c>
      <c r="AD964" s="2" t="s">
        <v>38</v>
      </c>
      <c r="AE964" s="2" t="s">
        <v>38</v>
      </c>
    </row>
    <row r="965" spans="1:31" ht="409.5">
      <c r="A965" s="2">
        <v>2644950</v>
      </c>
      <c r="B965" s="2">
        <f>HYPERLINK("https://platform.v2.vetology.net/cases/2644950/screening-report/18?type=pdf&amp;v=v6&amp;scorecard=1&amp;secret_key=BX%25IJ%24%2F65ieZ%29f6", 2644950)</f>
        <v>2644950</v>
      </c>
      <c r="C965" s="2">
        <f>HYPERLINK("https://platform.v2.vetology.net/report/v/final/"&amp;2644950, 2644950)</f>
        <v>2644950</v>
      </c>
      <c r="D965" s="2" t="s">
        <v>2890</v>
      </c>
      <c r="E965" s="2" t="s">
        <v>2891</v>
      </c>
      <c r="F965" s="2" t="s">
        <v>81</v>
      </c>
      <c r="G965" s="2" t="s">
        <v>150</v>
      </c>
      <c r="H965" s="2" t="s">
        <v>54</v>
      </c>
      <c r="I965" s="2" t="s">
        <v>199</v>
      </c>
      <c r="J965" s="2"/>
      <c r="K965" s="2" t="s">
        <v>38</v>
      </c>
      <c r="L965" s="2" t="s">
        <v>39</v>
      </c>
      <c r="M965" s="2" t="s">
        <v>39</v>
      </c>
      <c r="N965" s="2" t="s">
        <v>38</v>
      </c>
      <c r="O965" s="2" t="s">
        <v>38</v>
      </c>
      <c r="P965" s="2" t="s">
        <v>39</v>
      </c>
      <c r="Q965" s="2" t="s">
        <v>38</v>
      </c>
      <c r="R965" s="2" t="s">
        <v>38</v>
      </c>
      <c r="S965" s="2" t="s">
        <v>38</v>
      </c>
      <c r="T965" s="2" t="s">
        <v>38</v>
      </c>
      <c r="U965" s="2" t="s">
        <v>38</v>
      </c>
      <c r="V965" s="2" t="s">
        <v>38</v>
      </c>
      <c r="W965" s="2" t="s">
        <v>38</v>
      </c>
      <c r="X965" s="2" t="s">
        <v>38</v>
      </c>
      <c r="Y965" s="2" t="s">
        <v>38</v>
      </c>
      <c r="Z965" s="2" t="s">
        <v>39</v>
      </c>
      <c r="AA965" s="2" t="s">
        <v>38</v>
      </c>
      <c r="AB965" s="2" t="s">
        <v>39</v>
      </c>
      <c r="AC965" s="2" t="s">
        <v>38</v>
      </c>
      <c r="AD965" s="2" t="s">
        <v>38</v>
      </c>
      <c r="AE965" s="2" t="s">
        <v>38</v>
      </c>
    </row>
    <row r="966" spans="1:31" ht="409.5">
      <c r="A966" s="2">
        <v>2644929</v>
      </c>
      <c r="B966" s="2">
        <f>HYPERLINK("https://platform.v2.vetology.net/cases/2644929/screening-report/18?type=pdf&amp;v=v6&amp;scorecard=1&amp;secret_key=BX%25IJ%24%2F65ieZ%29f6", 2644929)</f>
        <v>2644929</v>
      </c>
      <c r="C966" s="2">
        <f>HYPERLINK("https://platform.v2.vetology.net/report/v/final/"&amp;2644929, 2644929)</f>
        <v>2644929</v>
      </c>
      <c r="D966" s="2" t="s">
        <v>2892</v>
      </c>
      <c r="E966" s="2" t="s">
        <v>911</v>
      </c>
      <c r="F966" s="2"/>
      <c r="G966" s="2" t="s">
        <v>150</v>
      </c>
      <c r="H966" s="2" t="s">
        <v>2469</v>
      </c>
      <c r="I966" s="2" t="s">
        <v>36</v>
      </c>
      <c r="J966" s="2" t="s">
        <v>37</v>
      </c>
      <c r="K966" s="2" t="s">
        <v>38</v>
      </c>
      <c r="L966" s="2" t="s">
        <v>38</v>
      </c>
      <c r="M966" s="2" t="s">
        <v>38</v>
      </c>
      <c r="N966" s="2" t="s">
        <v>38</v>
      </c>
      <c r="O966" s="2" t="s">
        <v>38</v>
      </c>
      <c r="P966" s="2" t="s">
        <v>38</v>
      </c>
      <c r="Q966" s="2" t="s">
        <v>38</v>
      </c>
      <c r="R966" s="2" t="s">
        <v>38</v>
      </c>
      <c r="S966" s="2" t="s">
        <v>38</v>
      </c>
      <c r="T966" s="2" t="s">
        <v>39</v>
      </c>
      <c r="U966" s="2" t="s">
        <v>38</v>
      </c>
      <c r="V966" s="2" t="s">
        <v>39</v>
      </c>
      <c r="W966" s="2" t="s">
        <v>38</v>
      </c>
      <c r="X966" s="2" t="s">
        <v>39</v>
      </c>
      <c r="Y966" s="2" t="s">
        <v>38</v>
      </c>
      <c r="Z966" s="2" t="s">
        <v>38</v>
      </c>
      <c r="AA966" s="2" t="s">
        <v>38</v>
      </c>
      <c r="AB966" s="2" t="s">
        <v>38</v>
      </c>
      <c r="AC966" s="2" t="s">
        <v>38</v>
      </c>
      <c r="AD966" s="2" t="s">
        <v>38</v>
      </c>
      <c r="AE966" s="2" t="s">
        <v>38</v>
      </c>
    </row>
    <row r="967" spans="1:31" ht="409.5">
      <c r="A967" s="2">
        <v>2644510</v>
      </c>
      <c r="B967" s="2">
        <f>HYPERLINK("https://platform.v2.vetology.net/cases/2644510/screening-report/18?type=pdf&amp;v=v6&amp;scorecard=1&amp;secret_key=BX%25IJ%24%2F65ieZ%29f6", 2644510)</f>
        <v>2644510</v>
      </c>
      <c r="C967" s="2">
        <f>HYPERLINK("https://platform.v2.vetology.net/report/v/final/"&amp;2644510, 2644510)</f>
        <v>2644510</v>
      </c>
      <c r="D967" s="2" t="s">
        <v>2893</v>
      </c>
      <c r="E967" s="2" t="s">
        <v>2894</v>
      </c>
      <c r="F967" s="2" t="s">
        <v>2895</v>
      </c>
      <c r="G967" s="2" t="s">
        <v>575</v>
      </c>
      <c r="H967" s="2" t="s">
        <v>2896</v>
      </c>
      <c r="I967" s="2" t="s">
        <v>167</v>
      </c>
      <c r="J967" s="2" t="s">
        <v>168</v>
      </c>
      <c r="K967" s="2" t="s">
        <v>38</v>
      </c>
      <c r="L967" s="2" t="s">
        <v>39</v>
      </c>
      <c r="M967" s="2" t="s">
        <v>39</v>
      </c>
      <c r="N967" s="2" t="s">
        <v>38</v>
      </c>
      <c r="O967" s="2" t="s">
        <v>38</v>
      </c>
      <c r="P967" s="2" t="s">
        <v>38</v>
      </c>
      <c r="Q967" s="2" t="s">
        <v>38</v>
      </c>
      <c r="R967" s="2" t="s">
        <v>38</v>
      </c>
      <c r="S967" s="2" t="s">
        <v>39</v>
      </c>
      <c r="T967" s="2" t="s">
        <v>39</v>
      </c>
      <c r="U967" s="2" t="s">
        <v>38</v>
      </c>
      <c r="V967" s="2" t="s">
        <v>39</v>
      </c>
      <c r="W967" s="2" t="s">
        <v>38</v>
      </c>
      <c r="X967" s="2" t="s">
        <v>39</v>
      </c>
      <c r="Y967" s="2" t="s">
        <v>38</v>
      </c>
      <c r="Z967" s="2" t="s">
        <v>39</v>
      </c>
      <c r="AA967" s="2" t="s">
        <v>38</v>
      </c>
      <c r="AB967" s="2" t="s">
        <v>38</v>
      </c>
      <c r="AC967" s="2" t="s">
        <v>38</v>
      </c>
      <c r="AD967" s="2" t="s">
        <v>38</v>
      </c>
      <c r="AE967" s="2" t="s">
        <v>38</v>
      </c>
    </row>
    <row r="968" spans="1:31" ht="409.5">
      <c r="A968" s="2">
        <v>2644465</v>
      </c>
      <c r="B968" s="2">
        <f>HYPERLINK("https://platform.v2.vetology.net/cases/2644465/screening-report/18?type=pdf&amp;v=v6&amp;scorecard=1&amp;secret_key=BX%25IJ%24%2F65ieZ%29f6", 2644465)</f>
        <v>2644465</v>
      </c>
      <c r="C968" s="2">
        <f>HYPERLINK("https://platform.v2.vetology.net/report/v/final/"&amp;2644465, 2644465)</f>
        <v>2644465</v>
      </c>
      <c r="D968" s="2" t="s">
        <v>2897</v>
      </c>
      <c r="E968" s="2" t="s">
        <v>2898</v>
      </c>
      <c r="F968" s="2" t="s">
        <v>81</v>
      </c>
      <c r="G968" s="2" t="s">
        <v>82</v>
      </c>
      <c r="H968" s="2" t="s">
        <v>2899</v>
      </c>
      <c r="I968" s="2" t="s">
        <v>124</v>
      </c>
      <c r="J968" s="2" t="s">
        <v>125</v>
      </c>
      <c r="K968" s="2" t="s">
        <v>39</v>
      </c>
      <c r="L968" s="2" t="s">
        <v>39</v>
      </c>
      <c r="M968" s="2" t="s">
        <v>39</v>
      </c>
      <c r="N968" s="2" t="s">
        <v>38</v>
      </c>
      <c r="O968" s="2" t="s">
        <v>38</v>
      </c>
      <c r="P968" s="2" t="s">
        <v>38</v>
      </c>
      <c r="Q968" s="2" t="s">
        <v>38</v>
      </c>
      <c r="R968" s="2" t="s">
        <v>38</v>
      </c>
      <c r="S968" s="2" t="s">
        <v>39</v>
      </c>
      <c r="T968" s="2" t="s">
        <v>39</v>
      </c>
      <c r="U968" s="2" t="s">
        <v>39</v>
      </c>
      <c r="V968" s="2" t="s">
        <v>39</v>
      </c>
      <c r="W968" s="2" t="s">
        <v>38</v>
      </c>
      <c r="X968" s="2" t="s">
        <v>39</v>
      </c>
      <c r="Y968" s="2" t="s">
        <v>38</v>
      </c>
      <c r="Z968" s="2" t="s">
        <v>39</v>
      </c>
      <c r="AA968" s="2" t="s">
        <v>38</v>
      </c>
      <c r="AB968" s="2" t="s">
        <v>38</v>
      </c>
      <c r="AC968" s="2" t="s">
        <v>38</v>
      </c>
      <c r="AD968" s="2" t="s">
        <v>38</v>
      </c>
      <c r="AE968" s="2" t="s">
        <v>38</v>
      </c>
    </row>
    <row r="969" spans="1:31" ht="409.5">
      <c r="A969" s="2">
        <v>2644441</v>
      </c>
      <c r="B969" s="2">
        <f>HYPERLINK("https://platform.v2.vetology.net/cases/2644441/screening-report/18?type=pdf&amp;v=v6&amp;scorecard=1&amp;secret_key=BX%25IJ%24%2F65ieZ%29f6", 2644441)</f>
        <v>2644441</v>
      </c>
      <c r="C969" s="2">
        <f>HYPERLINK("https://platform.v2.vetology.net/report/v/final/"&amp;2644441, 2644441)</f>
        <v>2644441</v>
      </c>
      <c r="D969" s="2" t="s">
        <v>2900</v>
      </c>
      <c r="E969" s="2" t="s">
        <v>2901</v>
      </c>
      <c r="F969" s="2" t="s">
        <v>2902</v>
      </c>
      <c r="G969" s="2" t="s">
        <v>58</v>
      </c>
      <c r="H969" s="2" t="s">
        <v>2742</v>
      </c>
      <c r="I969" s="2" t="s">
        <v>89</v>
      </c>
      <c r="J969" s="2" t="s">
        <v>66</v>
      </c>
      <c r="K969" s="2" t="s">
        <v>38</v>
      </c>
      <c r="L969" s="2" t="s">
        <v>38</v>
      </c>
      <c r="M969" s="2" t="s">
        <v>38</v>
      </c>
      <c r="N969" s="2" t="s">
        <v>38</v>
      </c>
      <c r="O969" s="2" t="s">
        <v>38</v>
      </c>
      <c r="P969" s="2" t="s">
        <v>38</v>
      </c>
      <c r="Q969" s="2" t="s">
        <v>38</v>
      </c>
      <c r="R969" s="2" t="s">
        <v>38</v>
      </c>
      <c r="S969" s="2" t="s">
        <v>38</v>
      </c>
      <c r="T969" s="2" t="s">
        <v>38</v>
      </c>
      <c r="U969" s="2" t="s">
        <v>38</v>
      </c>
      <c r="V969" s="2" t="s">
        <v>38</v>
      </c>
      <c r="W969" s="2" t="s">
        <v>38</v>
      </c>
      <c r="X969" s="2" t="s">
        <v>38</v>
      </c>
      <c r="Y969" s="2" t="s">
        <v>38</v>
      </c>
      <c r="Z969" s="2" t="s">
        <v>38</v>
      </c>
      <c r="AA969" s="2" t="s">
        <v>38</v>
      </c>
      <c r="AB969" s="2" t="s">
        <v>38</v>
      </c>
      <c r="AC969" s="2" t="s">
        <v>38</v>
      </c>
      <c r="AD969" s="2" t="s">
        <v>38</v>
      </c>
      <c r="AE969" s="2" t="s">
        <v>38</v>
      </c>
    </row>
    <row r="970" spans="1:31" ht="409.5">
      <c r="A970" s="2">
        <v>2644342</v>
      </c>
      <c r="B970" s="2">
        <f>HYPERLINK("https://platform.v2.vetology.net/cases/2644342/screening-report/18?type=pdf&amp;v=v6&amp;scorecard=1&amp;secret_key=BX%25IJ%24%2F65ieZ%29f6", 2644342)</f>
        <v>2644342</v>
      </c>
      <c r="C970" s="2">
        <f>HYPERLINK("https://platform.v2.vetology.net/report/v/final/"&amp;2644342, 2644342)</f>
        <v>2644342</v>
      </c>
      <c r="D970" s="2" t="s">
        <v>2903</v>
      </c>
      <c r="E970" s="2" t="s">
        <v>2904</v>
      </c>
      <c r="F970" s="2" t="s">
        <v>1444</v>
      </c>
      <c r="G970" s="2" t="s">
        <v>464</v>
      </c>
      <c r="H970" s="2" t="s">
        <v>607</v>
      </c>
      <c r="I970" s="2" t="s">
        <v>137</v>
      </c>
      <c r="J970" s="2" t="s">
        <v>66</v>
      </c>
      <c r="K970" s="2" t="s">
        <v>38</v>
      </c>
      <c r="L970" s="2" t="s">
        <v>38</v>
      </c>
      <c r="M970" s="2" t="s">
        <v>38</v>
      </c>
      <c r="N970" s="2" t="s">
        <v>38</v>
      </c>
      <c r="O970" s="2" t="s">
        <v>38</v>
      </c>
      <c r="P970" s="2" t="s">
        <v>38</v>
      </c>
      <c r="Q970" s="2" t="s">
        <v>38</v>
      </c>
      <c r="R970" s="2" t="s">
        <v>38</v>
      </c>
      <c r="S970" s="2" t="s">
        <v>38</v>
      </c>
      <c r="T970" s="2" t="s">
        <v>39</v>
      </c>
      <c r="U970" s="2" t="s">
        <v>38</v>
      </c>
      <c r="V970" s="2" t="s">
        <v>39</v>
      </c>
      <c r="W970" s="2" t="s">
        <v>38</v>
      </c>
      <c r="X970" s="2" t="s">
        <v>39</v>
      </c>
      <c r="Y970" s="2" t="s">
        <v>38</v>
      </c>
      <c r="Z970" s="2" t="s">
        <v>38</v>
      </c>
      <c r="AA970" s="2" t="s">
        <v>38</v>
      </c>
      <c r="AB970" s="2" t="s">
        <v>38</v>
      </c>
      <c r="AC970" s="2" t="s">
        <v>38</v>
      </c>
      <c r="AD970" s="2" t="s">
        <v>38</v>
      </c>
      <c r="AE970" s="2" t="s">
        <v>38</v>
      </c>
    </row>
    <row r="971" spans="1:31" ht="409.5">
      <c r="A971" s="2">
        <v>2644304</v>
      </c>
      <c r="B971" s="2">
        <f>HYPERLINK("https://platform.v2.vetology.net/cases/2644304/screening-report/18?type=pdf&amp;v=v6&amp;scorecard=1&amp;secret_key=BX%25IJ%24%2F65ieZ%29f6", 2644304)</f>
        <v>2644304</v>
      </c>
      <c r="C971" s="2">
        <f>HYPERLINK("https://platform.v2.vetology.net/report/v/final/"&amp;2644304, 2644304)</f>
        <v>2644304</v>
      </c>
      <c r="D971" s="2" t="s">
        <v>2905</v>
      </c>
      <c r="E971" s="2" t="s">
        <v>387</v>
      </c>
      <c r="F971" s="2" t="s">
        <v>149</v>
      </c>
      <c r="G971" s="2" t="s">
        <v>150</v>
      </c>
      <c r="H971" s="2" t="s">
        <v>771</v>
      </c>
      <c r="I971" s="2" t="s">
        <v>44</v>
      </c>
      <c r="J971" s="2"/>
      <c r="K971" s="2" t="s">
        <v>38</v>
      </c>
      <c r="L971" s="2" t="s">
        <v>39</v>
      </c>
      <c r="M971" s="2" t="s">
        <v>39</v>
      </c>
      <c r="N971" s="2" t="s">
        <v>38</v>
      </c>
      <c r="O971" s="2" t="s">
        <v>38</v>
      </c>
      <c r="P971" s="2" t="s">
        <v>38</v>
      </c>
      <c r="Q971" s="2" t="s">
        <v>38</v>
      </c>
      <c r="R971" s="2" t="s">
        <v>38</v>
      </c>
      <c r="S971" s="2" t="s">
        <v>38</v>
      </c>
      <c r="T971" s="2" t="s">
        <v>38</v>
      </c>
      <c r="U971" s="2" t="s">
        <v>38</v>
      </c>
      <c r="V971" s="2" t="s">
        <v>38</v>
      </c>
      <c r="W971" s="2" t="s">
        <v>38</v>
      </c>
      <c r="X971" s="2" t="s">
        <v>38</v>
      </c>
      <c r="Y971" s="2" t="s">
        <v>38</v>
      </c>
      <c r="Z971" s="2" t="s">
        <v>38</v>
      </c>
      <c r="AA971" s="2" t="s">
        <v>38</v>
      </c>
      <c r="AB971" s="2" t="s">
        <v>38</v>
      </c>
      <c r="AC971" s="2" t="s">
        <v>39</v>
      </c>
      <c r="AD971" s="2" t="s">
        <v>38</v>
      </c>
      <c r="AE971" s="2" t="s">
        <v>38</v>
      </c>
    </row>
    <row r="972" spans="1:31" ht="409.5">
      <c r="A972" s="2">
        <v>2644252</v>
      </c>
      <c r="B972" s="2">
        <f>HYPERLINK("https://platform.v2.vetology.net/cases/2644252/screening-report/18?type=pdf&amp;v=v6&amp;scorecard=1&amp;secret_key=BX%25IJ%24%2F65ieZ%29f6", 2644252)</f>
        <v>2644252</v>
      </c>
      <c r="C972" s="2">
        <f>HYPERLINK("https://platform.v2.vetology.net/report/v/final/"&amp;2644252, 2644252)</f>
        <v>2644252</v>
      </c>
      <c r="D972" s="2" t="s">
        <v>2906</v>
      </c>
      <c r="E972" s="2" t="s">
        <v>2907</v>
      </c>
      <c r="F972" s="2" t="s">
        <v>2908</v>
      </c>
      <c r="G972" s="2" t="s">
        <v>93</v>
      </c>
      <c r="H972" s="2" t="s">
        <v>78</v>
      </c>
      <c r="I972" s="2" t="s">
        <v>44</v>
      </c>
      <c r="J972" s="2"/>
      <c r="K972" s="2" t="s">
        <v>38</v>
      </c>
      <c r="L972" s="2" t="s">
        <v>39</v>
      </c>
      <c r="M972" s="2" t="s">
        <v>38</v>
      </c>
      <c r="N972" s="2" t="s">
        <v>38</v>
      </c>
      <c r="O972" s="2" t="s">
        <v>38</v>
      </c>
      <c r="P972" s="2" t="s">
        <v>38</v>
      </c>
      <c r="Q972" s="2" t="s">
        <v>38</v>
      </c>
      <c r="R972" s="2" t="s">
        <v>38</v>
      </c>
      <c r="S972" s="2" t="s">
        <v>38</v>
      </c>
      <c r="T972" s="2" t="s">
        <v>38</v>
      </c>
      <c r="U972" s="2" t="s">
        <v>38</v>
      </c>
      <c r="V972" s="2" t="s">
        <v>38</v>
      </c>
      <c r="W972" s="2" t="s">
        <v>38</v>
      </c>
      <c r="X972" s="2" t="s">
        <v>38</v>
      </c>
      <c r="Y972" s="2" t="s">
        <v>38</v>
      </c>
      <c r="Z972" s="2" t="s">
        <v>38</v>
      </c>
      <c r="AA972" s="2" t="s">
        <v>38</v>
      </c>
      <c r="AB972" s="2" t="s">
        <v>38</v>
      </c>
      <c r="AC972" s="2" t="s">
        <v>38</v>
      </c>
      <c r="AD972" s="2" t="s">
        <v>38</v>
      </c>
      <c r="AE972" s="2" t="s">
        <v>38</v>
      </c>
    </row>
    <row r="973" spans="1:31" ht="409.5">
      <c r="A973" s="2">
        <v>2644199</v>
      </c>
      <c r="B973" s="2">
        <f>HYPERLINK("https://platform.v2.vetology.net/cases/2644199/screening-report/18?type=pdf&amp;v=v6&amp;scorecard=1&amp;secret_key=BX%25IJ%24%2F65ieZ%29f6", 2644199)</f>
        <v>2644199</v>
      </c>
      <c r="C973" s="2">
        <f>HYPERLINK("https://platform.v2.vetology.net/report/v/final/"&amp;2644199, 2644199)</f>
        <v>2644199</v>
      </c>
      <c r="D973" s="2" t="s">
        <v>2909</v>
      </c>
      <c r="E973" s="2" t="s">
        <v>2910</v>
      </c>
      <c r="F973" s="2" t="s">
        <v>2911</v>
      </c>
      <c r="G973" s="2" t="s">
        <v>575</v>
      </c>
      <c r="H973" s="2" t="s">
        <v>180</v>
      </c>
      <c r="I973" s="2" t="s">
        <v>124</v>
      </c>
      <c r="J973" s="2" t="s">
        <v>125</v>
      </c>
      <c r="K973" s="2" t="s">
        <v>38</v>
      </c>
      <c r="L973" s="2" t="s">
        <v>39</v>
      </c>
      <c r="M973" s="2" t="s">
        <v>39</v>
      </c>
      <c r="N973" s="2" t="s">
        <v>38</v>
      </c>
      <c r="O973" s="2" t="s">
        <v>38</v>
      </c>
      <c r="P973" s="2" t="s">
        <v>38</v>
      </c>
      <c r="Q973" s="2" t="s">
        <v>38</v>
      </c>
      <c r="R973" s="2" t="s">
        <v>38</v>
      </c>
      <c r="S973" s="2" t="s">
        <v>38</v>
      </c>
      <c r="T973" s="2" t="s">
        <v>38</v>
      </c>
      <c r="U973" s="2" t="s">
        <v>38</v>
      </c>
      <c r="V973" s="2" t="s">
        <v>38</v>
      </c>
      <c r="W973" s="2" t="s">
        <v>38</v>
      </c>
      <c r="X973" s="2" t="s">
        <v>38</v>
      </c>
      <c r="Y973" s="2" t="s">
        <v>38</v>
      </c>
      <c r="Z973" s="2" t="s">
        <v>38</v>
      </c>
      <c r="AA973" s="2" t="s">
        <v>38</v>
      </c>
      <c r="AB973" s="2" t="s">
        <v>38</v>
      </c>
      <c r="AC973" s="2" t="s">
        <v>39</v>
      </c>
      <c r="AD973" s="2" t="s">
        <v>38</v>
      </c>
      <c r="AE973" s="2" t="s">
        <v>38</v>
      </c>
    </row>
    <row r="974" spans="1:31" ht="409.5">
      <c r="A974" s="2">
        <v>2644156</v>
      </c>
      <c r="B974" s="2">
        <f>HYPERLINK("https://platform.v2.vetology.net/cases/2644156/screening-report/18?type=pdf&amp;v=v6&amp;scorecard=1&amp;secret_key=BX%25IJ%24%2F65ieZ%29f6", 2644156)</f>
        <v>2644156</v>
      </c>
      <c r="C974" s="2">
        <f>HYPERLINK("https://platform.v2.vetology.net/report/v/final/"&amp;2644156, 2644156)</f>
        <v>2644156</v>
      </c>
      <c r="D974" s="2" t="s">
        <v>2912</v>
      </c>
      <c r="E974" s="2" t="s">
        <v>2913</v>
      </c>
      <c r="F974" s="2" t="s">
        <v>2914</v>
      </c>
      <c r="G974" s="2" t="s">
        <v>150</v>
      </c>
      <c r="H974" s="2" t="s">
        <v>607</v>
      </c>
      <c r="I974" s="2" t="s">
        <v>137</v>
      </c>
      <c r="J974" s="2" t="s">
        <v>66</v>
      </c>
      <c r="K974" s="2" t="s">
        <v>38</v>
      </c>
      <c r="L974" s="2" t="s">
        <v>39</v>
      </c>
      <c r="M974" s="2" t="s">
        <v>38</v>
      </c>
      <c r="N974" s="2" t="s">
        <v>38</v>
      </c>
      <c r="O974" s="2" t="s">
        <v>38</v>
      </c>
      <c r="P974" s="2" t="s">
        <v>38</v>
      </c>
      <c r="Q974" s="2" t="s">
        <v>39</v>
      </c>
      <c r="R974" s="2" t="s">
        <v>38</v>
      </c>
      <c r="S974" s="2" t="s">
        <v>38</v>
      </c>
      <c r="T974" s="2" t="s">
        <v>38</v>
      </c>
      <c r="U974" s="2" t="s">
        <v>38</v>
      </c>
      <c r="V974" s="2" t="s">
        <v>38</v>
      </c>
      <c r="W974" s="2" t="s">
        <v>38</v>
      </c>
      <c r="X974" s="2" t="s">
        <v>38</v>
      </c>
      <c r="Y974" s="2" t="s">
        <v>38</v>
      </c>
      <c r="Z974" s="2" t="s">
        <v>38</v>
      </c>
      <c r="AA974" s="2" t="s">
        <v>38</v>
      </c>
      <c r="AB974" s="2" t="s">
        <v>38</v>
      </c>
      <c r="AC974" s="2" t="s">
        <v>38</v>
      </c>
      <c r="AD974" s="2" t="s">
        <v>38</v>
      </c>
      <c r="AE974" s="2" t="s">
        <v>38</v>
      </c>
    </row>
    <row r="975" spans="1:31" ht="409.5">
      <c r="A975" s="2">
        <v>2644129</v>
      </c>
      <c r="B975" s="2">
        <f>HYPERLINK("https://platform.v2.vetology.net/cases/2644129/screening-report/18?type=pdf&amp;v=v6&amp;scorecard=1&amp;secret_key=BX%25IJ%24%2F65ieZ%29f6", 2644129)</f>
        <v>2644129</v>
      </c>
      <c r="C975" s="2">
        <f>HYPERLINK("https://platform.v2.vetology.net/report/v/final/"&amp;2644129, 2644129)</f>
        <v>2644129</v>
      </c>
      <c r="D975" s="2" t="s">
        <v>2915</v>
      </c>
      <c r="E975" s="2" t="s">
        <v>2916</v>
      </c>
      <c r="F975" s="2" t="s">
        <v>2917</v>
      </c>
      <c r="G975" s="2" t="s">
        <v>150</v>
      </c>
      <c r="H975" s="2" t="s">
        <v>1364</v>
      </c>
      <c r="I975" s="2" t="s">
        <v>290</v>
      </c>
      <c r="J975" s="2" t="s">
        <v>66</v>
      </c>
      <c r="K975" s="2" t="s">
        <v>38</v>
      </c>
      <c r="L975" s="2" t="s">
        <v>39</v>
      </c>
      <c r="M975" s="2" t="s">
        <v>39</v>
      </c>
      <c r="N975" s="2" t="s">
        <v>38</v>
      </c>
      <c r="O975" s="2" t="s">
        <v>38</v>
      </c>
      <c r="P975" s="2" t="s">
        <v>38</v>
      </c>
      <c r="Q975" s="2" t="s">
        <v>38</v>
      </c>
      <c r="R975" s="2" t="s">
        <v>38</v>
      </c>
      <c r="S975" s="2" t="s">
        <v>38</v>
      </c>
      <c r="T975" s="2" t="s">
        <v>39</v>
      </c>
      <c r="U975" s="2" t="s">
        <v>38</v>
      </c>
      <c r="V975" s="2" t="s">
        <v>38</v>
      </c>
      <c r="W975" s="2" t="s">
        <v>38</v>
      </c>
      <c r="X975" s="2" t="s">
        <v>39</v>
      </c>
      <c r="Y975" s="2" t="s">
        <v>38</v>
      </c>
      <c r="Z975" s="2" t="s">
        <v>39</v>
      </c>
      <c r="AA975" s="2" t="s">
        <v>38</v>
      </c>
      <c r="AB975" s="2" t="s">
        <v>39</v>
      </c>
      <c r="AC975" s="2" t="s">
        <v>38</v>
      </c>
      <c r="AD975" s="2" t="s">
        <v>38</v>
      </c>
      <c r="AE975" s="2" t="s">
        <v>38</v>
      </c>
    </row>
    <row r="976" spans="1:31" ht="409.5">
      <c r="A976" s="2">
        <v>2643790</v>
      </c>
      <c r="B976" s="2">
        <f>HYPERLINK("https://platform.v2.vetology.net/cases/2643790/screening-report/18?type=pdf&amp;v=v6&amp;scorecard=1&amp;secret_key=BX%25IJ%24%2F65ieZ%29f6", 2643790)</f>
        <v>2643790</v>
      </c>
      <c r="C976" s="2">
        <f>HYPERLINK("https://platform.v2.vetology.net/report/v/final/"&amp;2643790, 2643790)</f>
        <v>2643790</v>
      </c>
      <c r="D976" s="2" t="s">
        <v>2918</v>
      </c>
      <c r="E976" s="2" t="s">
        <v>415</v>
      </c>
      <c r="F976" s="2" t="s">
        <v>2919</v>
      </c>
      <c r="G976" s="2" t="s">
        <v>135</v>
      </c>
      <c r="H976" s="2" t="s">
        <v>78</v>
      </c>
      <c r="I976" s="2" t="s">
        <v>44</v>
      </c>
      <c r="J976" s="2"/>
      <c r="K976" s="2" t="s">
        <v>38</v>
      </c>
      <c r="L976" s="2" t="s">
        <v>39</v>
      </c>
      <c r="M976" s="2" t="s">
        <v>38</v>
      </c>
      <c r="N976" s="2" t="s">
        <v>38</v>
      </c>
      <c r="O976" s="2" t="s">
        <v>38</v>
      </c>
      <c r="P976" s="2" t="s">
        <v>38</v>
      </c>
      <c r="Q976" s="2" t="s">
        <v>38</v>
      </c>
      <c r="R976" s="2" t="s">
        <v>38</v>
      </c>
      <c r="S976" s="2" t="s">
        <v>38</v>
      </c>
      <c r="T976" s="2" t="s">
        <v>39</v>
      </c>
      <c r="U976" s="2" t="s">
        <v>38</v>
      </c>
      <c r="V976" s="2" t="s">
        <v>38</v>
      </c>
      <c r="W976" s="2" t="s">
        <v>38</v>
      </c>
      <c r="X976" s="2" t="s">
        <v>38</v>
      </c>
      <c r="Y976" s="2" t="s">
        <v>38</v>
      </c>
      <c r="Z976" s="2" t="s">
        <v>39</v>
      </c>
      <c r="AA976" s="2" t="s">
        <v>38</v>
      </c>
      <c r="AB976" s="2" t="s">
        <v>38</v>
      </c>
      <c r="AC976" s="2" t="s">
        <v>39</v>
      </c>
      <c r="AD976" s="2" t="s">
        <v>38</v>
      </c>
      <c r="AE976" s="2" t="s">
        <v>38</v>
      </c>
    </row>
    <row r="977" spans="1:31" ht="409.5">
      <c r="A977" s="2">
        <v>2643642</v>
      </c>
      <c r="B977" s="2">
        <f>HYPERLINK("https://platform.v2.vetology.net/cases/2643642/screening-report/18?type=pdf&amp;v=v6&amp;scorecard=1&amp;secret_key=BX%25IJ%24%2F65ieZ%29f6", 2643642)</f>
        <v>2643642</v>
      </c>
      <c r="C977" s="2">
        <f>HYPERLINK("https://platform.v2.vetology.net/report/v/final/"&amp;2643642, 2643642)</f>
        <v>2643642</v>
      </c>
      <c r="D977" s="2" t="s">
        <v>2920</v>
      </c>
      <c r="E977" s="2" t="s">
        <v>2921</v>
      </c>
      <c r="F977" s="2" t="s">
        <v>81</v>
      </c>
      <c r="G977" s="2" t="s">
        <v>82</v>
      </c>
      <c r="H977" s="2" t="s">
        <v>442</v>
      </c>
      <c r="I977" s="2" t="s">
        <v>36</v>
      </c>
      <c r="J977" s="2" t="s">
        <v>37</v>
      </c>
      <c r="K977" s="2" t="s">
        <v>38</v>
      </c>
      <c r="L977" s="2" t="s">
        <v>39</v>
      </c>
      <c r="M977" s="2" t="s">
        <v>38</v>
      </c>
      <c r="N977" s="2" t="s">
        <v>38</v>
      </c>
      <c r="O977" s="2" t="s">
        <v>38</v>
      </c>
      <c r="P977" s="2" t="s">
        <v>38</v>
      </c>
      <c r="Q977" s="2" t="s">
        <v>38</v>
      </c>
      <c r="R977" s="2" t="s">
        <v>38</v>
      </c>
      <c r="S977" s="2" t="s">
        <v>38</v>
      </c>
      <c r="T977" s="2" t="s">
        <v>39</v>
      </c>
      <c r="U977" s="2" t="s">
        <v>38</v>
      </c>
      <c r="V977" s="2" t="s">
        <v>39</v>
      </c>
      <c r="W977" s="2" t="s">
        <v>38</v>
      </c>
      <c r="X977" s="2" t="s">
        <v>39</v>
      </c>
      <c r="Y977" s="2" t="s">
        <v>38</v>
      </c>
      <c r="Z977" s="2" t="s">
        <v>38</v>
      </c>
      <c r="AA977" s="2" t="s">
        <v>38</v>
      </c>
      <c r="AB977" s="2" t="s">
        <v>38</v>
      </c>
      <c r="AC977" s="2" t="s">
        <v>38</v>
      </c>
      <c r="AD977" s="2" t="s">
        <v>38</v>
      </c>
      <c r="AE977" s="2" t="s">
        <v>38</v>
      </c>
    </row>
    <row r="978" spans="1:31" ht="409.5">
      <c r="A978" s="2">
        <v>2643617</v>
      </c>
      <c r="B978" s="2">
        <f>HYPERLINK("https://platform.v2.vetology.net/cases/2643617/screening-report/18?type=pdf&amp;v=v6&amp;scorecard=1&amp;secret_key=BX%25IJ%24%2F65ieZ%29f6", 2643617)</f>
        <v>2643617</v>
      </c>
      <c r="C978" s="2">
        <f>HYPERLINK("https://platform.v2.vetology.net/report/v/final/"&amp;2643617, 2643617)</f>
        <v>2643617</v>
      </c>
      <c r="D978" s="2" t="s">
        <v>2922</v>
      </c>
      <c r="E978" s="2" t="s">
        <v>2923</v>
      </c>
      <c r="F978" s="2" t="s">
        <v>2924</v>
      </c>
      <c r="G978" s="2" t="s">
        <v>58</v>
      </c>
      <c r="H978" s="2" t="s">
        <v>88</v>
      </c>
      <c r="I978" s="2" t="s">
        <v>89</v>
      </c>
      <c r="J978" s="2" t="s">
        <v>66</v>
      </c>
      <c r="K978" s="2" t="s">
        <v>38</v>
      </c>
      <c r="L978" s="2" t="s">
        <v>39</v>
      </c>
      <c r="M978" s="2" t="s">
        <v>38</v>
      </c>
      <c r="N978" s="2" t="s">
        <v>38</v>
      </c>
      <c r="O978" s="2" t="s">
        <v>38</v>
      </c>
      <c r="P978" s="2" t="s">
        <v>38</v>
      </c>
      <c r="Q978" s="2" t="s">
        <v>38</v>
      </c>
      <c r="R978" s="2" t="s">
        <v>38</v>
      </c>
      <c r="S978" s="2" t="s">
        <v>38</v>
      </c>
      <c r="T978" s="2" t="s">
        <v>39</v>
      </c>
      <c r="U978" s="2" t="s">
        <v>38</v>
      </c>
      <c r="V978" s="2" t="s">
        <v>39</v>
      </c>
      <c r="W978" s="2" t="s">
        <v>38</v>
      </c>
      <c r="X978" s="2" t="s">
        <v>39</v>
      </c>
      <c r="Y978" s="2" t="s">
        <v>38</v>
      </c>
      <c r="Z978" s="2" t="s">
        <v>38</v>
      </c>
      <c r="AA978" s="2" t="s">
        <v>38</v>
      </c>
      <c r="AB978" s="2" t="s">
        <v>39</v>
      </c>
      <c r="AC978" s="2" t="s">
        <v>38</v>
      </c>
      <c r="AD978" s="2" t="s">
        <v>38</v>
      </c>
      <c r="AE978" s="2" t="s">
        <v>39</v>
      </c>
    </row>
    <row r="979" spans="1:31" ht="409.5">
      <c r="A979" s="2">
        <v>2643360</v>
      </c>
      <c r="B979" s="2">
        <f>HYPERLINK("https://platform.v2.vetology.net/cases/2643360/screening-report/18?type=pdf&amp;v=v6&amp;scorecard=1&amp;secret_key=BX%25IJ%24%2F65ieZ%29f6", 2643360)</f>
        <v>2643360</v>
      </c>
      <c r="C979" s="2">
        <f>HYPERLINK("https://platform.v2.vetology.net/report/v/final/"&amp;2643360, 2643360)</f>
        <v>2643360</v>
      </c>
      <c r="D979" s="2" t="s">
        <v>2925</v>
      </c>
      <c r="E979" s="2" t="s">
        <v>2926</v>
      </c>
      <c r="F979" s="2" t="s">
        <v>2927</v>
      </c>
      <c r="G979" s="2" t="s">
        <v>135</v>
      </c>
      <c r="H979" s="2" t="s">
        <v>129</v>
      </c>
      <c r="I979" s="2" t="s">
        <v>44</v>
      </c>
      <c r="J979" s="2"/>
      <c r="K979" s="2" t="s">
        <v>38</v>
      </c>
      <c r="L979" s="2" t="s">
        <v>38</v>
      </c>
      <c r="M979" s="2" t="s">
        <v>38</v>
      </c>
      <c r="N979" s="2" t="s">
        <v>38</v>
      </c>
      <c r="O979" s="2" t="s">
        <v>38</v>
      </c>
      <c r="P979" s="2" t="s">
        <v>38</v>
      </c>
      <c r="Q979" s="2" t="s">
        <v>38</v>
      </c>
      <c r="R979" s="2" t="s">
        <v>38</v>
      </c>
      <c r="S979" s="2" t="s">
        <v>38</v>
      </c>
      <c r="T979" s="2" t="s">
        <v>39</v>
      </c>
      <c r="U979" s="2" t="s">
        <v>38</v>
      </c>
      <c r="V979" s="2" t="s">
        <v>39</v>
      </c>
      <c r="W979" s="2" t="s">
        <v>38</v>
      </c>
      <c r="X979" s="2" t="s">
        <v>39</v>
      </c>
      <c r="Y979" s="2" t="s">
        <v>38</v>
      </c>
      <c r="Z979" s="2" t="s">
        <v>38</v>
      </c>
      <c r="AA979" s="2" t="s">
        <v>38</v>
      </c>
      <c r="AB979" s="2" t="s">
        <v>38</v>
      </c>
      <c r="AC979" s="2" t="s">
        <v>38</v>
      </c>
      <c r="AD979" s="2" t="s">
        <v>38</v>
      </c>
      <c r="AE979" s="2" t="s">
        <v>38</v>
      </c>
    </row>
    <row r="980" spans="1:31" ht="409.5">
      <c r="A980" s="2">
        <v>2643324</v>
      </c>
      <c r="B980" s="2">
        <f>HYPERLINK("https://platform.v2.vetology.net/cases/2643324/screening-report/18?type=pdf&amp;v=v6&amp;scorecard=1&amp;secret_key=BX%25IJ%24%2F65ieZ%29f6", 2643324)</f>
        <v>2643324</v>
      </c>
      <c r="C980" s="2">
        <f>HYPERLINK("https://platform.v2.vetology.net/report/v/final/"&amp;2643324, 2643324)</f>
        <v>2643324</v>
      </c>
      <c r="D980" s="2" t="s">
        <v>2928</v>
      </c>
      <c r="E980" s="2" t="s">
        <v>2929</v>
      </c>
      <c r="F980" s="2" t="s">
        <v>2930</v>
      </c>
      <c r="G980" s="2" t="s">
        <v>464</v>
      </c>
      <c r="H980" s="2" t="s">
        <v>88</v>
      </c>
      <c r="I980" s="2" t="s">
        <v>89</v>
      </c>
      <c r="J980" s="2" t="s">
        <v>66</v>
      </c>
      <c r="K980" s="2" t="s">
        <v>38</v>
      </c>
      <c r="L980" s="2" t="s">
        <v>38</v>
      </c>
      <c r="M980" s="2" t="s">
        <v>38</v>
      </c>
      <c r="N980" s="2" t="s">
        <v>38</v>
      </c>
      <c r="O980" s="2" t="s">
        <v>38</v>
      </c>
      <c r="P980" s="2" t="s">
        <v>38</v>
      </c>
      <c r="Q980" s="2" t="s">
        <v>38</v>
      </c>
      <c r="R980" s="2" t="s">
        <v>38</v>
      </c>
      <c r="S980" s="2" t="s">
        <v>38</v>
      </c>
      <c r="T980" s="2" t="s">
        <v>38</v>
      </c>
      <c r="U980" s="2" t="s">
        <v>38</v>
      </c>
      <c r="V980" s="2" t="s">
        <v>38</v>
      </c>
      <c r="W980" s="2" t="s">
        <v>38</v>
      </c>
      <c r="X980" s="2" t="s">
        <v>39</v>
      </c>
      <c r="Y980" s="2" t="s">
        <v>38</v>
      </c>
      <c r="Z980" s="2" t="s">
        <v>38</v>
      </c>
      <c r="AA980" s="2" t="s">
        <v>38</v>
      </c>
      <c r="AB980" s="2" t="s">
        <v>39</v>
      </c>
      <c r="AC980" s="2" t="s">
        <v>38</v>
      </c>
      <c r="AD980" s="2" t="s">
        <v>38</v>
      </c>
      <c r="AE980" s="2" t="s">
        <v>39</v>
      </c>
    </row>
    <row r="981" spans="1:31" ht="409.5">
      <c r="A981" s="2">
        <v>2643248</v>
      </c>
      <c r="B981" s="2">
        <f>HYPERLINK("https://platform.v2.vetology.net/cases/2643248/screening-report/18?type=pdf&amp;v=v6&amp;scorecard=1&amp;secret_key=BX%25IJ%24%2F65ieZ%29f6", 2643248)</f>
        <v>2643248</v>
      </c>
      <c r="C981" s="2">
        <f>HYPERLINK("https://platform.v2.vetology.net/report/v/final/"&amp;2643248, 2643248)</f>
        <v>2643248</v>
      </c>
      <c r="D981" s="2" t="s">
        <v>2931</v>
      </c>
      <c r="E981" s="2" t="s">
        <v>2932</v>
      </c>
      <c r="F981" s="2" t="s">
        <v>81</v>
      </c>
      <c r="G981" s="2" t="s">
        <v>150</v>
      </c>
      <c r="H981" s="2" t="s">
        <v>364</v>
      </c>
      <c r="I981" s="2" t="s">
        <v>264</v>
      </c>
      <c r="J981" s="2" t="s">
        <v>265</v>
      </c>
      <c r="K981" s="2" t="s">
        <v>38</v>
      </c>
      <c r="L981" s="2" t="s">
        <v>38</v>
      </c>
      <c r="M981" s="2" t="s">
        <v>39</v>
      </c>
      <c r="N981" s="2" t="s">
        <v>38</v>
      </c>
      <c r="O981" s="2" t="s">
        <v>38</v>
      </c>
      <c r="P981" s="2" t="s">
        <v>39</v>
      </c>
      <c r="Q981" s="2" t="s">
        <v>38</v>
      </c>
      <c r="R981" s="2" t="s">
        <v>38</v>
      </c>
      <c r="S981" s="2" t="s">
        <v>38</v>
      </c>
      <c r="T981" s="2" t="s">
        <v>39</v>
      </c>
      <c r="U981" s="2" t="s">
        <v>38</v>
      </c>
      <c r="V981" s="2" t="s">
        <v>38</v>
      </c>
      <c r="W981" s="2" t="s">
        <v>38</v>
      </c>
      <c r="X981" s="2" t="s">
        <v>39</v>
      </c>
      <c r="Y981" s="2" t="s">
        <v>38</v>
      </c>
      <c r="Z981" s="2" t="s">
        <v>38</v>
      </c>
      <c r="AA981" s="2" t="s">
        <v>38</v>
      </c>
      <c r="AB981" s="2" t="s">
        <v>38</v>
      </c>
      <c r="AC981" s="2" t="s">
        <v>38</v>
      </c>
      <c r="AD981" s="2" t="s">
        <v>38</v>
      </c>
      <c r="AE981" s="2" t="s">
        <v>38</v>
      </c>
    </row>
    <row r="982" spans="1:31" ht="409.5">
      <c r="A982" s="2">
        <v>2643125</v>
      </c>
      <c r="B982" s="2">
        <f>HYPERLINK("https://platform.v2.vetology.net/cases/2643125/screening-report/18?type=pdf&amp;v=v6&amp;scorecard=1&amp;secret_key=BX%25IJ%24%2F65ieZ%29f6", 2643125)</f>
        <v>2643125</v>
      </c>
      <c r="C982" s="2">
        <f>HYPERLINK("https://platform.v2.vetology.net/report/v/final/"&amp;2643125, 2643125)</f>
        <v>2643125</v>
      </c>
      <c r="D982" s="2" t="s">
        <v>2933</v>
      </c>
      <c r="E982" s="2" t="s">
        <v>2934</v>
      </c>
      <c r="F982" s="2" t="s">
        <v>2935</v>
      </c>
      <c r="G982" s="2" t="s">
        <v>212</v>
      </c>
      <c r="H982" s="2" t="s">
        <v>442</v>
      </c>
      <c r="I982" s="2" t="s">
        <v>36</v>
      </c>
      <c r="J982" s="2" t="s">
        <v>37</v>
      </c>
      <c r="K982" s="2" t="s">
        <v>38</v>
      </c>
      <c r="L982" s="2" t="s">
        <v>38</v>
      </c>
      <c r="M982" s="2" t="s">
        <v>38</v>
      </c>
      <c r="N982" s="2" t="s">
        <v>38</v>
      </c>
      <c r="O982" s="2" t="s">
        <v>38</v>
      </c>
      <c r="P982" s="2" t="s">
        <v>38</v>
      </c>
      <c r="Q982" s="2" t="s">
        <v>38</v>
      </c>
      <c r="R982" s="2" t="s">
        <v>38</v>
      </c>
      <c r="S982" s="2" t="s">
        <v>38</v>
      </c>
      <c r="T982" s="2" t="s">
        <v>39</v>
      </c>
      <c r="U982" s="2" t="s">
        <v>38</v>
      </c>
      <c r="V982" s="2" t="s">
        <v>39</v>
      </c>
      <c r="W982" s="2" t="s">
        <v>38</v>
      </c>
      <c r="X982" s="2" t="s">
        <v>39</v>
      </c>
      <c r="Y982" s="2" t="s">
        <v>38</v>
      </c>
      <c r="Z982" s="2" t="s">
        <v>38</v>
      </c>
      <c r="AA982" s="2" t="s">
        <v>38</v>
      </c>
      <c r="AB982" s="2" t="s">
        <v>38</v>
      </c>
      <c r="AC982" s="2" t="s">
        <v>38</v>
      </c>
      <c r="AD982" s="2" t="s">
        <v>38</v>
      </c>
      <c r="AE982" s="2" t="s">
        <v>38</v>
      </c>
    </row>
    <row r="983" spans="1:31" ht="409.5">
      <c r="A983" s="2">
        <v>2643077</v>
      </c>
      <c r="B983" s="2">
        <f>HYPERLINK("https://platform.v2.vetology.net/cases/2643077/screening-report/18?type=pdf&amp;v=v6&amp;scorecard=1&amp;secret_key=BX%25IJ%24%2F65ieZ%29f6", 2643077)</f>
        <v>2643077</v>
      </c>
      <c r="C983" s="2">
        <f>HYPERLINK("https://platform.v2.vetology.net/report/v/final/"&amp;2643077, 2643077)</f>
        <v>2643077</v>
      </c>
      <c r="D983" s="2" t="s">
        <v>2936</v>
      </c>
      <c r="E983" s="2" t="s">
        <v>2937</v>
      </c>
      <c r="F983" s="2"/>
      <c r="G983" s="2" t="s">
        <v>150</v>
      </c>
      <c r="H983" s="2" t="s">
        <v>2938</v>
      </c>
      <c r="I983" s="2" t="s">
        <v>89</v>
      </c>
      <c r="J983" s="2" t="s">
        <v>66</v>
      </c>
      <c r="K983" s="2" t="s">
        <v>38</v>
      </c>
      <c r="L983" s="2" t="s">
        <v>39</v>
      </c>
      <c r="M983" s="2" t="s">
        <v>38</v>
      </c>
      <c r="N983" s="2" t="s">
        <v>38</v>
      </c>
      <c r="O983" s="2" t="s">
        <v>38</v>
      </c>
      <c r="P983" s="2" t="s">
        <v>38</v>
      </c>
      <c r="Q983" s="2" t="s">
        <v>38</v>
      </c>
      <c r="R983" s="2" t="s">
        <v>38</v>
      </c>
      <c r="S983" s="2" t="s">
        <v>38</v>
      </c>
      <c r="T983" s="2" t="s">
        <v>38</v>
      </c>
      <c r="U983" s="2" t="s">
        <v>38</v>
      </c>
      <c r="V983" s="2" t="s">
        <v>38</v>
      </c>
      <c r="W983" s="2" t="s">
        <v>38</v>
      </c>
      <c r="X983" s="2" t="s">
        <v>38</v>
      </c>
      <c r="Y983" s="2" t="s">
        <v>38</v>
      </c>
      <c r="Z983" s="2" t="s">
        <v>38</v>
      </c>
      <c r="AA983" s="2" t="s">
        <v>38</v>
      </c>
      <c r="AB983" s="2" t="s">
        <v>38</v>
      </c>
      <c r="AC983" s="2" t="s">
        <v>38</v>
      </c>
      <c r="AD983" s="2" t="s">
        <v>38</v>
      </c>
      <c r="AE983" s="2" t="s">
        <v>39</v>
      </c>
    </row>
    <row r="984" spans="1:31" ht="409.5">
      <c r="A984" s="2">
        <v>2642974</v>
      </c>
      <c r="B984" s="2">
        <f>HYPERLINK("https://platform.v2.vetology.net/cases/2642974/screening-report/18?type=pdf&amp;v=v6&amp;scorecard=1&amp;secret_key=BX%25IJ%24%2F65ieZ%29f6", 2642974)</f>
        <v>2642974</v>
      </c>
      <c r="C984" s="2">
        <f>HYPERLINK("https://platform.v2.vetology.net/report/v/final/"&amp;2642974, 2642974)</f>
        <v>2642974</v>
      </c>
      <c r="D984" s="2" t="s">
        <v>2939</v>
      </c>
      <c r="E984" s="2" t="s">
        <v>2940</v>
      </c>
      <c r="F984" s="2" t="s">
        <v>2941</v>
      </c>
      <c r="G984" s="2" t="s">
        <v>58</v>
      </c>
      <c r="H984" s="2" t="s">
        <v>2942</v>
      </c>
      <c r="I984" s="2" t="s">
        <v>137</v>
      </c>
      <c r="J984" s="2" t="s">
        <v>66</v>
      </c>
      <c r="K984" s="2" t="s">
        <v>38</v>
      </c>
      <c r="L984" s="2" t="s">
        <v>38</v>
      </c>
      <c r="M984" s="2" t="s">
        <v>38</v>
      </c>
      <c r="N984" s="2" t="s">
        <v>38</v>
      </c>
      <c r="O984" s="2" t="s">
        <v>38</v>
      </c>
      <c r="P984" s="2" t="s">
        <v>39</v>
      </c>
      <c r="Q984" s="2" t="s">
        <v>38</v>
      </c>
      <c r="R984" s="2" t="s">
        <v>38</v>
      </c>
      <c r="S984" s="2" t="s">
        <v>38</v>
      </c>
      <c r="T984" s="2" t="s">
        <v>38</v>
      </c>
      <c r="U984" s="2" t="s">
        <v>38</v>
      </c>
      <c r="V984" s="2" t="s">
        <v>38</v>
      </c>
      <c r="W984" s="2" t="s">
        <v>38</v>
      </c>
      <c r="X984" s="2" t="s">
        <v>38</v>
      </c>
      <c r="Y984" s="2" t="s">
        <v>38</v>
      </c>
      <c r="Z984" s="2" t="s">
        <v>38</v>
      </c>
      <c r="AA984" s="2" t="s">
        <v>38</v>
      </c>
      <c r="AB984" s="2" t="s">
        <v>39</v>
      </c>
      <c r="AC984" s="2" t="s">
        <v>38</v>
      </c>
      <c r="AD984" s="2" t="s">
        <v>38</v>
      </c>
      <c r="AE984" s="2" t="s">
        <v>39</v>
      </c>
    </row>
    <row r="985" spans="1:31" ht="409.5">
      <c r="A985" s="2">
        <v>2642866</v>
      </c>
      <c r="B985" s="2">
        <f>HYPERLINK("https://platform.v2.vetology.net/cases/2642866/screening-report/18?type=pdf&amp;v=v6&amp;scorecard=1&amp;secret_key=BX%25IJ%24%2F65ieZ%29f6", 2642866)</f>
        <v>2642866</v>
      </c>
      <c r="C985" s="2">
        <f>HYPERLINK("https://platform.v2.vetology.net/report/v/final/"&amp;2642866, 2642866)</f>
        <v>2642866</v>
      </c>
      <c r="D985" s="2" t="s">
        <v>2943</v>
      </c>
      <c r="E985" s="2" t="s">
        <v>2944</v>
      </c>
      <c r="F985" s="2" t="s">
        <v>2945</v>
      </c>
      <c r="G985" s="2" t="s">
        <v>212</v>
      </c>
      <c r="H985" s="2" t="s">
        <v>2946</v>
      </c>
      <c r="I985" s="2" t="s">
        <v>89</v>
      </c>
      <c r="J985" s="2" t="s">
        <v>66</v>
      </c>
      <c r="K985" s="2" t="s">
        <v>38</v>
      </c>
      <c r="L985" s="2" t="s">
        <v>39</v>
      </c>
      <c r="M985" s="2" t="s">
        <v>38</v>
      </c>
      <c r="N985" s="2" t="s">
        <v>38</v>
      </c>
      <c r="O985" s="2" t="s">
        <v>38</v>
      </c>
      <c r="P985" s="2" t="s">
        <v>38</v>
      </c>
      <c r="Q985" s="2" t="s">
        <v>38</v>
      </c>
      <c r="R985" s="2" t="s">
        <v>38</v>
      </c>
      <c r="S985" s="2" t="s">
        <v>38</v>
      </c>
      <c r="T985" s="2" t="s">
        <v>38</v>
      </c>
      <c r="U985" s="2" t="s">
        <v>38</v>
      </c>
      <c r="V985" s="2" t="s">
        <v>38</v>
      </c>
      <c r="W985" s="2" t="s">
        <v>38</v>
      </c>
      <c r="X985" s="2" t="s">
        <v>38</v>
      </c>
      <c r="Y985" s="2" t="s">
        <v>38</v>
      </c>
      <c r="Z985" s="2" t="s">
        <v>38</v>
      </c>
      <c r="AA985" s="2" t="s">
        <v>38</v>
      </c>
      <c r="AB985" s="2" t="s">
        <v>38</v>
      </c>
      <c r="AC985" s="2" t="s">
        <v>38</v>
      </c>
      <c r="AD985" s="2" t="s">
        <v>38</v>
      </c>
      <c r="AE985" s="2" t="s">
        <v>38</v>
      </c>
    </row>
    <row r="986" spans="1:31" ht="409.5">
      <c r="A986" s="2">
        <v>2642818</v>
      </c>
      <c r="B986" s="2">
        <f>HYPERLINK("https://platform.v2.vetology.net/cases/2642818/screening-report/18?type=pdf&amp;v=v6&amp;scorecard=1&amp;secret_key=BX%25IJ%24%2F65ieZ%29f6", 2642818)</f>
        <v>2642818</v>
      </c>
      <c r="C986" s="2">
        <f>HYPERLINK("https://platform.v2.vetology.net/report/v/final/"&amp;2642818, 2642818)</f>
        <v>2642818</v>
      </c>
      <c r="D986" s="2" t="s">
        <v>2947</v>
      </c>
      <c r="E986" s="2" t="s">
        <v>2948</v>
      </c>
      <c r="F986" s="2" t="s">
        <v>2949</v>
      </c>
      <c r="G986" s="2" t="s">
        <v>212</v>
      </c>
      <c r="H986" s="2" t="s">
        <v>2950</v>
      </c>
      <c r="I986" s="2" t="s">
        <v>111</v>
      </c>
      <c r="J986" s="2" t="s">
        <v>112</v>
      </c>
      <c r="K986" s="2" t="s">
        <v>39</v>
      </c>
      <c r="L986" s="2" t="s">
        <v>39</v>
      </c>
      <c r="M986" s="2" t="s">
        <v>39</v>
      </c>
      <c r="N986" s="2" t="s">
        <v>39</v>
      </c>
      <c r="O986" s="2" t="s">
        <v>39</v>
      </c>
      <c r="P986" s="2" t="s">
        <v>39</v>
      </c>
      <c r="Q986" s="2" t="s">
        <v>39</v>
      </c>
      <c r="R986" s="2" t="s">
        <v>39</v>
      </c>
      <c r="S986" s="2" t="s">
        <v>39</v>
      </c>
      <c r="T986" s="2" t="s">
        <v>39</v>
      </c>
      <c r="U986" s="2" t="s">
        <v>39</v>
      </c>
      <c r="V986" s="2" t="s">
        <v>39</v>
      </c>
      <c r="W986" s="2" t="s">
        <v>39</v>
      </c>
      <c r="X986" s="2" t="s">
        <v>39</v>
      </c>
      <c r="Y986" s="2" t="s">
        <v>39</v>
      </c>
      <c r="Z986" s="2" t="s">
        <v>39</v>
      </c>
      <c r="AA986" s="2" t="s">
        <v>39</v>
      </c>
      <c r="AB986" s="2" t="s">
        <v>39</v>
      </c>
      <c r="AC986" s="2" t="s">
        <v>39</v>
      </c>
      <c r="AD986" s="2" t="s">
        <v>38</v>
      </c>
      <c r="AE986" s="2" t="s">
        <v>39</v>
      </c>
    </row>
    <row r="987" spans="1:31" ht="409.5">
      <c r="A987" s="2">
        <v>2642677</v>
      </c>
      <c r="B987" s="2">
        <f>HYPERLINK("https://platform.v2.vetology.net/cases/2642677/screening-report/18?type=pdf&amp;v=v6&amp;scorecard=1&amp;secret_key=BX%25IJ%24%2F65ieZ%29f6", 2642677)</f>
        <v>2642677</v>
      </c>
      <c r="C987" s="2">
        <f>HYPERLINK("https://platform.v2.vetology.net/report/v/final/"&amp;2642677, 2642677)</f>
        <v>2642677</v>
      </c>
      <c r="D987" s="2" t="s">
        <v>2951</v>
      </c>
      <c r="E987" s="2" t="s">
        <v>2952</v>
      </c>
      <c r="F987" s="2" t="s">
        <v>2953</v>
      </c>
      <c r="G987" s="2" t="s">
        <v>70</v>
      </c>
      <c r="H987" s="2" t="s">
        <v>2629</v>
      </c>
      <c r="I987" s="2" t="s">
        <v>809</v>
      </c>
      <c r="J987" s="2" t="s">
        <v>66</v>
      </c>
      <c r="K987" s="2" t="s">
        <v>38</v>
      </c>
      <c r="L987" s="2" t="s">
        <v>39</v>
      </c>
      <c r="M987" s="2" t="s">
        <v>39</v>
      </c>
      <c r="N987" s="2" t="s">
        <v>39</v>
      </c>
      <c r="O987" s="2" t="s">
        <v>39</v>
      </c>
      <c r="P987" s="2" t="s">
        <v>39</v>
      </c>
      <c r="Q987" s="2" t="s">
        <v>38</v>
      </c>
      <c r="R987" s="2" t="s">
        <v>38</v>
      </c>
      <c r="S987" s="2" t="s">
        <v>39</v>
      </c>
      <c r="T987" s="2" t="s">
        <v>39</v>
      </c>
      <c r="U987" s="2" t="s">
        <v>38</v>
      </c>
      <c r="V987" s="2" t="s">
        <v>39</v>
      </c>
      <c r="W987" s="2" t="s">
        <v>38</v>
      </c>
      <c r="X987" s="2" t="s">
        <v>39</v>
      </c>
      <c r="Y987" s="2" t="s">
        <v>38</v>
      </c>
      <c r="Z987" s="2" t="s">
        <v>39</v>
      </c>
      <c r="AA987" s="2" t="s">
        <v>38</v>
      </c>
      <c r="AB987" s="2" t="s">
        <v>39</v>
      </c>
      <c r="AC987" s="2" t="s">
        <v>39</v>
      </c>
      <c r="AD987" s="2" t="s">
        <v>38</v>
      </c>
      <c r="AE987" s="2" t="s">
        <v>39</v>
      </c>
    </row>
    <row r="988" spans="1:31" ht="409.5">
      <c r="A988" s="2">
        <v>2642667</v>
      </c>
      <c r="B988" s="2">
        <f>HYPERLINK("https://platform.v2.vetology.net/cases/2642667/screening-report/18?type=pdf&amp;v=v6&amp;scorecard=1&amp;secret_key=BX%25IJ%24%2F65ieZ%29f6", 2642667)</f>
        <v>2642667</v>
      </c>
      <c r="C988" s="2">
        <f>HYPERLINK("https://platform.v2.vetology.net/report/v/final/"&amp;2642667, 2642667)</f>
        <v>2642667</v>
      </c>
      <c r="D988" s="2" t="s">
        <v>1850</v>
      </c>
      <c r="E988" s="2" t="s">
        <v>295</v>
      </c>
      <c r="F988" s="2" t="s">
        <v>2954</v>
      </c>
      <c r="G988" s="2" t="s">
        <v>135</v>
      </c>
      <c r="H988" s="2" t="s">
        <v>779</v>
      </c>
      <c r="I988" s="2" t="s">
        <v>89</v>
      </c>
      <c r="J988" s="2" t="s">
        <v>66</v>
      </c>
      <c r="K988" s="2" t="s">
        <v>38</v>
      </c>
      <c r="L988" s="2" t="s">
        <v>38</v>
      </c>
      <c r="M988" s="2" t="s">
        <v>38</v>
      </c>
      <c r="N988" s="2" t="s">
        <v>38</v>
      </c>
      <c r="O988" s="2" t="s">
        <v>38</v>
      </c>
      <c r="P988" s="2" t="s">
        <v>38</v>
      </c>
      <c r="Q988" s="2" t="s">
        <v>38</v>
      </c>
      <c r="R988" s="2" t="s">
        <v>38</v>
      </c>
      <c r="S988" s="2" t="s">
        <v>38</v>
      </c>
      <c r="T988" s="2" t="s">
        <v>38</v>
      </c>
      <c r="U988" s="2" t="s">
        <v>38</v>
      </c>
      <c r="V988" s="2" t="s">
        <v>38</v>
      </c>
      <c r="W988" s="2" t="s">
        <v>38</v>
      </c>
      <c r="X988" s="2" t="s">
        <v>38</v>
      </c>
      <c r="Y988" s="2" t="s">
        <v>38</v>
      </c>
      <c r="Z988" s="2" t="s">
        <v>38</v>
      </c>
      <c r="AA988" s="2" t="s">
        <v>38</v>
      </c>
      <c r="AB988" s="2" t="s">
        <v>38</v>
      </c>
      <c r="AC988" s="2" t="s">
        <v>38</v>
      </c>
      <c r="AD988" s="2" t="s">
        <v>38</v>
      </c>
      <c r="AE988" s="2" t="s">
        <v>39</v>
      </c>
    </row>
    <row r="989" spans="1:31" ht="409.5">
      <c r="A989" s="2">
        <v>2642607</v>
      </c>
      <c r="B989" s="2">
        <f>HYPERLINK("https://platform.v2.vetology.net/cases/2642607/screening-report/18?type=pdf&amp;v=v6&amp;scorecard=1&amp;secret_key=BX%25IJ%24%2F65ieZ%29f6", 2642607)</f>
        <v>2642607</v>
      </c>
      <c r="C989" s="2">
        <f>HYPERLINK("https://platform.v2.vetology.net/report/v/final/"&amp;2642607, 2642607)</f>
        <v>2642607</v>
      </c>
      <c r="D989" s="2" t="s">
        <v>2955</v>
      </c>
      <c r="E989" s="2" t="s">
        <v>2956</v>
      </c>
      <c r="F989" s="2" t="s">
        <v>81</v>
      </c>
      <c r="G989" s="2" t="s">
        <v>82</v>
      </c>
      <c r="H989" s="2" t="s">
        <v>78</v>
      </c>
      <c r="I989" s="2" t="s">
        <v>44</v>
      </c>
      <c r="J989" s="2"/>
      <c r="K989" s="2" t="s">
        <v>38</v>
      </c>
      <c r="L989" s="2" t="s">
        <v>39</v>
      </c>
      <c r="M989" s="2" t="s">
        <v>38</v>
      </c>
      <c r="N989" s="2" t="s">
        <v>38</v>
      </c>
      <c r="O989" s="2" t="s">
        <v>38</v>
      </c>
      <c r="P989" s="2" t="s">
        <v>39</v>
      </c>
      <c r="Q989" s="2" t="s">
        <v>38</v>
      </c>
      <c r="R989" s="2" t="s">
        <v>38</v>
      </c>
      <c r="S989" s="2" t="s">
        <v>38</v>
      </c>
      <c r="T989" s="2" t="s">
        <v>38</v>
      </c>
      <c r="U989" s="2" t="s">
        <v>38</v>
      </c>
      <c r="V989" s="2" t="s">
        <v>38</v>
      </c>
      <c r="W989" s="2" t="s">
        <v>38</v>
      </c>
      <c r="X989" s="2" t="s">
        <v>38</v>
      </c>
      <c r="Y989" s="2" t="s">
        <v>38</v>
      </c>
      <c r="Z989" s="2" t="s">
        <v>38</v>
      </c>
      <c r="AA989" s="2" t="s">
        <v>38</v>
      </c>
      <c r="AB989" s="2" t="s">
        <v>38</v>
      </c>
      <c r="AC989" s="2" t="s">
        <v>38</v>
      </c>
      <c r="AD989" s="2" t="s">
        <v>38</v>
      </c>
      <c r="AE989" s="2" t="s">
        <v>39</v>
      </c>
    </row>
    <row r="990" spans="1:31" ht="409.5">
      <c r="A990" s="2">
        <v>2642577</v>
      </c>
      <c r="B990" s="2">
        <f>HYPERLINK("https://platform.v2.vetology.net/cases/2642577/screening-report/18?type=pdf&amp;v=v6&amp;scorecard=1&amp;secret_key=BX%25IJ%24%2F65ieZ%29f6", 2642577)</f>
        <v>2642577</v>
      </c>
      <c r="C990" s="2">
        <f>HYPERLINK("https://platform.v2.vetology.net/report/v/final/"&amp;2642577, 2642577)</f>
        <v>2642577</v>
      </c>
      <c r="D990" s="2" t="s">
        <v>2957</v>
      </c>
      <c r="E990" s="2" t="s">
        <v>2958</v>
      </c>
      <c r="F990" s="2" t="s">
        <v>2959</v>
      </c>
      <c r="G990" s="2" t="s">
        <v>464</v>
      </c>
      <c r="H990" s="2" t="s">
        <v>129</v>
      </c>
      <c r="I990" s="2" t="s">
        <v>44</v>
      </c>
      <c r="J990" s="2" t="s">
        <v>106</v>
      </c>
      <c r="K990" s="2" t="s">
        <v>38</v>
      </c>
      <c r="L990" s="2" t="s">
        <v>38</v>
      </c>
      <c r="M990" s="2" t="s">
        <v>38</v>
      </c>
      <c r="N990" s="2" t="s">
        <v>38</v>
      </c>
      <c r="O990" s="2" t="s">
        <v>38</v>
      </c>
      <c r="P990" s="2" t="s">
        <v>39</v>
      </c>
      <c r="Q990" s="2" t="s">
        <v>38</v>
      </c>
      <c r="R990" s="2" t="s">
        <v>38</v>
      </c>
      <c r="S990" s="2" t="s">
        <v>38</v>
      </c>
      <c r="T990" s="2" t="s">
        <v>38</v>
      </c>
      <c r="U990" s="2" t="s">
        <v>38</v>
      </c>
      <c r="V990" s="2" t="s">
        <v>38</v>
      </c>
      <c r="W990" s="2" t="s">
        <v>38</v>
      </c>
      <c r="X990" s="2" t="s">
        <v>38</v>
      </c>
      <c r="Y990" s="2" t="s">
        <v>38</v>
      </c>
      <c r="Z990" s="2" t="s">
        <v>38</v>
      </c>
      <c r="AA990" s="2" t="s">
        <v>38</v>
      </c>
      <c r="AB990" s="2" t="s">
        <v>39</v>
      </c>
      <c r="AC990" s="2" t="s">
        <v>38</v>
      </c>
      <c r="AD990" s="2" t="s">
        <v>38</v>
      </c>
      <c r="AE990" s="2" t="s">
        <v>38</v>
      </c>
    </row>
    <row r="991" spans="1:31" ht="409.5">
      <c r="A991" s="2">
        <v>2642549</v>
      </c>
      <c r="B991" s="2">
        <f>HYPERLINK("https://platform.v2.vetology.net/cases/2642549/screening-report/18?type=pdf&amp;v=v6&amp;scorecard=1&amp;secret_key=BX%25IJ%24%2F65ieZ%29f6", 2642549)</f>
        <v>2642549</v>
      </c>
      <c r="C991" s="2">
        <f>HYPERLINK("https://platform.v2.vetology.net/report/v/final/"&amp;2642549, 2642549)</f>
        <v>2642549</v>
      </c>
      <c r="D991" s="2" t="s">
        <v>2960</v>
      </c>
      <c r="E991" s="2" t="s">
        <v>2961</v>
      </c>
      <c r="F991" s="2" t="s">
        <v>81</v>
      </c>
      <c r="G991" s="2" t="s">
        <v>82</v>
      </c>
      <c r="H991" s="2" t="s">
        <v>101</v>
      </c>
      <c r="I991" s="2" t="s">
        <v>44</v>
      </c>
      <c r="J991" s="2"/>
      <c r="K991" s="2" t="s">
        <v>38</v>
      </c>
      <c r="L991" s="2" t="s">
        <v>38</v>
      </c>
      <c r="M991" s="2" t="s">
        <v>38</v>
      </c>
      <c r="N991" s="2" t="s">
        <v>38</v>
      </c>
      <c r="O991" s="2" t="s">
        <v>38</v>
      </c>
      <c r="P991" s="2" t="s">
        <v>39</v>
      </c>
      <c r="Q991" s="2" t="s">
        <v>38</v>
      </c>
      <c r="R991" s="2" t="s">
        <v>38</v>
      </c>
      <c r="S991" s="2" t="s">
        <v>39</v>
      </c>
      <c r="T991" s="2" t="s">
        <v>38</v>
      </c>
      <c r="U991" s="2" t="s">
        <v>38</v>
      </c>
      <c r="V991" s="2" t="s">
        <v>38</v>
      </c>
      <c r="W991" s="2" t="s">
        <v>38</v>
      </c>
      <c r="X991" s="2" t="s">
        <v>39</v>
      </c>
      <c r="Y991" s="2" t="s">
        <v>38</v>
      </c>
      <c r="Z991" s="2" t="s">
        <v>38</v>
      </c>
      <c r="AA991" s="2" t="s">
        <v>38</v>
      </c>
      <c r="AB991" s="2" t="s">
        <v>39</v>
      </c>
      <c r="AC991" s="2" t="s">
        <v>38</v>
      </c>
      <c r="AD991" s="2" t="s">
        <v>38</v>
      </c>
      <c r="AE991" s="2" t="s">
        <v>38</v>
      </c>
    </row>
    <row r="992" spans="1:31" ht="409.5">
      <c r="A992" s="2">
        <v>2642412</v>
      </c>
      <c r="B992" s="2">
        <f>HYPERLINK("https://platform.v2.vetology.net/cases/2642412/screening-report/18?type=pdf&amp;v=v6&amp;scorecard=1&amp;secret_key=BX%25IJ%24%2F65ieZ%29f6", 2642412)</f>
        <v>2642412</v>
      </c>
      <c r="C992" s="2">
        <f>HYPERLINK("https://platform.v2.vetology.net/report/v/final/"&amp;2642412, 2642412)</f>
        <v>2642412</v>
      </c>
      <c r="D992" s="2" t="s">
        <v>2962</v>
      </c>
      <c r="E992" s="2" t="s">
        <v>2963</v>
      </c>
      <c r="F992" s="2" t="s">
        <v>2964</v>
      </c>
      <c r="G992" s="2" t="s">
        <v>93</v>
      </c>
      <c r="H992" s="2" t="s">
        <v>442</v>
      </c>
      <c r="I992" s="2" t="s">
        <v>36</v>
      </c>
      <c r="J992" s="2" t="s">
        <v>37</v>
      </c>
      <c r="K992" s="2" t="s">
        <v>38</v>
      </c>
      <c r="L992" s="2" t="s">
        <v>38</v>
      </c>
      <c r="M992" s="2" t="s">
        <v>38</v>
      </c>
      <c r="N992" s="2" t="s">
        <v>38</v>
      </c>
      <c r="O992" s="2" t="s">
        <v>38</v>
      </c>
      <c r="P992" s="2" t="s">
        <v>38</v>
      </c>
      <c r="Q992" s="2" t="s">
        <v>38</v>
      </c>
      <c r="R992" s="2" t="s">
        <v>38</v>
      </c>
      <c r="S992" s="2" t="s">
        <v>38</v>
      </c>
      <c r="T992" s="2" t="s">
        <v>38</v>
      </c>
      <c r="U992" s="2" t="s">
        <v>38</v>
      </c>
      <c r="V992" s="2" t="s">
        <v>38</v>
      </c>
      <c r="W992" s="2" t="s">
        <v>38</v>
      </c>
      <c r="X992" s="2" t="s">
        <v>38</v>
      </c>
      <c r="Y992" s="2" t="s">
        <v>38</v>
      </c>
      <c r="Z992" s="2" t="s">
        <v>38</v>
      </c>
      <c r="AA992" s="2" t="s">
        <v>38</v>
      </c>
      <c r="AB992" s="2" t="s">
        <v>38</v>
      </c>
      <c r="AC992" s="2" t="s">
        <v>38</v>
      </c>
      <c r="AD992" s="2" t="s">
        <v>38</v>
      </c>
      <c r="AE992" s="2" t="s">
        <v>38</v>
      </c>
    </row>
    <row r="993" spans="1:31" ht="409.5">
      <c r="A993" s="2">
        <v>2642408</v>
      </c>
      <c r="B993" s="2">
        <f>HYPERLINK("https://platform.v2.vetology.net/cases/2642408/screening-report/18?type=pdf&amp;v=v6&amp;scorecard=1&amp;secret_key=BX%25IJ%24%2F65ieZ%29f6", 2642408)</f>
        <v>2642408</v>
      </c>
      <c r="C993" s="2">
        <f>HYPERLINK("https://platform.v2.vetology.net/report/v/final/"&amp;2642408, 2642408)</f>
        <v>2642408</v>
      </c>
      <c r="D993" s="2" t="s">
        <v>2965</v>
      </c>
      <c r="E993" s="2" t="s">
        <v>2966</v>
      </c>
      <c r="F993" s="2" t="s">
        <v>2967</v>
      </c>
      <c r="G993" s="2" t="s">
        <v>464</v>
      </c>
      <c r="H993" s="2" t="s">
        <v>2968</v>
      </c>
      <c r="I993" s="2" t="s">
        <v>681</v>
      </c>
      <c r="J993" s="2" t="s">
        <v>50</v>
      </c>
      <c r="K993" s="2" t="s">
        <v>38</v>
      </c>
      <c r="L993" s="2" t="s">
        <v>39</v>
      </c>
      <c r="M993" s="2" t="s">
        <v>39</v>
      </c>
      <c r="N993" s="2" t="s">
        <v>38</v>
      </c>
      <c r="O993" s="2" t="s">
        <v>38</v>
      </c>
      <c r="P993" s="2" t="s">
        <v>39</v>
      </c>
      <c r="Q993" s="2" t="s">
        <v>38</v>
      </c>
      <c r="R993" s="2" t="s">
        <v>38</v>
      </c>
      <c r="S993" s="2" t="s">
        <v>38</v>
      </c>
      <c r="T993" s="2" t="s">
        <v>38</v>
      </c>
      <c r="U993" s="2" t="s">
        <v>38</v>
      </c>
      <c r="V993" s="2" t="s">
        <v>38</v>
      </c>
      <c r="W993" s="2" t="s">
        <v>38</v>
      </c>
      <c r="X993" s="2" t="s">
        <v>38</v>
      </c>
      <c r="Y993" s="2" t="s">
        <v>38</v>
      </c>
      <c r="Z993" s="2" t="s">
        <v>38</v>
      </c>
      <c r="AA993" s="2" t="s">
        <v>38</v>
      </c>
      <c r="AB993" s="2" t="s">
        <v>39</v>
      </c>
      <c r="AC993" s="2" t="s">
        <v>39</v>
      </c>
      <c r="AD993" s="2" t="s">
        <v>38</v>
      </c>
      <c r="AE993" s="2" t="s">
        <v>39</v>
      </c>
    </row>
    <row r="994" spans="1:31" ht="409.5">
      <c r="A994" s="2">
        <v>2642377</v>
      </c>
      <c r="B994" s="2">
        <f>HYPERLINK("https://platform.v2.vetology.net/cases/2642377/screening-report/18?type=pdf&amp;v=v6&amp;scorecard=1&amp;secret_key=BX%25IJ%24%2F65ieZ%29f6", 2642377)</f>
        <v>2642377</v>
      </c>
      <c r="C994" s="2">
        <f>HYPERLINK("https://platform.v2.vetology.net/report/v/final/"&amp;2642377, 2642377)</f>
        <v>2642377</v>
      </c>
      <c r="D994" s="2" t="s">
        <v>2969</v>
      </c>
      <c r="E994" s="2" t="s">
        <v>2970</v>
      </c>
      <c r="F994" s="2" t="s">
        <v>2971</v>
      </c>
      <c r="G994" s="2" t="s">
        <v>93</v>
      </c>
      <c r="H994" s="2" t="s">
        <v>1180</v>
      </c>
      <c r="I994" s="2" t="s">
        <v>158</v>
      </c>
      <c r="J994" s="2" t="s">
        <v>50</v>
      </c>
      <c r="K994" s="2" t="s">
        <v>38</v>
      </c>
      <c r="L994" s="2" t="s">
        <v>39</v>
      </c>
      <c r="M994" s="2" t="s">
        <v>38</v>
      </c>
      <c r="N994" s="2" t="s">
        <v>38</v>
      </c>
      <c r="O994" s="2" t="s">
        <v>38</v>
      </c>
      <c r="P994" s="2" t="s">
        <v>38</v>
      </c>
      <c r="Q994" s="2" t="s">
        <v>38</v>
      </c>
      <c r="R994" s="2" t="s">
        <v>38</v>
      </c>
      <c r="S994" s="2" t="s">
        <v>38</v>
      </c>
      <c r="T994" s="2" t="s">
        <v>39</v>
      </c>
      <c r="U994" s="2" t="s">
        <v>38</v>
      </c>
      <c r="V994" s="2" t="s">
        <v>39</v>
      </c>
      <c r="W994" s="2" t="s">
        <v>38</v>
      </c>
      <c r="X994" s="2" t="s">
        <v>39</v>
      </c>
      <c r="Y994" s="2" t="s">
        <v>38</v>
      </c>
      <c r="Z994" s="2" t="s">
        <v>38</v>
      </c>
      <c r="AA994" s="2" t="s">
        <v>38</v>
      </c>
      <c r="AB994" s="2" t="s">
        <v>38</v>
      </c>
      <c r="AC994" s="2" t="s">
        <v>38</v>
      </c>
      <c r="AD994" s="2" t="s">
        <v>38</v>
      </c>
      <c r="AE994" s="2" t="s">
        <v>38</v>
      </c>
    </row>
    <row r="995" spans="1:31" ht="409.5">
      <c r="A995" s="2">
        <v>2642244</v>
      </c>
      <c r="B995" s="2">
        <f>HYPERLINK("https://platform.v2.vetology.net/cases/2642244/screening-report/18?type=pdf&amp;v=v6&amp;scorecard=1&amp;secret_key=BX%25IJ%24%2F65ieZ%29f6", 2642244)</f>
        <v>2642244</v>
      </c>
      <c r="C995" s="2">
        <f>HYPERLINK("https://platform.v2.vetology.net/report/v/final/"&amp;2642244, 2642244)</f>
        <v>2642244</v>
      </c>
      <c r="D995" s="2" t="s">
        <v>2972</v>
      </c>
      <c r="E995" s="2" t="s">
        <v>2973</v>
      </c>
      <c r="F995" s="2" t="s">
        <v>149</v>
      </c>
      <c r="G995" s="2" t="s">
        <v>150</v>
      </c>
      <c r="H995" s="2" t="s">
        <v>129</v>
      </c>
      <c r="I995" s="2" t="s">
        <v>44</v>
      </c>
      <c r="J995" s="2" t="s">
        <v>106</v>
      </c>
      <c r="K995" s="2" t="s">
        <v>38</v>
      </c>
      <c r="L995" s="2" t="s">
        <v>39</v>
      </c>
      <c r="M995" s="2" t="s">
        <v>38</v>
      </c>
      <c r="N995" s="2" t="s">
        <v>38</v>
      </c>
      <c r="O995" s="2" t="s">
        <v>38</v>
      </c>
      <c r="P995" s="2" t="s">
        <v>38</v>
      </c>
      <c r="Q995" s="2" t="s">
        <v>38</v>
      </c>
      <c r="R995" s="2" t="s">
        <v>38</v>
      </c>
      <c r="S995" s="2" t="s">
        <v>38</v>
      </c>
      <c r="T995" s="2" t="s">
        <v>39</v>
      </c>
      <c r="U995" s="2" t="s">
        <v>38</v>
      </c>
      <c r="V995" s="2" t="s">
        <v>38</v>
      </c>
      <c r="W995" s="2" t="s">
        <v>38</v>
      </c>
      <c r="X995" s="2" t="s">
        <v>39</v>
      </c>
      <c r="Y995" s="2" t="s">
        <v>38</v>
      </c>
      <c r="Z995" s="2" t="s">
        <v>38</v>
      </c>
      <c r="AA995" s="2" t="s">
        <v>38</v>
      </c>
      <c r="AB995" s="2" t="s">
        <v>38</v>
      </c>
      <c r="AC995" s="2" t="s">
        <v>38</v>
      </c>
      <c r="AD995" s="2" t="s">
        <v>38</v>
      </c>
      <c r="AE995" s="2" t="s">
        <v>38</v>
      </c>
    </row>
    <row r="996" spans="1:31" ht="409.5">
      <c r="A996" s="2">
        <v>2642044</v>
      </c>
      <c r="B996" s="2">
        <f>HYPERLINK("https://platform.v2.vetology.net/cases/2642044/screening-report/18?type=pdf&amp;v=v6&amp;scorecard=1&amp;secret_key=BX%25IJ%24%2F65ieZ%29f6", 2642044)</f>
        <v>2642044</v>
      </c>
      <c r="C996" s="2">
        <f>HYPERLINK("https://platform.v2.vetology.net/report/v/final/"&amp;2642044, 2642044)</f>
        <v>2642044</v>
      </c>
      <c r="D996" s="2" t="s">
        <v>2974</v>
      </c>
      <c r="E996" s="2" t="s">
        <v>2975</v>
      </c>
      <c r="F996" s="2" t="s">
        <v>2976</v>
      </c>
      <c r="G996" s="2" t="s">
        <v>150</v>
      </c>
      <c r="H996" s="2" t="s">
        <v>2977</v>
      </c>
      <c r="I996" s="2" t="s">
        <v>2067</v>
      </c>
      <c r="J996" s="2" t="s">
        <v>66</v>
      </c>
      <c r="K996" s="2" t="s">
        <v>38</v>
      </c>
      <c r="L996" s="2" t="s">
        <v>39</v>
      </c>
      <c r="M996" s="2" t="s">
        <v>38</v>
      </c>
      <c r="N996" s="2" t="s">
        <v>38</v>
      </c>
      <c r="O996" s="2" t="s">
        <v>38</v>
      </c>
      <c r="P996" s="2" t="s">
        <v>38</v>
      </c>
      <c r="Q996" s="2" t="s">
        <v>38</v>
      </c>
      <c r="R996" s="2" t="s">
        <v>38</v>
      </c>
      <c r="S996" s="2" t="s">
        <v>38</v>
      </c>
      <c r="T996" s="2" t="s">
        <v>38</v>
      </c>
      <c r="U996" s="2" t="s">
        <v>38</v>
      </c>
      <c r="V996" s="2" t="s">
        <v>38</v>
      </c>
      <c r="W996" s="2" t="s">
        <v>38</v>
      </c>
      <c r="X996" s="2" t="s">
        <v>38</v>
      </c>
      <c r="Y996" s="2" t="s">
        <v>38</v>
      </c>
      <c r="Z996" s="2" t="s">
        <v>39</v>
      </c>
      <c r="AA996" s="2" t="s">
        <v>38</v>
      </c>
      <c r="AB996" s="2" t="s">
        <v>38</v>
      </c>
      <c r="AC996" s="2" t="s">
        <v>39</v>
      </c>
      <c r="AD996" s="2" t="s">
        <v>38</v>
      </c>
      <c r="AE996" s="2" t="s">
        <v>38</v>
      </c>
    </row>
    <row r="997" spans="1:31" ht="409.5">
      <c r="A997" s="2">
        <v>2642030</v>
      </c>
      <c r="B997" s="2">
        <f>HYPERLINK("https://platform.v2.vetology.net/cases/2642030/screening-report/18?type=pdf&amp;v=v6&amp;scorecard=1&amp;secret_key=BX%25IJ%24%2F65ieZ%29f6", 2642030)</f>
        <v>2642030</v>
      </c>
      <c r="C997" s="2">
        <f>HYPERLINK("https://platform.v2.vetology.net/report/v/final/"&amp;2642030, 2642030)</f>
        <v>2642030</v>
      </c>
      <c r="D997" s="2" t="s">
        <v>229</v>
      </c>
      <c r="E997" s="2" t="s">
        <v>230</v>
      </c>
      <c r="F997" s="2" t="s">
        <v>149</v>
      </c>
      <c r="G997" s="2" t="s">
        <v>150</v>
      </c>
      <c r="H997" s="2" t="s">
        <v>2839</v>
      </c>
      <c r="I997" s="2" t="s">
        <v>214</v>
      </c>
      <c r="J997" s="2" t="s">
        <v>50</v>
      </c>
      <c r="K997" s="2" t="s">
        <v>38</v>
      </c>
      <c r="L997" s="2" t="s">
        <v>39</v>
      </c>
      <c r="M997" s="2" t="s">
        <v>39</v>
      </c>
      <c r="N997" s="2" t="s">
        <v>38</v>
      </c>
      <c r="O997" s="2" t="s">
        <v>38</v>
      </c>
      <c r="P997" s="2" t="s">
        <v>39</v>
      </c>
      <c r="Q997" s="2" t="s">
        <v>38</v>
      </c>
      <c r="R997" s="2" t="s">
        <v>38</v>
      </c>
      <c r="S997" s="2" t="s">
        <v>39</v>
      </c>
      <c r="T997" s="2" t="s">
        <v>38</v>
      </c>
      <c r="U997" s="2" t="s">
        <v>38</v>
      </c>
      <c r="V997" s="2" t="s">
        <v>38</v>
      </c>
      <c r="W997" s="2" t="s">
        <v>38</v>
      </c>
      <c r="X997" s="2" t="s">
        <v>38</v>
      </c>
      <c r="Y997" s="2" t="s">
        <v>38</v>
      </c>
      <c r="Z997" s="2" t="s">
        <v>39</v>
      </c>
      <c r="AA997" s="2" t="s">
        <v>38</v>
      </c>
      <c r="AB997" s="2" t="s">
        <v>39</v>
      </c>
      <c r="AC997" s="2" t="s">
        <v>39</v>
      </c>
      <c r="AD997" s="2" t="s">
        <v>38</v>
      </c>
      <c r="AE997" s="2" t="s">
        <v>38</v>
      </c>
    </row>
    <row r="998" spans="1:31" ht="409.5">
      <c r="A998" s="2">
        <v>2641864</v>
      </c>
      <c r="B998" s="2">
        <f>HYPERLINK("https://platform.v2.vetology.net/cases/2641864/screening-report/18?type=pdf&amp;v=v6&amp;scorecard=1&amp;secret_key=BX%25IJ%24%2F65ieZ%29f6", 2641864)</f>
        <v>2641864</v>
      </c>
      <c r="C998" s="2">
        <f>HYPERLINK("https://platform.v2.vetology.net/report/v/final/"&amp;2641864, 2641864)</f>
        <v>2641864</v>
      </c>
      <c r="D998" s="2" t="s">
        <v>2978</v>
      </c>
      <c r="E998" s="2" t="s">
        <v>2979</v>
      </c>
      <c r="F998" s="2" t="s">
        <v>81</v>
      </c>
      <c r="G998" s="2" t="s">
        <v>82</v>
      </c>
      <c r="H998" s="2" t="s">
        <v>78</v>
      </c>
      <c r="I998" s="2" t="s">
        <v>44</v>
      </c>
      <c r="J998" s="2"/>
      <c r="K998" s="2" t="s">
        <v>38</v>
      </c>
      <c r="L998" s="2" t="s">
        <v>38</v>
      </c>
      <c r="M998" s="2" t="s">
        <v>38</v>
      </c>
      <c r="N998" s="2" t="s">
        <v>38</v>
      </c>
      <c r="O998" s="2" t="s">
        <v>38</v>
      </c>
      <c r="P998" s="2" t="s">
        <v>39</v>
      </c>
      <c r="Q998" s="2" t="s">
        <v>38</v>
      </c>
      <c r="R998" s="2" t="s">
        <v>38</v>
      </c>
      <c r="S998" s="2" t="s">
        <v>38</v>
      </c>
      <c r="T998" s="2" t="s">
        <v>38</v>
      </c>
      <c r="U998" s="2" t="s">
        <v>38</v>
      </c>
      <c r="V998" s="2" t="s">
        <v>38</v>
      </c>
      <c r="W998" s="2" t="s">
        <v>38</v>
      </c>
      <c r="X998" s="2" t="s">
        <v>38</v>
      </c>
      <c r="Y998" s="2" t="s">
        <v>38</v>
      </c>
      <c r="Z998" s="2" t="s">
        <v>38</v>
      </c>
      <c r="AA998" s="2" t="s">
        <v>38</v>
      </c>
      <c r="AB998" s="2" t="s">
        <v>38</v>
      </c>
      <c r="AC998" s="2" t="s">
        <v>38</v>
      </c>
      <c r="AD998" s="2" t="s">
        <v>38</v>
      </c>
      <c r="AE998" s="2" t="s">
        <v>38</v>
      </c>
    </row>
    <row r="999" spans="1:31" ht="409.5">
      <c r="A999" s="2">
        <v>2641773</v>
      </c>
      <c r="B999" s="2">
        <f>HYPERLINK("https://platform.v2.vetology.net/cases/2641773/screening-report/18?type=pdf&amp;v=v6&amp;scorecard=1&amp;secret_key=BX%25IJ%24%2F65ieZ%29f6", 2641773)</f>
        <v>2641773</v>
      </c>
      <c r="C999" s="2">
        <f>HYPERLINK("https://platform.v2.vetology.net/report/v/final/"&amp;2641773, 2641773)</f>
        <v>2641773</v>
      </c>
      <c r="D999" s="2" t="s">
        <v>2980</v>
      </c>
      <c r="E999" s="2" t="s">
        <v>2981</v>
      </c>
      <c r="F999" s="2" t="s">
        <v>2982</v>
      </c>
      <c r="G999" s="2" t="s">
        <v>150</v>
      </c>
      <c r="H999" s="2" t="s">
        <v>43</v>
      </c>
      <c r="I999" s="2" t="s">
        <v>44</v>
      </c>
      <c r="J999" s="2"/>
      <c r="K999" s="2" t="s">
        <v>38</v>
      </c>
      <c r="L999" s="2" t="s">
        <v>39</v>
      </c>
      <c r="M999" s="2" t="s">
        <v>38</v>
      </c>
      <c r="N999" s="2" t="s">
        <v>38</v>
      </c>
      <c r="O999" s="2" t="s">
        <v>38</v>
      </c>
      <c r="P999" s="2" t="s">
        <v>38</v>
      </c>
      <c r="Q999" s="2" t="s">
        <v>38</v>
      </c>
      <c r="R999" s="2" t="s">
        <v>38</v>
      </c>
      <c r="S999" s="2" t="s">
        <v>38</v>
      </c>
      <c r="T999" s="2" t="s">
        <v>39</v>
      </c>
      <c r="U999" s="2" t="s">
        <v>38</v>
      </c>
      <c r="V999" s="2" t="s">
        <v>39</v>
      </c>
      <c r="W999" s="2" t="s">
        <v>38</v>
      </c>
      <c r="X999" s="2" t="s">
        <v>39</v>
      </c>
      <c r="Y999" s="2" t="s">
        <v>38</v>
      </c>
      <c r="Z999" s="2" t="s">
        <v>38</v>
      </c>
      <c r="AA999" s="2" t="s">
        <v>38</v>
      </c>
      <c r="AB999" s="2" t="s">
        <v>38</v>
      </c>
      <c r="AC999" s="2" t="s">
        <v>38</v>
      </c>
      <c r="AD999" s="2" t="s">
        <v>38</v>
      </c>
      <c r="AE999" s="2" t="s">
        <v>38</v>
      </c>
    </row>
    <row r="1000" spans="1:31" ht="409.5">
      <c r="A1000" s="2">
        <v>2641697</v>
      </c>
      <c r="B1000" s="2">
        <f>HYPERLINK("https://platform.v2.vetology.net/cases/2641697/screening-report/18?type=pdf&amp;v=v6&amp;scorecard=1&amp;secret_key=BX%25IJ%24%2F65ieZ%29f6", 2641697)</f>
        <v>2641697</v>
      </c>
      <c r="C1000" s="2">
        <f>HYPERLINK("https://platform.v2.vetology.net/report/v/final/"&amp;2641697, 2641697)</f>
        <v>2641697</v>
      </c>
      <c r="D1000" s="2" t="s">
        <v>2983</v>
      </c>
      <c r="E1000" s="2" t="s">
        <v>2984</v>
      </c>
      <c r="F1000" s="2" t="s">
        <v>2985</v>
      </c>
      <c r="G1000" s="2" t="s">
        <v>464</v>
      </c>
      <c r="H1000" s="2" t="s">
        <v>2986</v>
      </c>
      <c r="I1000" s="2" t="s">
        <v>966</v>
      </c>
      <c r="J1000" s="2" t="s">
        <v>66</v>
      </c>
      <c r="K1000" s="2" t="s">
        <v>38</v>
      </c>
      <c r="L1000" s="2" t="s">
        <v>39</v>
      </c>
      <c r="M1000" s="2" t="s">
        <v>38</v>
      </c>
      <c r="N1000" s="2" t="s">
        <v>38</v>
      </c>
      <c r="O1000" s="2" t="s">
        <v>39</v>
      </c>
      <c r="P1000" s="2" t="s">
        <v>38</v>
      </c>
      <c r="Q1000" s="2" t="s">
        <v>38</v>
      </c>
      <c r="R1000" s="2" t="s">
        <v>38</v>
      </c>
      <c r="S1000" s="2" t="s">
        <v>39</v>
      </c>
      <c r="T1000" s="2" t="s">
        <v>39</v>
      </c>
      <c r="U1000" s="2" t="s">
        <v>38</v>
      </c>
      <c r="V1000" s="2" t="s">
        <v>38</v>
      </c>
      <c r="W1000" s="2" t="s">
        <v>38</v>
      </c>
      <c r="X1000" s="2" t="s">
        <v>39</v>
      </c>
      <c r="Y1000" s="2" t="s">
        <v>38</v>
      </c>
      <c r="Z1000" s="2" t="s">
        <v>38</v>
      </c>
      <c r="AA1000" s="2" t="s">
        <v>38</v>
      </c>
      <c r="AB1000" s="2" t="s">
        <v>39</v>
      </c>
      <c r="AC1000" s="2" t="s">
        <v>38</v>
      </c>
      <c r="AD1000" s="2" t="s">
        <v>38</v>
      </c>
      <c r="AE1000" s="2" t="s">
        <v>39</v>
      </c>
    </row>
    <row r="1001" spans="1:31" ht="409.5">
      <c r="A1001" s="2">
        <v>2641613</v>
      </c>
      <c r="B1001" s="2">
        <f>HYPERLINK("https://platform.v2.vetology.net/cases/2641613/screening-report/18?type=pdf&amp;v=v6&amp;scorecard=1&amp;secret_key=BX%25IJ%24%2F65ieZ%29f6", 2641613)</f>
        <v>2641613</v>
      </c>
      <c r="C1001" s="2">
        <f>HYPERLINK("https://platform.v2.vetology.net/report/v/final/"&amp;2641613, 2641613)</f>
        <v>2641613</v>
      </c>
      <c r="D1001" s="2" t="s">
        <v>2987</v>
      </c>
      <c r="E1001" s="2" t="s">
        <v>2988</v>
      </c>
      <c r="F1001" s="2" t="s">
        <v>2509</v>
      </c>
      <c r="G1001" s="2" t="s">
        <v>82</v>
      </c>
      <c r="H1001" s="2" t="s">
        <v>983</v>
      </c>
      <c r="I1001" s="2" t="s">
        <v>245</v>
      </c>
      <c r="J1001" s="2" t="s">
        <v>246</v>
      </c>
      <c r="K1001" s="2" t="s">
        <v>38</v>
      </c>
      <c r="L1001" s="2" t="s">
        <v>39</v>
      </c>
      <c r="M1001" s="2" t="s">
        <v>38</v>
      </c>
      <c r="N1001" s="2" t="s">
        <v>38</v>
      </c>
      <c r="O1001" s="2" t="s">
        <v>38</v>
      </c>
      <c r="P1001" s="2" t="s">
        <v>39</v>
      </c>
      <c r="Q1001" s="2" t="s">
        <v>38</v>
      </c>
      <c r="R1001" s="2" t="s">
        <v>38</v>
      </c>
      <c r="S1001" s="2" t="s">
        <v>38</v>
      </c>
      <c r="T1001" s="2" t="s">
        <v>38</v>
      </c>
      <c r="U1001" s="2" t="s">
        <v>38</v>
      </c>
      <c r="V1001" s="2" t="s">
        <v>38</v>
      </c>
      <c r="W1001" s="2" t="s">
        <v>38</v>
      </c>
      <c r="X1001" s="2" t="s">
        <v>38</v>
      </c>
      <c r="Y1001" s="2" t="s">
        <v>38</v>
      </c>
      <c r="Z1001" s="2" t="s">
        <v>38</v>
      </c>
      <c r="AA1001" s="2" t="s">
        <v>38</v>
      </c>
      <c r="AB1001" s="2" t="s">
        <v>38</v>
      </c>
      <c r="AC1001" s="2" t="s">
        <v>38</v>
      </c>
      <c r="AD1001" s="2" t="s">
        <v>38</v>
      </c>
      <c r="AE1001" s="2" t="s">
        <v>38</v>
      </c>
    </row>
    <row r="1002" spans="1:31" ht="409.5">
      <c r="A1002" s="2">
        <v>2641477</v>
      </c>
      <c r="B1002" s="2">
        <f>HYPERLINK("https://platform.v2.vetology.net/cases/2641477/screening-report/18?type=pdf&amp;v=v6&amp;scorecard=1&amp;secret_key=BX%25IJ%24%2F65ieZ%29f6", 2641477)</f>
        <v>2641477</v>
      </c>
      <c r="C1002" s="2">
        <f>HYPERLINK("https://platform.v2.vetology.net/report/v/final/"&amp;2641477, 2641477)</f>
        <v>2641477</v>
      </c>
      <c r="D1002" s="2" t="s">
        <v>2989</v>
      </c>
      <c r="E1002" s="2" t="s">
        <v>2990</v>
      </c>
      <c r="F1002" s="2" t="s">
        <v>2699</v>
      </c>
      <c r="G1002" s="2" t="s">
        <v>150</v>
      </c>
      <c r="H1002" s="2" t="s">
        <v>71</v>
      </c>
      <c r="I1002" s="2" t="s">
        <v>44</v>
      </c>
      <c r="J1002" s="2"/>
      <c r="K1002" s="2" t="s">
        <v>38</v>
      </c>
      <c r="L1002" s="2" t="s">
        <v>38</v>
      </c>
      <c r="M1002" s="2" t="s">
        <v>38</v>
      </c>
      <c r="N1002" s="2" t="s">
        <v>38</v>
      </c>
      <c r="O1002" s="2" t="s">
        <v>38</v>
      </c>
      <c r="P1002" s="2" t="s">
        <v>38</v>
      </c>
      <c r="Q1002" s="2" t="s">
        <v>38</v>
      </c>
      <c r="R1002" s="2" t="s">
        <v>38</v>
      </c>
      <c r="S1002" s="2" t="s">
        <v>38</v>
      </c>
      <c r="T1002" s="2" t="s">
        <v>39</v>
      </c>
      <c r="U1002" s="2" t="s">
        <v>38</v>
      </c>
      <c r="V1002" s="2" t="s">
        <v>38</v>
      </c>
      <c r="W1002" s="2" t="s">
        <v>38</v>
      </c>
      <c r="X1002" s="2" t="s">
        <v>39</v>
      </c>
      <c r="Y1002" s="2" t="s">
        <v>38</v>
      </c>
      <c r="Z1002" s="2" t="s">
        <v>38</v>
      </c>
      <c r="AA1002" s="2" t="s">
        <v>38</v>
      </c>
      <c r="AB1002" s="2" t="s">
        <v>38</v>
      </c>
      <c r="AC1002" s="2" t="s">
        <v>38</v>
      </c>
      <c r="AD1002" s="2" t="s">
        <v>38</v>
      </c>
      <c r="AE1002" s="2" t="s">
        <v>38</v>
      </c>
    </row>
    <row r="1003" spans="1:31" ht="409.5">
      <c r="A1003" s="2">
        <v>2641402</v>
      </c>
      <c r="B1003" s="2">
        <f>HYPERLINK("https://platform.v2.vetology.net/cases/2641402/screening-report/18?type=pdf&amp;v=v6&amp;scorecard=1&amp;secret_key=BX%25IJ%24%2F65ieZ%29f6", 2641402)</f>
        <v>2641402</v>
      </c>
      <c r="C1003" s="2">
        <f>HYPERLINK("https://platform.v2.vetology.net/report/v/final/"&amp;2641402, 2641402)</f>
        <v>2641402</v>
      </c>
      <c r="D1003" s="2" t="s">
        <v>2991</v>
      </c>
      <c r="E1003" s="2" t="s">
        <v>2992</v>
      </c>
      <c r="F1003" s="2" t="s">
        <v>2993</v>
      </c>
      <c r="G1003" s="2" t="s">
        <v>464</v>
      </c>
      <c r="H1003" s="2" t="s">
        <v>1151</v>
      </c>
      <c r="I1003" s="2" t="s">
        <v>207</v>
      </c>
      <c r="J1003" s="2" t="s">
        <v>208</v>
      </c>
      <c r="K1003" s="2" t="s">
        <v>38</v>
      </c>
      <c r="L1003" s="2" t="s">
        <v>38</v>
      </c>
      <c r="M1003" s="2" t="s">
        <v>38</v>
      </c>
      <c r="N1003" s="2" t="s">
        <v>38</v>
      </c>
      <c r="O1003" s="2" t="s">
        <v>38</v>
      </c>
      <c r="P1003" s="2" t="s">
        <v>38</v>
      </c>
      <c r="Q1003" s="2" t="s">
        <v>38</v>
      </c>
      <c r="R1003" s="2" t="s">
        <v>38</v>
      </c>
      <c r="S1003" s="2" t="s">
        <v>38</v>
      </c>
      <c r="T1003" s="2" t="s">
        <v>39</v>
      </c>
      <c r="U1003" s="2" t="s">
        <v>38</v>
      </c>
      <c r="V1003" s="2" t="s">
        <v>38</v>
      </c>
      <c r="W1003" s="2" t="s">
        <v>38</v>
      </c>
      <c r="X1003" s="2" t="s">
        <v>39</v>
      </c>
      <c r="Y1003" s="2" t="s">
        <v>38</v>
      </c>
      <c r="Z1003" s="2" t="s">
        <v>39</v>
      </c>
      <c r="AA1003" s="2" t="s">
        <v>38</v>
      </c>
      <c r="AB1003" s="2" t="s">
        <v>39</v>
      </c>
      <c r="AC1003" s="2" t="s">
        <v>39</v>
      </c>
      <c r="AD1003" s="2" t="s">
        <v>38</v>
      </c>
      <c r="AE1003" s="2" t="s">
        <v>38</v>
      </c>
    </row>
    <row r="1004" spans="1:31" ht="409.5">
      <c r="A1004" s="2">
        <v>2641310</v>
      </c>
      <c r="B1004" s="2">
        <f>HYPERLINK("https://platform.v2.vetology.net/cases/2641310/screening-report/18?type=pdf&amp;v=v6&amp;scorecard=1&amp;secret_key=BX%25IJ%24%2F65ieZ%29f6", 2641310)</f>
        <v>2641310</v>
      </c>
      <c r="C1004" s="2">
        <f>HYPERLINK("https://platform.v2.vetology.net/report/v/final/"&amp;2641310, 2641310)</f>
        <v>2641310</v>
      </c>
      <c r="D1004" s="2" t="s">
        <v>2994</v>
      </c>
      <c r="E1004" s="2" t="s">
        <v>304</v>
      </c>
      <c r="F1004" s="2" t="s">
        <v>2995</v>
      </c>
      <c r="G1004" s="2" t="s">
        <v>150</v>
      </c>
      <c r="H1004" s="2" t="s">
        <v>2996</v>
      </c>
      <c r="I1004" s="2" t="s">
        <v>957</v>
      </c>
      <c r="J1004" s="2" t="s">
        <v>66</v>
      </c>
      <c r="K1004" s="2" t="s">
        <v>38</v>
      </c>
      <c r="L1004" s="2" t="s">
        <v>39</v>
      </c>
      <c r="M1004" s="2" t="s">
        <v>39</v>
      </c>
      <c r="N1004" s="2" t="s">
        <v>38</v>
      </c>
      <c r="O1004" s="2" t="s">
        <v>39</v>
      </c>
      <c r="P1004" s="2" t="s">
        <v>38</v>
      </c>
      <c r="Q1004" s="2" t="s">
        <v>38</v>
      </c>
      <c r="R1004" s="2" t="s">
        <v>38</v>
      </c>
      <c r="S1004" s="2" t="s">
        <v>39</v>
      </c>
      <c r="T1004" s="2" t="s">
        <v>39</v>
      </c>
      <c r="U1004" s="2" t="s">
        <v>39</v>
      </c>
      <c r="V1004" s="2" t="s">
        <v>39</v>
      </c>
      <c r="W1004" s="2" t="s">
        <v>38</v>
      </c>
      <c r="X1004" s="2" t="s">
        <v>39</v>
      </c>
      <c r="Y1004" s="2" t="s">
        <v>38</v>
      </c>
      <c r="Z1004" s="2" t="s">
        <v>39</v>
      </c>
      <c r="AA1004" s="2" t="s">
        <v>38</v>
      </c>
      <c r="AB1004" s="2" t="s">
        <v>38</v>
      </c>
      <c r="AC1004" s="2" t="s">
        <v>39</v>
      </c>
      <c r="AD1004" s="2" t="s">
        <v>38</v>
      </c>
      <c r="AE1004" s="2" t="s">
        <v>39</v>
      </c>
    </row>
    <row r="1005" spans="1:31" ht="409.5">
      <c r="A1005" s="2">
        <v>2641297</v>
      </c>
      <c r="B1005" s="2">
        <f>HYPERLINK("https://platform.v2.vetology.net/cases/2641297/screening-report/18?type=pdf&amp;v=v6&amp;scorecard=1&amp;secret_key=BX%25IJ%24%2F65ieZ%29f6", 2641297)</f>
        <v>2641297</v>
      </c>
      <c r="C1005" s="2">
        <f>HYPERLINK("https://platform.v2.vetology.net/report/v/final/"&amp;2641297, 2641297)</f>
        <v>2641297</v>
      </c>
      <c r="D1005" s="2" t="s">
        <v>2997</v>
      </c>
      <c r="E1005" s="2" t="s">
        <v>2998</v>
      </c>
      <c r="F1005" s="2" t="s">
        <v>81</v>
      </c>
      <c r="G1005" s="2" t="s">
        <v>268</v>
      </c>
      <c r="H1005" s="2" t="s">
        <v>1180</v>
      </c>
      <c r="I1005" s="2" t="s">
        <v>158</v>
      </c>
      <c r="J1005" s="2" t="s">
        <v>50</v>
      </c>
      <c r="K1005" s="2" t="s">
        <v>38</v>
      </c>
      <c r="L1005" s="2" t="s">
        <v>39</v>
      </c>
      <c r="M1005" s="2" t="s">
        <v>38</v>
      </c>
      <c r="N1005" s="2" t="s">
        <v>38</v>
      </c>
      <c r="O1005" s="2" t="s">
        <v>38</v>
      </c>
      <c r="P1005" s="2" t="s">
        <v>38</v>
      </c>
      <c r="Q1005" s="2" t="s">
        <v>38</v>
      </c>
      <c r="R1005" s="2" t="s">
        <v>38</v>
      </c>
      <c r="S1005" s="2" t="s">
        <v>38</v>
      </c>
      <c r="T1005" s="2" t="s">
        <v>38</v>
      </c>
      <c r="U1005" s="2" t="s">
        <v>38</v>
      </c>
      <c r="V1005" s="2" t="s">
        <v>38</v>
      </c>
      <c r="W1005" s="2" t="s">
        <v>38</v>
      </c>
      <c r="X1005" s="2" t="s">
        <v>38</v>
      </c>
      <c r="Y1005" s="2" t="s">
        <v>38</v>
      </c>
      <c r="Z1005" s="2" t="s">
        <v>38</v>
      </c>
      <c r="AA1005" s="2" t="s">
        <v>38</v>
      </c>
      <c r="AB1005" s="2" t="s">
        <v>38</v>
      </c>
      <c r="AC1005" s="2" t="s">
        <v>39</v>
      </c>
      <c r="AD1005" s="2" t="s">
        <v>38</v>
      </c>
      <c r="AE1005" s="2" t="s">
        <v>38</v>
      </c>
    </row>
    <row r="1006" spans="1:31" ht="409.5">
      <c r="A1006" s="2">
        <v>2641270</v>
      </c>
      <c r="B1006" s="2">
        <f>HYPERLINK("https://platform.v2.vetology.net/cases/2641270/screening-report/18?type=pdf&amp;v=v6&amp;scorecard=1&amp;secret_key=BX%25IJ%24%2F65ieZ%29f6", 2641270)</f>
        <v>2641270</v>
      </c>
      <c r="C1006" s="2">
        <f>HYPERLINK("https://platform.v2.vetology.net/report/v/final/"&amp;2641270, 2641270)</f>
        <v>2641270</v>
      </c>
      <c r="D1006" s="2" t="s">
        <v>2999</v>
      </c>
      <c r="E1006" s="2" t="s">
        <v>3000</v>
      </c>
      <c r="F1006" s="2" t="s">
        <v>3001</v>
      </c>
      <c r="G1006" s="2" t="s">
        <v>464</v>
      </c>
      <c r="H1006" s="2" t="s">
        <v>360</v>
      </c>
      <c r="I1006" s="2" t="s">
        <v>284</v>
      </c>
      <c r="J1006" s="2" t="s">
        <v>285</v>
      </c>
      <c r="K1006" s="2" t="s">
        <v>38</v>
      </c>
      <c r="L1006" s="2" t="s">
        <v>38</v>
      </c>
      <c r="M1006" s="2" t="s">
        <v>38</v>
      </c>
      <c r="N1006" s="2" t="s">
        <v>38</v>
      </c>
      <c r="O1006" s="2" t="s">
        <v>38</v>
      </c>
      <c r="P1006" s="2" t="s">
        <v>38</v>
      </c>
      <c r="Q1006" s="2" t="s">
        <v>38</v>
      </c>
      <c r="R1006" s="2" t="s">
        <v>38</v>
      </c>
      <c r="S1006" s="2" t="s">
        <v>38</v>
      </c>
      <c r="T1006" s="2" t="s">
        <v>39</v>
      </c>
      <c r="U1006" s="2" t="s">
        <v>38</v>
      </c>
      <c r="V1006" s="2" t="s">
        <v>38</v>
      </c>
      <c r="W1006" s="2" t="s">
        <v>38</v>
      </c>
      <c r="X1006" s="2" t="s">
        <v>39</v>
      </c>
      <c r="Y1006" s="2" t="s">
        <v>38</v>
      </c>
      <c r="Z1006" s="2" t="s">
        <v>38</v>
      </c>
      <c r="AA1006" s="2" t="s">
        <v>38</v>
      </c>
      <c r="AB1006" s="2" t="s">
        <v>39</v>
      </c>
      <c r="AC1006" s="2" t="s">
        <v>38</v>
      </c>
      <c r="AD1006" s="2" t="s">
        <v>38</v>
      </c>
      <c r="AE1006" s="2" t="s">
        <v>38</v>
      </c>
    </row>
    <row r="1007" spans="1:31" ht="409.5">
      <c r="A1007" s="2">
        <v>2641095</v>
      </c>
      <c r="B1007" s="2">
        <f>HYPERLINK("https://platform.v2.vetology.net/cases/2641095/screening-report/18?type=pdf&amp;v=v6&amp;scorecard=1&amp;secret_key=BX%25IJ%24%2F65ieZ%29f6", 2641095)</f>
        <v>2641095</v>
      </c>
      <c r="C1007" s="2">
        <f>HYPERLINK("https://platform.v2.vetology.net/report/v/final/"&amp;2641095, 2641095)</f>
        <v>2641095</v>
      </c>
      <c r="D1007" s="2" t="s">
        <v>3002</v>
      </c>
      <c r="E1007" s="2" t="s">
        <v>3003</v>
      </c>
      <c r="F1007" s="2" t="s">
        <v>687</v>
      </c>
      <c r="G1007" s="2" t="s">
        <v>150</v>
      </c>
      <c r="H1007" s="2" t="s">
        <v>688</v>
      </c>
      <c r="I1007" s="2" t="s">
        <v>689</v>
      </c>
      <c r="J1007" s="2" t="s">
        <v>690</v>
      </c>
      <c r="K1007" s="2" t="s">
        <v>38</v>
      </c>
      <c r="L1007" s="2" t="s">
        <v>39</v>
      </c>
      <c r="M1007" s="2" t="s">
        <v>39</v>
      </c>
      <c r="N1007" s="2" t="s">
        <v>39</v>
      </c>
      <c r="O1007" s="2" t="s">
        <v>39</v>
      </c>
      <c r="P1007" s="2" t="s">
        <v>39</v>
      </c>
      <c r="Q1007" s="2" t="s">
        <v>39</v>
      </c>
      <c r="R1007" s="2" t="s">
        <v>38</v>
      </c>
      <c r="S1007" s="2" t="s">
        <v>39</v>
      </c>
      <c r="T1007" s="2" t="s">
        <v>39</v>
      </c>
      <c r="U1007" s="2" t="s">
        <v>39</v>
      </c>
      <c r="V1007" s="2" t="s">
        <v>39</v>
      </c>
      <c r="W1007" s="2" t="s">
        <v>39</v>
      </c>
      <c r="X1007" s="2" t="s">
        <v>39</v>
      </c>
      <c r="Y1007" s="2" t="s">
        <v>39</v>
      </c>
      <c r="Z1007" s="2" t="s">
        <v>39</v>
      </c>
      <c r="AA1007" s="2" t="s">
        <v>39</v>
      </c>
      <c r="AB1007" s="2" t="s">
        <v>39</v>
      </c>
      <c r="AC1007" s="2" t="s">
        <v>39</v>
      </c>
      <c r="AD1007" s="2" t="s">
        <v>38</v>
      </c>
      <c r="AE1007" s="2" t="s">
        <v>39</v>
      </c>
    </row>
    <row r="1008" spans="1:31" ht="409.5">
      <c r="A1008" s="2">
        <v>2640819</v>
      </c>
      <c r="B1008" s="2">
        <f>HYPERLINK("https://platform.v2.vetology.net/cases/2640819/screening-report/18?type=pdf&amp;v=v6&amp;scorecard=1&amp;secret_key=BX%25IJ%24%2F65ieZ%29f6", 2640819)</f>
        <v>2640819</v>
      </c>
      <c r="C1008" s="2">
        <f>HYPERLINK("https://platform.v2.vetology.net/report/v/final/"&amp;2640819, 2640819)</f>
        <v>2640819</v>
      </c>
      <c r="D1008" s="2" t="s">
        <v>3004</v>
      </c>
      <c r="E1008" s="2" t="s">
        <v>3005</v>
      </c>
      <c r="F1008" s="2" t="s">
        <v>3006</v>
      </c>
      <c r="G1008" s="2" t="s">
        <v>93</v>
      </c>
      <c r="H1008" s="2" t="s">
        <v>54</v>
      </c>
      <c r="I1008" s="2" t="s">
        <v>44</v>
      </c>
      <c r="J1008" s="2"/>
      <c r="K1008" s="2" t="s">
        <v>38</v>
      </c>
      <c r="L1008" s="2" t="s">
        <v>39</v>
      </c>
      <c r="M1008" s="2" t="s">
        <v>38</v>
      </c>
      <c r="N1008" s="2" t="s">
        <v>38</v>
      </c>
      <c r="O1008" s="2" t="s">
        <v>38</v>
      </c>
      <c r="P1008" s="2" t="s">
        <v>38</v>
      </c>
      <c r="Q1008" s="2" t="s">
        <v>38</v>
      </c>
      <c r="R1008" s="2" t="s">
        <v>38</v>
      </c>
      <c r="S1008" s="2" t="s">
        <v>38</v>
      </c>
      <c r="T1008" s="2" t="s">
        <v>38</v>
      </c>
      <c r="U1008" s="2" t="s">
        <v>39</v>
      </c>
      <c r="V1008" s="2" t="s">
        <v>38</v>
      </c>
      <c r="W1008" s="2" t="s">
        <v>38</v>
      </c>
      <c r="X1008" s="2" t="s">
        <v>38</v>
      </c>
      <c r="Y1008" s="2" t="s">
        <v>38</v>
      </c>
      <c r="Z1008" s="2" t="s">
        <v>38</v>
      </c>
      <c r="AA1008" s="2" t="s">
        <v>38</v>
      </c>
      <c r="AB1008" s="2" t="s">
        <v>38</v>
      </c>
      <c r="AC1008" s="2" t="s">
        <v>38</v>
      </c>
      <c r="AD1008" s="2" t="s">
        <v>38</v>
      </c>
      <c r="AE1008" s="2" t="s">
        <v>38</v>
      </c>
    </row>
    <row r="1009" spans="1:31" ht="409.5">
      <c r="A1009" s="2">
        <v>2640618</v>
      </c>
      <c r="B1009" s="2">
        <f>HYPERLINK("https://platform.v2.vetology.net/cases/2640618/screening-report/18?type=pdf&amp;v=v6&amp;scorecard=1&amp;secret_key=BX%25IJ%24%2F65ieZ%29f6", 2640618)</f>
        <v>2640618</v>
      </c>
      <c r="C1009" s="2">
        <f>HYPERLINK("https://platform.v2.vetology.net/report/v/final/"&amp;2640618, 2640618)</f>
        <v>2640618</v>
      </c>
      <c r="D1009" s="2" t="s">
        <v>3007</v>
      </c>
      <c r="E1009" s="2" t="s">
        <v>3008</v>
      </c>
      <c r="F1009" s="2"/>
      <c r="G1009" s="2" t="s">
        <v>141</v>
      </c>
      <c r="H1009" s="2" t="s">
        <v>54</v>
      </c>
      <c r="I1009" s="2" t="s">
        <v>44</v>
      </c>
      <c r="J1009" s="2"/>
      <c r="K1009" s="2" t="s">
        <v>38</v>
      </c>
      <c r="L1009" s="2" t="s">
        <v>38</v>
      </c>
      <c r="M1009" s="2" t="s">
        <v>38</v>
      </c>
      <c r="N1009" s="2" t="s">
        <v>38</v>
      </c>
      <c r="O1009" s="2" t="s">
        <v>38</v>
      </c>
      <c r="P1009" s="2" t="s">
        <v>38</v>
      </c>
      <c r="Q1009" s="2" t="s">
        <v>38</v>
      </c>
      <c r="R1009" s="2" t="s">
        <v>38</v>
      </c>
      <c r="S1009" s="2" t="s">
        <v>38</v>
      </c>
      <c r="T1009" s="2" t="s">
        <v>39</v>
      </c>
      <c r="U1009" s="2" t="s">
        <v>38</v>
      </c>
      <c r="V1009" s="2" t="s">
        <v>39</v>
      </c>
      <c r="W1009" s="2" t="s">
        <v>38</v>
      </c>
      <c r="X1009" s="2" t="s">
        <v>39</v>
      </c>
      <c r="Y1009" s="2" t="s">
        <v>38</v>
      </c>
      <c r="Z1009" s="2" t="s">
        <v>38</v>
      </c>
      <c r="AA1009" s="2" t="s">
        <v>38</v>
      </c>
      <c r="AB1009" s="2" t="s">
        <v>39</v>
      </c>
      <c r="AC1009" s="2" t="s">
        <v>38</v>
      </c>
      <c r="AD1009" s="2" t="s">
        <v>38</v>
      </c>
      <c r="AE1009" s="2" t="s">
        <v>38</v>
      </c>
    </row>
    <row r="1010" spans="1:31" ht="409.5">
      <c r="A1010" s="2">
        <v>2640566</v>
      </c>
      <c r="B1010" s="2">
        <f>HYPERLINK("https://platform.v2.vetology.net/cases/2640566/screening-report/18?type=pdf&amp;v=v6&amp;scorecard=1&amp;secret_key=BX%25IJ%24%2F65ieZ%29f6", 2640566)</f>
        <v>2640566</v>
      </c>
      <c r="C1010" s="2">
        <f>HYPERLINK("https://platform.v2.vetology.net/report/v/final/"&amp;2640566, 2640566)</f>
        <v>2640566</v>
      </c>
      <c r="D1010" s="2" t="s">
        <v>3009</v>
      </c>
      <c r="E1010" s="2" t="s">
        <v>3010</v>
      </c>
      <c r="F1010" s="2" t="s">
        <v>2571</v>
      </c>
      <c r="G1010" s="2" t="s">
        <v>150</v>
      </c>
      <c r="H1010" s="2" t="s">
        <v>688</v>
      </c>
      <c r="I1010" s="2" t="s">
        <v>689</v>
      </c>
      <c r="J1010" s="2" t="s">
        <v>690</v>
      </c>
      <c r="K1010" s="2" t="s">
        <v>38</v>
      </c>
      <c r="L1010" s="2" t="s">
        <v>39</v>
      </c>
      <c r="M1010" s="2" t="s">
        <v>38</v>
      </c>
      <c r="N1010" s="2" t="s">
        <v>38</v>
      </c>
      <c r="O1010" s="2" t="s">
        <v>38</v>
      </c>
      <c r="P1010" s="2" t="s">
        <v>38</v>
      </c>
      <c r="Q1010" s="2" t="s">
        <v>38</v>
      </c>
      <c r="R1010" s="2" t="s">
        <v>38</v>
      </c>
      <c r="S1010" s="2" t="s">
        <v>38</v>
      </c>
      <c r="T1010" s="2" t="s">
        <v>38</v>
      </c>
      <c r="U1010" s="2" t="s">
        <v>38</v>
      </c>
      <c r="V1010" s="2" t="s">
        <v>38</v>
      </c>
      <c r="W1010" s="2" t="s">
        <v>38</v>
      </c>
      <c r="X1010" s="2" t="s">
        <v>38</v>
      </c>
      <c r="Y1010" s="2" t="s">
        <v>38</v>
      </c>
      <c r="Z1010" s="2" t="s">
        <v>38</v>
      </c>
      <c r="AA1010" s="2" t="s">
        <v>38</v>
      </c>
      <c r="AB1010" s="2" t="s">
        <v>38</v>
      </c>
      <c r="AC1010" s="2" t="s">
        <v>38</v>
      </c>
      <c r="AD1010" s="2" t="s">
        <v>38</v>
      </c>
      <c r="AE1010" s="2" t="s">
        <v>38</v>
      </c>
    </row>
    <row r="1011" spans="1:31" ht="409.5">
      <c r="A1011" s="2">
        <v>2640515</v>
      </c>
      <c r="B1011" s="2">
        <f>HYPERLINK("https://platform.v2.vetology.net/cases/2640515/screening-report/18?type=pdf&amp;v=v6&amp;scorecard=1&amp;secret_key=BX%25IJ%24%2F65ieZ%29f6", 2640515)</f>
        <v>2640515</v>
      </c>
      <c r="C1011" s="2">
        <f>HYPERLINK("https://platform.v2.vetology.net/report/v/final/"&amp;2640515, 2640515)</f>
        <v>2640515</v>
      </c>
      <c r="D1011" s="2" t="s">
        <v>3011</v>
      </c>
      <c r="E1011" s="2" t="s">
        <v>3012</v>
      </c>
      <c r="F1011" s="2" t="s">
        <v>3013</v>
      </c>
      <c r="G1011" s="2" t="s">
        <v>464</v>
      </c>
      <c r="H1011" s="2" t="s">
        <v>54</v>
      </c>
      <c r="I1011" s="2" t="s">
        <v>44</v>
      </c>
      <c r="J1011" s="2"/>
      <c r="K1011" s="2" t="s">
        <v>38</v>
      </c>
      <c r="L1011" s="2" t="s">
        <v>38</v>
      </c>
      <c r="M1011" s="2" t="s">
        <v>38</v>
      </c>
      <c r="N1011" s="2" t="s">
        <v>38</v>
      </c>
      <c r="O1011" s="2" t="s">
        <v>38</v>
      </c>
      <c r="P1011" s="2" t="s">
        <v>39</v>
      </c>
      <c r="Q1011" s="2" t="s">
        <v>38</v>
      </c>
      <c r="R1011" s="2" t="s">
        <v>38</v>
      </c>
      <c r="S1011" s="2" t="s">
        <v>38</v>
      </c>
      <c r="T1011" s="2" t="s">
        <v>38</v>
      </c>
      <c r="U1011" s="2" t="s">
        <v>38</v>
      </c>
      <c r="V1011" s="2" t="s">
        <v>38</v>
      </c>
      <c r="W1011" s="2" t="s">
        <v>38</v>
      </c>
      <c r="X1011" s="2" t="s">
        <v>38</v>
      </c>
      <c r="Y1011" s="2" t="s">
        <v>38</v>
      </c>
      <c r="Z1011" s="2" t="s">
        <v>39</v>
      </c>
      <c r="AA1011" s="2" t="s">
        <v>38</v>
      </c>
      <c r="AB1011" s="2" t="s">
        <v>38</v>
      </c>
      <c r="AC1011" s="2" t="s">
        <v>38</v>
      </c>
      <c r="AD1011" s="2" t="s">
        <v>38</v>
      </c>
      <c r="AE1011" s="2" t="s">
        <v>38</v>
      </c>
    </row>
    <row r="1012" spans="1:31" ht="409.5">
      <c r="A1012" s="2">
        <v>2640460</v>
      </c>
      <c r="B1012" s="2">
        <f>HYPERLINK("https://platform.v2.vetology.net/cases/2640460/screening-report/18?type=pdf&amp;v=v6&amp;scorecard=1&amp;secret_key=BX%25IJ%24%2F65ieZ%29f6", 2640460)</f>
        <v>2640460</v>
      </c>
      <c r="C1012" s="2">
        <f>HYPERLINK("https://platform.v2.vetology.net/report/v/final/"&amp;2640460, 2640460)</f>
        <v>2640460</v>
      </c>
      <c r="D1012" s="2" t="s">
        <v>3014</v>
      </c>
      <c r="E1012" s="2" t="s">
        <v>3015</v>
      </c>
      <c r="F1012" s="2" t="s">
        <v>3016</v>
      </c>
      <c r="G1012" s="2" t="s">
        <v>58</v>
      </c>
      <c r="H1012" s="2" t="s">
        <v>78</v>
      </c>
      <c r="I1012" s="2" t="s">
        <v>44</v>
      </c>
      <c r="J1012" s="2" t="s">
        <v>106</v>
      </c>
      <c r="K1012" s="2" t="s">
        <v>38</v>
      </c>
      <c r="L1012" s="2" t="s">
        <v>38</v>
      </c>
      <c r="M1012" s="2" t="s">
        <v>38</v>
      </c>
      <c r="N1012" s="2" t="s">
        <v>38</v>
      </c>
      <c r="O1012" s="2" t="s">
        <v>38</v>
      </c>
      <c r="P1012" s="2" t="s">
        <v>38</v>
      </c>
      <c r="Q1012" s="2" t="s">
        <v>38</v>
      </c>
      <c r="R1012" s="2" t="s">
        <v>38</v>
      </c>
      <c r="S1012" s="2" t="s">
        <v>38</v>
      </c>
      <c r="T1012" s="2" t="s">
        <v>38</v>
      </c>
      <c r="U1012" s="2" t="s">
        <v>38</v>
      </c>
      <c r="V1012" s="2" t="s">
        <v>38</v>
      </c>
      <c r="W1012" s="2" t="s">
        <v>38</v>
      </c>
      <c r="X1012" s="2" t="s">
        <v>38</v>
      </c>
      <c r="Y1012" s="2" t="s">
        <v>38</v>
      </c>
      <c r="Z1012" s="2" t="s">
        <v>38</v>
      </c>
      <c r="AA1012" s="2" t="s">
        <v>38</v>
      </c>
      <c r="AB1012" s="2" t="s">
        <v>38</v>
      </c>
      <c r="AC1012" s="2" t="s">
        <v>38</v>
      </c>
      <c r="AD1012" s="2" t="s">
        <v>38</v>
      </c>
      <c r="AE1012" s="2" t="s">
        <v>38</v>
      </c>
    </row>
    <row r="1013" spans="1:31" ht="409.5">
      <c r="A1013" s="2">
        <v>2640382</v>
      </c>
      <c r="B1013" s="2">
        <f>HYPERLINK("https://platform.v2.vetology.net/cases/2640382/screening-report/18?type=pdf&amp;v=v6&amp;scorecard=1&amp;secret_key=BX%25IJ%24%2F65ieZ%29f6", 2640382)</f>
        <v>2640382</v>
      </c>
      <c r="C1013" s="2">
        <f>HYPERLINK("https://platform.v2.vetology.net/report/v/final/"&amp;2640382, 2640382)</f>
        <v>2640382</v>
      </c>
      <c r="D1013" s="2" t="s">
        <v>3017</v>
      </c>
      <c r="E1013" s="2" t="s">
        <v>3018</v>
      </c>
      <c r="F1013" s="2" t="s">
        <v>3019</v>
      </c>
      <c r="G1013" s="2" t="s">
        <v>93</v>
      </c>
      <c r="H1013" s="2" t="s">
        <v>3020</v>
      </c>
      <c r="I1013" s="2" t="s">
        <v>1282</v>
      </c>
      <c r="J1013" s="2" t="s">
        <v>1283</v>
      </c>
      <c r="K1013" s="2" t="s">
        <v>39</v>
      </c>
      <c r="L1013" s="2" t="s">
        <v>39</v>
      </c>
      <c r="M1013" s="2" t="s">
        <v>39</v>
      </c>
      <c r="N1013" s="2" t="s">
        <v>38</v>
      </c>
      <c r="O1013" s="2" t="s">
        <v>39</v>
      </c>
      <c r="P1013" s="2" t="s">
        <v>39</v>
      </c>
      <c r="Q1013" s="2" t="s">
        <v>39</v>
      </c>
      <c r="R1013" s="2" t="s">
        <v>38</v>
      </c>
      <c r="S1013" s="2" t="s">
        <v>39</v>
      </c>
      <c r="T1013" s="2" t="s">
        <v>39</v>
      </c>
      <c r="U1013" s="2" t="s">
        <v>39</v>
      </c>
      <c r="V1013" s="2" t="s">
        <v>39</v>
      </c>
      <c r="W1013" s="2" t="s">
        <v>38</v>
      </c>
      <c r="X1013" s="2" t="s">
        <v>39</v>
      </c>
      <c r="Y1013" s="2" t="s">
        <v>38</v>
      </c>
      <c r="Z1013" s="2" t="s">
        <v>39</v>
      </c>
      <c r="AA1013" s="2" t="s">
        <v>38</v>
      </c>
      <c r="AB1013" s="2" t="s">
        <v>39</v>
      </c>
      <c r="AC1013" s="2" t="s">
        <v>39</v>
      </c>
      <c r="AD1013" s="2" t="s">
        <v>38</v>
      </c>
      <c r="AE1013" s="2" t="s">
        <v>39</v>
      </c>
    </row>
    <row r="1014" spans="1:31" ht="409.5">
      <c r="A1014" s="2">
        <v>2640328</v>
      </c>
      <c r="B1014" s="2">
        <f>HYPERLINK("https://platform.v2.vetology.net/cases/2640328/screening-report/18?type=pdf&amp;v=v6&amp;scorecard=1&amp;secret_key=BX%25IJ%24%2F65ieZ%29f6", 2640328)</f>
        <v>2640328</v>
      </c>
      <c r="C1014" s="2">
        <f>HYPERLINK("https://platform.v2.vetology.net/report/v/final/"&amp;2640328, 2640328)</f>
        <v>2640328</v>
      </c>
      <c r="D1014" s="2" t="s">
        <v>414</v>
      </c>
      <c r="E1014" s="2" t="s">
        <v>1093</v>
      </c>
      <c r="F1014" s="2" t="s">
        <v>3021</v>
      </c>
      <c r="G1014" s="2" t="s">
        <v>135</v>
      </c>
      <c r="H1014" s="2" t="s">
        <v>54</v>
      </c>
      <c r="I1014" s="2" t="s">
        <v>44</v>
      </c>
      <c r="J1014" s="2" t="s">
        <v>106</v>
      </c>
      <c r="K1014" s="2" t="s">
        <v>38</v>
      </c>
      <c r="L1014" s="2" t="s">
        <v>39</v>
      </c>
      <c r="M1014" s="2" t="s">
        <v>38</v>
      </c>
      <c r="N1014" s="2" t="s">
        <v>38</v>
      </c>
      <c r="O1014" s="2" t="s">
        <v>38</v>
      </c>
      <c r="P1014" s="2" t="s">
        <v>38</v>
      </c>
      <c r="Q1014" s="2" t="s">
        <v>38</v>
      </c>
      <c r="R1014" s="2" t="s">
        <v>38</v>
      </c>
      <c r="S1014" s="2" t="s">
        <v>38</v>
      </c>
      <c r="T1014" s="2" t="s">
        <v>38</v>
      </c>
      <c r="U1014" s="2" t="s">
        <v>38</v>
      </c>
      <c r="V1014" s="2" t="s">
        <v>38</v>
      </c>
      <c r="W1014" s="2" t="s">
        <v>38</v>
      </c>
      <c r="X1014" s="2" t="s">
        <v>38</v>
      </c>
      <c r="Y1014" s="2" t="s">
        <v>38</v>
      </c>
      <c r="Z1014" s="2" t="s">
        <v>38</v>
      </c>
      <c r="AA1014" s="2" t="s">
        <v>38</v>
      </c>
      <c r="AB1014" s="2" t="s">
        <v>38</v>
      </c>
      <c r="AC1014" s="2" t="s">
        <v>38</v>
      </c>
      <c r="AD1014" s="2" t="s">
        <v>38</v>
      </c>
      <c r="AE1014" s="2" t="s">
        <v>38</v>
      </c>
    </row>
    <row r="1015" spans="1:31" ht="409.5">
      <c r="A1015" s="2">
        <v>2640278</v>
      </c>
      <c r="B1015" s="2">
        <f>HYPERLINK("https://platform.v2.vetology.net/cases/2640278/screening-report/18?type=pdf&amp;v=v6&amp;scorecard=1&amp;secret_key=BX%25IJ%24%2F65ieZ%29f6", 2640278)</f>
        <v>2640278</v>
      </c>
      <c r="C1015" s="2">
        <f>HYPERLINK("https://platform.v2.vetology.net/report/v/final/"&amp;2640278, 2640278)</f>
        <v>2640278</v>
      </c>
      <c r="D1015" s="2" t="s">
        <v>3022</v>
      </c>
      <c r="E1015" s="2" t="s">
        <v>3023</v>
      </c>
      <c r="F1015" s="2" t="s">
        <v>81</v>
      </c>
      <c r="G1015" s="2" t="s">
        <v>82</v>
      </c>
      <c r="H1015" s="2" t="s">
        <v>1162</v>
      </c>
      <c r="I1015" s="2" t="s">
        <v>190</v>
      </c>
      <c r="J1015" s="2" t="s">
        <v>112</v>
      </c>
      <c r="K1015" s="2" t="s">
        <v>38</v>
      </c>
      <c r="L1015" s="2" t="s">
        <v>39</v>
      </c>
      <c r="M1015" s="2" t="s">
        <v>39</v>
      </c>
      <c r="N1015" s="2" t="s">
        <v>39</v>
      </c>
      <c r="O1015" s="2" t="s">
        <v>39</v>
      </c>
      <c r="P1015" s="2" t="s">
        <v>39</v>
      </c>
      <c r="Q1015" s="2" t="s">
        <v>39</v>
      </c>
      <c r="R1015" s="2" t="s">
        <v>39</v>
      </c>
      <c r="S1015" s="2" t="s">
        <v>39</v>
      </c>
      <c r="T1015" s="2" t="s">
        <v>39</v>
      </c>
      <c r="U1015" s="2" t="s">
        <v>39</v>
      </c>
      <c r="V1015" s="2" t="s">
        <v>39</v>
      </c>
      <c r="W1015" s="2" t="s">
        <v>39</v>
      </c>
      <c r="X1015" s="2" t="s">
        <v>39</v>
      </c>
      <c r="Y1015" s="2" t="s">
        <v>39</v>
      </c>
      <c r="Z1015" s="2" t="s">
        <v>39</v>
      </c>
      <c r="AA1015" s="2" t="s">
        <v>39</v>
      </c>
      <c r="AB1015" s="2" t="s">
        <v>39</v>
      </c>
      <c r="AC1015" s="2" t="s">
        <v>39</v>
      </c>
      <c r="AD1015" s="2" t="s">
        <v>39</v>
      </c>
      <c r="AE1015" s="2" t="s">
        <v>39</v>
      </c>
    </row>
    <row r="1016" spans="1:31" ht="409.5">
      <c r="A1016" s="2">
        <v>2638488</v>
      </c>
      <c r="B1016" s="2">
        <f>HYPERLINK("https://platform.v2.vetology.net/cases/2638488/screening-report/18?type=pdf&amp;v=v6&amp;scorecard=1&amp;secret_key=BX%25IJ%24%2F65ieZ%29f6", 2638488)</f>
        <v>2638488</v>
      </c>
      <c r="C1016" s="2">
        <f>HYPERLINK("https://platform.v2.vetology.net/report/v/final/"&amp;2638488, 2638488)</f>
        <v>2638488</v>
      </c>
      <c r="D1016" s="2" t="s">
        <v>3024</v>
      </c>
      <c r="E1016" s="2" t="s">
        <v>3025</v>
      </c>
      <c r="F1016" s="2" t="s">
        <v>3026</v>
      </c>
      <c r="G1016" s="2" t="s">
        <v>58</v>
      </c>
      <c r="H1016" s="2" t="s">
        <v>54</v>
      </c>
      <c r="I1016" s="2" t="s">
        <v>44</v>
      </c>
      <c r="J1016" s="2"/>
      <c r="K1016" s="2" t="s">
        <v>38</v>
      </c>
      <c r="L1016" s="2" t="s">
        <v>39</v>
      </c>
      <c r="M1016" s="2" t="s">
        <v>39</v>
      </c>
      <c r="N1016" s="2" t="s">
        <v>38</v>
      </c>
      <c r="O1016" s="2" t="s">
        <v>38</v>
      </c>
      <c r="P1016" s="2" t="s">
        <v>39</v>
      </c>
      <c r="Q1016" s="2" t="s">
        <v>38</v>
      </c>
      <c r="R1016" s="2" t="s">
        <v>38</v>
      </c>
      <c r="S1016" s="2" t="s">
        <v>38</v>
      </c>
      <c r="T1016" s="2" t="s">
        <v>39</v>
      </c>
      <c r="U1016" s="2" t="s">
        <v>38</v>
      </c>
      <c r="V1016" s="2" t="s">
        <v>38</v>
      </c>
      <c r="W1016" s="2" t="s">
        <v>38</v>
      </c>
      <c r="X1016" s="2" t="s">
        <v>38</v>
      </c>
      <c r="Y1016" s="2" t="s">
        <v>38</v>
      </c>
      <c r="Z1016" s="2" t="s">
        <v>38</v>
      </c>
      <c r="AA1016" s="2" t="s">
        <v>38</v>
      </c>
      <c r="AB1016" s="2" t="s">
        <v>38</v>
      </c>
      <c r="AC1016" s="2" t="s">
        <v>39</v>
      </c>
      <c r="AD1016" s="2" t="s">
        <v>38</v>
      </c>
      <c r="AE1016" s="2" t="s">
        <v>38</v>
      </c>
    </row>
    <row r="1017" spans="1:31" ht="409.5">
      <c r="A1017" s="2">
        <v>2638334</v>
      </c>
      <c r="B1017" s="2">
        <f>HYPERLINK("https://platform.v2.vetology.net/cases/2638334/screening-report/18?type=pdf&amp;v=v6&amp;scorecard=1&amp;secret_key=BX%25IJ%24%2F65ieZ%29f6", 2638334)</f>
        <v>2638334</v>
      </c>
      <c r="C1017" s="2">
        <f>HYPERLINK("https://platform.v2.vetology.net/report/v/final/"&amp;2638334, 2638334)</f>
        <v>2638334</v>
      </c>
      <c r="D1017" s="2" t="s">
        <v>3027</v>
      </c>
      <c r="E1017" s="2" t="s">
        <v>3028</v>
      </c>
      <c r="F1017" s="2" t="s">
        <v>3029</v>
      </c>
      <c r="G1017" s="2" t="s">
        <v>212</v>
      </c>
      <c r="H1017" s="2" t="s">
        <v>978</v>
      </c>
      <c r="I1017" s="2" t="s">
        <v>284</v>
      </c>
      <c r="J1017" s="2" t="s">
        <v>285</v>
      </c>
      <c r="K1017" s="2" t="s">
        <v>38</v>
      </c>
      <c r="L1017" s="2" t="s">
        <v>39</v>
      </c>
      <c r="M1017" s="2" t="s">
        <v>38</v>
      </c>
      <c r="N1017" s="2" t="s">
        <v>38</v>
      </c>
      <c r="O1017" s="2" t="s">
        <v>38</v>
      </c>
      <c r="P1017" s="2" t="s">
        <v>38</v>
      </c>
      <c r="Q1017" s="2" t="s">
        <v>38</v>
      </c>
      <c r="R1017" s="2" t="s">
        <v>38</v>
      </c>
      <c r="S1017" s="2" t="s">
        <v>38</v>
      </c>
      <c r="T1017" s="2" t="s">
        <v>38</v>
      </c>
      <c r="U1017" s="2" t="s">
        <v>38</v>
      </c>
      <c r="V1017" s="2" t="s">
        <v>38</v>
      </c>
      <c r="W1017" s="2" t="s">
        <v>38</v>
      </c>
      <c r="X1017" s="2" t="s">
        <v>38</v>
      </c>
      <c r="Y1017" s="2" t="s">
        <v>38</v>
      </c>
      <c r="Z1017" s="2" t="s">
        <v>38</v>
      </c>
      <c r="AA1017" s="2" t="s">
        <v>38</v>
      </c>
      <c r="AB1017" s="2" t="s">
        <v>38</v>
      </c>
      <c r="AC1017" s="2" t="s">
        <v>38</v>
      </c>
      <c r="AD1017" s="2" t="s">
        <v>38</v>
      </c>
      <c r="AE1017" s="2" t="s">
        <v>38</v>
      </c>
    </row>
    <row r="1018" spans="1:31" ht="409.5">
      <c r="A1018" s="2">
        <v>2638327</v>
      </c>
      <c r="B1018" s="2">
        <f>HYPERLINK("https://platform.v2.vetology.net/cases/2638327/screening-report/18?type=pdf&amp;v=v6&amp;scorecard=1&amp;secret_key=BX%25IJ%24%2F65ieZ%29f6", 2638327)</f>
        <v>2638327</v>
      </c>
      <c r="C1018" s="2">
        <f>HYPERLINK("https://platform.v2.vetology.net/report/v/final/"&amp;2638327, 2638327)</f>
        <v>2638327</v>
      </c>
      <c r="D1018" s="2" t="s">
        <v>3030</v>
      </c>
      <c r="E1018" s="2" t="s">
        <v>3031</v>
      </c>
      <c r="F1018" s="2" t="s">
        <v>3032</v>
      </c>
      <c r="G1018" s="2" t="s">
        <v>34</v>
      </c>
      <c r="H1018" s="2" t="s">
        <v>339</v>
      </c>
      <c r="I1018" s="2" t="s">
        <v>124</v>
      </c>
      <c r="J1018" s="2" t="s">
        <v>125</v>
      </c>
      <c r="K1018" s="2" t="s">
        <v>38</v>
      </c>
      <c r="L1018" s="2" t="s">
        <v>39</v>
      </c>
      <c r="M1018" s="2" t="s">
        <v>39</v>
      </c>
      <c r="N1018" s="2" t="s">
        <v>38</v>
      </c>
      <c r="O1018" s="2" t="s">
        <v>38</v>
      </c>
      <c r="P1018" s="2" t="s">
        <v>38</v>
      </c>
      <c r="Q1018" s="2" t="s">
        <v>38</v>
      </c>
      <c r="R1018" s="2" t="s">
        <v>38</v>
      </c>
      <c r="S1018" s="2" t="s">
        <v>38</v>
      </c>
      <c r="T1018" s="2" t="s">
        <v>39</v>
      </c>
      <c r="U1018" s="2" t="s">
        <v>38</v>
      </c>
      <c r="V1018" s="2" t="s">
        <v>39</v>
      </c>
      <c r="W1018" s="2" t="s">
        <v>38</v>
      </c>
      <c r="X1018" s="2" t="s">
        <v>38</v>
      </c>
      <c r="Y1018" s="2" t="s">
        <v>38</v>
      </c>
      <c r="Z1018" s="2" t="s">
        <v>38</v>
      </c>
      <c r="AA1018" s="2" t="s">
        <v>38</v>
      </c>
      <c r="AB1018" s="2" t="s">
        <v>39</v>
      </c>
      <c r="AC1018" s="2" t="s">
        <v>38</v>
      </c>
      <c r="AD1018" s="2" t="s">
        <v>38</v>
      </c>
      <c r="AE1018" s="2" t="s">
        <v>39</v>
      </c>
    </row>
    <row r="1019" spans="1:31" ht="409.5">
      <c r="A1019" s="2">
        <v>2638230</v>
      </c>
      <c r="B1019" s="2">
        <f>HYPERLINK("https://platform.v2.vetology.net/cases/2638230/screening-report/18?type=pdf&amp;v=v6&amp;scorecard=1&amp;secret_key=BX%25IJ%24%2F65ieZ%29f6", 2638230)</f>
        <v>2638230</v>
      </c>
      <c r="C1019" s="2">
        <f>HYPERLINK("https://platform.v2.vetology.net/report/v/final/"&amp;2638230, 2638230)</f>
        <v>2638230</v>
      </c>
      <c r="D1019" s="2" t="s">
        <v>3033</v>
      </c>
      <c r="E1019" s="2" t="s">
        <v>3034</v>
      </c>
      <c r="F1019" s="2" t="s">
        <v>3035</v>
      </c>
      <c r="G1019" s="2" t="s">
        <v>58</v>
      </c>
      <c r="H1019" s="2" t="s">
        <v>129</v>
      </c>
      <c r="I1019" s="2" t="s">
        <v>44</v>
      </c>
      <c r="J1019" s="2" t="s">
        <v>106</v>
      </c>
      <c r="K1019" s="2" t="s">
        <v>38</v>
      </c>
      <c r="L1019" s="2" t="s">
        <v>38</v>
      </c>
      <c r="M1019" s="2" t="s">
        <v>38</v>
      </c>
      <c r="N1019" s="2" t="s">
        <v>38</v>
      </c>
      <c r="O1019" s="2" t="s">
        <v>38</v>
      </c>
      <c r="P1019" s="2" t="s">
        <v>38</v>
      </c>
      <c r="Q1019" s="2" t="s">
        <v>38</v>
      </c>
      <c r="R1019" s="2" t="s">
        <v>38</v>
      </c>
      <c r="S1019" s="2" t="s">
        <v>38</v>
      </c>
      <c r="T1019" s="2" t="s">
        <v>38</v>
      </c>
      <c r="U1019" s="2" t="s">
        <v>38</v>
      </c>
      <c r="V1019" s="2" t="s">
        <v>38</v>
      </c>
      <c r="W1019" s="2" t="s">
        <v>38</v>
      </c>
      <c r="X1019" s="2" t="s">
        <v>38</v>
      </c>
      <c r="Y1019" s="2" t="s">
        <v>38</v>
      </c>
      <c r="Z1019" s="2" t="s">
        <v>38</v>
      </c>
      <c r="AA1019" s="2" t="s">
        <v>38</v>
      </c>
      <c r="AB1019" s="2" t="s">
        <v>38</v>
      </c>
      <c r="AC1019" s="2" t="s">
        <v>38</v>
      </c>
      <c r="AD1019" s="2" t="s">
        <v>38</v>
      </c>
      <c r="AE1019" s="2" t="s">
        <v>38</v>
      </c>
    </row>
    <row r="1020" spans="1:31" ht="409.5">
      <c r="A1020" s="2">
        <v>2638075</v>
      </c>
      <c r="B1020" s="2">
        <f>HYPERLINK("https://platform.v2.vetology.net/cases/2638075/screening-report/18?type=pdf&amp;v=v6&amp;scorecard=1&amp;secret_key=BX%25IJ%24%2F65ieZ%29f6", 2638075)</f>
        <v>2638075</v>
      </c>
      <c r="C1020" s="2">
        <f>HYPERLINK("https://platform.v2.vetology.net/report/v/final/"&amp;2638075, 2638075)</f>
        <v>2638075</v>
      </c>
      <c r="D1020" s="2" t="s">
        <v>3036</v>
      </c>
      <c r="E1020" s="2" t="s">
        <v>3037</v>
      </c>
      <c r="F1020" s="2" t="s">
        <v>3038</v>
      </c>
      <c r="G1020" s="2" t="s">
        <v>70</v>
      </c>
      <c r="H1020" s="2" t="s">
        <v>54</v>
      </c>
      <c r="I1020" s="2" t="s">
        <v>44</v>
      </c>
      <c r="J1020" s="2"/>
      <c r="K1020" s="2" t="s">
        <v>38</v>
      </c>
      <c r="L1020" s="2" t="s">
        <v>38</v>
      </c>
      <c r="M1020" s="2" t="s">
        <v>38</v>
      </c>
      <c r="N1020" s="2" t="s">
        <v>38</v>
      </c>
      <c r="O1020" s="2" t="s">
        <v>38</v>
      </c>
      <c r="P1020" s="2" t="s">
        <v>38</v>
      </c>
      <c r="Q1020" s="2" t="s">
        <v>38</v>
      </c>
      <c r="R1020" s="2" t="s">
        <v>38</v>
      </c>
      <c r="S1020" s="2" t="s">
        <v>38</v>
      </c>
      <c r="T1020" s="2" t="s">
        <v>38</v>
      </c>
      <c r="U1020" s="2" t="s">
        <v>38</v>
      </c>
      <c r="V1020" s="2" t="s">
        <v>38</v>
      </c>
      <c r="W1020" s="2" t="s">
        <v>38</v>
      </c>
      <c r="X1020" s="2" t="s">
        <v>38</v>
      </c>
      <c r="Y1020" s="2" t="s">
        <v>38</v>
      </c>
      <c r="Z1020" s="2" t="s">
        <v>38</v>
      </c>
      <c r="AA1020" s="2" t="s">
        <v>38</v>
      </c>
      <c r="AB1020" s="2" t="s">
        <v>38</v>
      </c>
      <c r="AC1020" s="2" t="s">
        <v>38</v>
      </c>
      <c r="AD1020" s="2" t="s">
        <v>38</v>
      </c>
      <c r="AE1020" s="2" t="s">
        <v>38</v>
      </c>
    </row>
    <row r="1021" spans="1:31" ht="409.5">
      <c r="A1021" s="2">
        <v>2638071</v>
      </c>
      <c r="B1021" s="2">
        <f>HYPERLINK("https://platform.v2.vetology.net/cases/2638071/screening-report/18?type=pdf&amp;v=v6&amp;scorecard=1&amp;secret_key=BX%25IJ%24%2F65ieZ%29f6", 2638071)</f>
        <v>2638071</v>
      </c>
      <c r="C1021" s="2">
        <f>HYPERLINK("https://platform.v2.vetology.net/report/v/final/"&amp;2638071, 2638071)</f>
        <v>2638071</v>
      </c>
      <c r="D1021" s="2" t="s">
        <v>3039</v>
      </c>
      <c r="E1021" s="2" t="s">
        <v>3040</v>
      </c>
      <c r="F1021" s="2" t="s">
        <v>81</v>
      </c>
      <c r="G1021" s="2" t="s">
        <v>268</v>
      </c>
      <c r="H1021" s="2" t="s">
        <v>3041</v>
      </c>
      <c r="I1021" s="2" t="s">
        <v>145</v>
      </c>
      <c r="J1021" s="2" t="s">
        <v>146</v>
      </c>
      <c r="K1021" s="2" t="s">
        <v>38</v>
      </c>
      <c r="L1021" s="2" t="s">
        <v>38</v>
      </c>
      <c r="M1021" s="2" t="s">
        <v>38</v>
      </c>
      <c r="N1021" s="2" t="s">
        <v>38</v>
      </c>
      <c r="O1021" s="2" t="s">
        <v>38</v>
      </c>
      <c r="P1021" s="2" t="s">
        <v>39</v>
      </c>
      <c r="Q1021" s="2" t="s">
        <v>38</v>
      </c>
      <c r="R1021" s="2" t="s">
        <v>38</v>
      </c>
      <c r="S1021" s="2" t="s">
        <v>38</v>
      </c>
      <c r="T1021" s="2" t="s">
        <v>39</v>
      </c>
      <c r="U1021" s="2" t="s">
        <v>38</v>
      </c>
      <c r="V1021" s="2" t="s">
        <v>39</v>
      </c>
      <c r="W1021" s="2" t="s">
        <v>38</v>
      </c>
      <c r="X1021" s="2" t="s">
        <v>39</v>
      </c>
      <c r="Y1021" s="2" t="s">
        <v>38</v>
      </c>
      <c r="Z1021" s="2" t="s">
        <v>38</v>
      </c>
      <c r="AA1021" s="2" t="s">
        <v>38</v>
      </c>
      <c r="AB1021" s="2" t="s">
        <v>38</v>
      </c>
      <c r="AC1021" s="2" t="s">
        <v>38</v>
      </c>
      <c r="AD1021" s="2" t="s">
        <v>38</v>
      </c>
      <c r="AE1021" s="2" t="s">
        <v>38</v>
      </c>
    </row>
    <row r="1022" spans="1:31" ht="409.5">
      <c r="A1022" s="2">
        <v>2638056</v>
      </c>
      <c r="B1022" s="2">
        <f>HYPERLINK("https://platform.v2.vetology.net/cases/2638056/screening-report/18?type=pdf&amp;v=v6&amp;scorecard=1&amp;secret_key=BX%25IJ%24%2F65ieZ%29f6", 2638056)</f>
        <v>2638056</v>
      </c>
      <c r="C1022" s="2">
        <f>HYPERLINK("https://platform.v2.vetology.net/report/v/final/"&amp;2638056, 2638056)</f>
        <v>2638056</v>
      </c>
      <c r="D1022" s="2" t="s">
        <v>3042</v>
      </c>
      <c r="E1022" s="2" t="s">
        <v>3043</v>
      </c>
      <c r="F1022" s="2" t="s">
        <v>81</v>
      </c>
      <c r="G1022" s="2" t="s">
        <v>268</v>
      </c>
      <c r="H1022" s="2" t="s">
        <v>2320</v>
      </c>
      <c r="I1022" s="2" t="s">
        <v>137</v>
      </c>
      <c r="J1022" s="2" t="s">
        <v>66</v>
      </c>
      <c r="K1022" s="2" t="s">
        <v>38</v>
      </c>
      <c r="L1022" s="2" t="s">
        <v>39</v>
      </c>
      <c r="M1022" s="2" t="s">
        <v>39</v>
      </c>
      <c r="N1022" s="2" t="s">
        <v>38</v>
      </c>
      <c r="O1022" s="2" t="s">
        <v>39</v>
      </c>
      <c r="P1022" s="2" t="s">
        <v>39</v>
      </c>
      <c r="Q1022" s="2" t="s">
        <v>38</v>
      </c>
      <c r="R1022" s="2" t="s">
        <v>38</v>
      </c>
      <c r="S1022" s="2" t="s">
        <v>38</v>
      </c>
      <c r="T1022" s="2" t="s">
        <v>39</v>
      </c>
      <c r="U1022" s="2" t="s">
        <v>38</v>
      </c>
      <c r="V1022" s="2" t="s">
        <v>38</v>
      </c>
      <c r="W1022" s="2" t="s">
        <v>38</v>
      </c>
      <c r="X1022" s="2" t="s">
        <v>39</v>
      </c>
      <c r="Y1022" s="2" t="s">
        <v>38</v>
      </c>
      <c r="Z1022" s="2" t="s">
        <v>38</v>
      </c>
      <c r="AA1022" s="2" t="s">
        <v>38</v>
      </c>
      <c r="AB1022" s="2" t="s">
        <v>39</v>
      </c>
      <c r="AC1022" s="2" t="s">
        <v>39</v>
      </c>
      <c r="AD1022" s="2" t="s">
        <v>38</v>
      </c>
      <c r="AE1022" s="2" t="s">
        <v>38</v>
      </c>
    </row>
    <row r="1023" spans="1:31" ht="409.5">
      <c r="A1023" s="2">
        <v>2638049</v>
      </c>
      <c r="B1023" s="2">
        <f>HYPERLINK("https://platform.v2.vetology.net/cases/2638049/screening-report/18?type=pdf&amp;v=v6&amp;scorecard=1&amp;secret_key=BX%25IJ%24%2F65ieZ%29f6", 2638049)</f>
        <v>2638049</v>
      </c>
      <c r="C1023" s="2">
        <f>HYPERLINK("https://platform.v2.vetology.net/report/v/final/"&amp;2638049, 2638049)</f>
        <v>2638049</v>
      </c>
      <c r="D1023" s="2" t="s">
        <v>3044</v>
      </c>
      <c r="E1023" s="2" t="s">
        <v>3045</v>
      </c>
      <c r="F1023" s="2" t="s">
        <v>3046</v>
      </c>
      <c r="G1023" s="2" t="s">
        <v>212</v>
      </c>
      <c r="H1023" s="2" t="s">
        <v>136</v>
      </c>
      <c r="I1023" s="2" t="s">
        <v>137</v>
      </c>
      <c r="J1023" s="2" t="s">
        <v>66</v>
      </c>
      <c r="K1023" s="2" t="s">
        <v>38</v>
      </c>
      <c r="L1023" s="2" t="s">
        <v>38</v>
      </c>
      <c r="M1023" s="2" t="s">
        <v>38</v>
      </c>
      <c r="N1023" s="2" t="s">
        <v>38</v>
      </c>
      <c r="O1023" s="2" t="s">
        <v>38</v>
      </c>
      <c r="P1023" s="2" t="s">
        <v>38</v>
      </c>
      <c r="Q1023" s="2" t="s">
        <v>38</v>
      </c>
      <c r="R1023" s="2" t="s">
        <v>38</v>
      </c>
      <c r="S1023" s="2" t="s">
        <v>38</v>
      </c>
      <c r="T1023" s="2" t="s">
        <v>39</v>
      </c>
      <c r="U1023" s="2" t="s">
        <v>38</v>
      </c>
      <c r="V1023" s="2" t="s">
        <v>39</v>
      </c>
      <c r="W1023" s="2" t="s">
        <v>38</v>
      </c>
      <c r="X1023" s="2" t="s">
        <v>39</v>
      </c>
      <c r="Y1023" s="2" t="s">
        <v>38</v>
      </c>
      <c r="Z1023" s="2" t="s">
        <v>38</v>
      </c>
      <c r="AA1023" s="2" t="s">
        <v>38</v>
      </c>
      <c r="AB1023" s="2" t="s">
        <v>38</v>
      </c>
      <c r="AC1023" s="2" t="s">
        <v>38</v>
      </c>
      <c r="AD1023" s="2" t="s">
        <v>38</v>
      </c>
      <c r="AE1023" s="2" t="s">
        <v>38</v>
      </c>
    </row>
    <row r="1024" spans="1:31" ht="409.5">
      <c r="A1024" s="2">
        <v>2637745</v>
      </c>
      <c r="B1024" s="2">
        <f>HYPERLINK("https://platform.v2.vetology.net/cases/2637745/screening-report/18?type=pdf&amp;v=v6&amp;scorecard=1&amp;secret_key=BX%25IJ%24%2F65ieZ%29f6", 2637745)</f>
        <v>2637745</v>
      </c>
      <c r="C1024" s="2">
        <f>HYPERLINK("https://platform.v2.vetology.net/report/v/final/"&amp;2637745, 2637745)</f>
        <v>2637745</v>
      </c>
      <c r="D1024" s="2" t="s">
        <v>3047</v>
      </c>
      <c r="E1024" s="2" t="s">
        <v>3048</v>
      </c>
      <c r="F1024" s="2" t="s">
        <v>81</v>
      </c>
      <c r="G1024" s="2" t="s">
        <v>150</v>
      </c>
      <c r="H1024" s="2" t="s">
        <v>3049</v>
      </c>
      <c r="I1024" s="2" t="s">
        <v>1156</v>
      </c>
      <c r="J1024" s="2" t="s">
        <v>66</v>
      </c>
      <c r="K1024" s="2" t="s">
        <v>38</v>
      </c>
      <c r="L1024" s="2" t="s">
        <v>39</v>
      </c>
      <c r="M1024" s="2" t="s">
        <v>38</v>
      </c>
      <c r="N1024" s="2" t="s">
        <v>38</v>
      </c>
      <c r="O1024" s="2" t="s">
        <v>38</v>
      </c>
      <c r="P1024" s="2" t="s">
        <v>38</v>
      </c>
      <c r="Q1024" s="2" t="s">
        <v>38</v>
      </c>
      <c r="R1024" s="2" t="s">
        <v>38</v>
      </c>
      <c r="S1024" s="2" t="s">
        <v>39</v>
      </c>
      <c r="T1024" s="2" t="s">
        <v>38</v>
      </c>
      <c r="U1024" s="2" t="s">
        <v>39</v>
      </c>
      <c r="V1024" s="2" t="s">
        <v>38</v>
      </c>
      <c r="W1024" s="2" t="s">
        <v>38</v>
      </c>
      <c r="X1024" s="2" t="s">
        <v>38</v>
      </c>
      <c r="Y1024" s="2" t="s">
        <v>38</v>
      </c>
      <c r="Z1024" s="2" t="s">
        <v>39</v>
      </c>
      <c r="AA1024" s="2" t="s">
        <v>38</v>
      </c>
      <c r="AB1024" s="2" t="s">
        <v>39</v>
      </c>
      <c r="AC1024" s="2" t="s">
        <v>39</v>
      </c>
      <c r="AD1024" s="2" t="s">
        <v>38</v>
      </c>
      <c r="AE1024" s="2" t="s">
        <v>38</v>
      </c>
    </row>
    <row r="1025" spans="1:31" ht="409.5">
      <c r="A1025" s="2">
        <v>2637574</v>
      </c>
      <c r="B1025" s="2">
        <f>HYPERLINK("https://platform.v2.vetology.net/cases/2637574/screening-report/18?type=pdf&amp;v=v6&amp;scorecard=1&amp;secret_key=BX%25IJ%24%2F65ieZ%29f6", 2637574)</f>
        <v>2637574</v>
      </c>
      <c r="C1025" s="2">
        <f>HYPERLINK("https://platform.v2.vetology.net/report/v/final/"&amp;2637574, 2637574)</f>
        <v>2637574</v>
      </c>
      <c r="D1025" s="2" t="s">
        <v>3050</v>
      </c>
      <c r="E1025" s="2" t="s">
        <v>3051</v>
      </c>
      <c r="F1025" s="2" t="s">
        <v>3052</v>
      </c>
      <c r="G1025" s="2" t="s">
        <v>135</v>
      </c>
      <c r="H1025" s="2" t="s">
        <v>71</v>
      </c>
      <c r="I1025" s="2" t="s">
        <v>44</v>
      </c>
      <c r="J1025" s="2" t="s">
        <v>106</v>
      </c>
      <c r="K1025" s="2" t="s">
        <v>38</v>
      </c>
      <c r="L1025" s="2" t="s">
        <v>39</v>
      </c>
      <c r="M1025" s="2" t="s">
        <v>38</v>
      </c>
      <c r="N1025" s="2" t="s">
        <v>38</v>
      </c>
      <c r="O1025" s="2" t="s">
        <v>38</v>
      </c>
      <c r="P1025" s="2" t="s">
        <v>38</v>
      </c>
      <c r="Q1025" s="2" t="s">
        <v>38</v>
      </c>
      <c r="R1025" s="2" t="s">
        <v>38</v>
      </c>
      <c r="S1025" s="2" t="s">
        <v>38</v>
      </c>
      <c r="T1025" s="2" t="s">
        <v>38</v>
      </c>
      <c r="U1025" s="2" t="s">
        <v>38</v>
      </c>
      <c r="V1025" s="2" t="s">
        <v>38</v>
      </c>
      <c r="W1025" s="2" t="s">
        <v>38</v>
      </c>
      <c r="X1025" s="2" t="s">
        <v>38</v>
      </c>
      <c r="Y1025" s="2" t="s">
        <v>38</v>
      </c>
      <c r="Z1025" s="2" t="s">
        <v>38</v>
      </c>
      <c r="AA1025" s="2" t="s">
        <v>38</v>
      </c>
      <c r="AB1025" s="2" t="s">
        <v>38</v>
      </c>
      <c r="AC1025" s="2" t="s">
        <v>38</v>
      </c>
      <c r="AD1025" s="2" t="s">
        <v>38</v>
      </c>
      <c r="AE1025" s="2" t="s">
        <v>38</v>
      </c>
    </row>
    <row r="1026" spans="1:31" ht="409.5">
      <c r="A1026" s="2">
        <v>2637552</v>
      </c>
      <c r="B1026" s="2">
        <f>HYPERLINK("https://platform.v2.vetology.net/cases/2637552/screening-report/18?type=pdf&amp;v=v6&amp;scorecard=1&amp;secret_key=BX%25IJ%24%2F65ieZ%29f6", 2637552)</f>
        <v>2637552</v>
      </c>
      <c r="C1026" s="2">
        <f>HYPERLINK("https://platform.v2.vetology.net/report/v/final/"&amp;2637552, 2637552)</f>
        <v>2637552</v>
      </c>
      <c r="D1026" s="2" t="s">
        <v>3053</v>
      </c>
      <c r="E1026" s="2" t="s">
        <v>3054</v>
      </c>
      <c r="F1026" s="2" t="s">
        <v>3055</v>
      </c>
      <c r="G1026" s="2" t="s">
        <v>575</v>
      </c>
      <c r="H1026" s="2" t="s">
        <v>105</v>
      </c>
      <c r="I1026" s="2" t="s">
        <v>44</v>
      </c>
      <c r="J1026" s="2"/>
      <c r="K1026" s="2" t="s">
        <v>38</v>
      </c>
      <c r="L1026" s="2" t="s">
        <v>38</v>
      </c>
      <c r="M1026" s="2" t="s">
        <v>38</v>
      </c>
      <c r="N1026" s="2" t="s">
        <v>38</v>
      </c>
      <c r="O1026" s="2" t="s">
        <v>38</v>
      </c>
      <c r="P1026" s="2" t="s">
        <v>38</v>
      </c>
      <c r="Q1026" s="2" t="s">
        <v>38</v>
      </c>
      <c r="R1026" s="2" t="s">
        <v>38</v>
      </c>
      <c r="S1026" s="2" t="s">
        <v>38</v>
      </c>
      <c r="T1026" s="2" t="s">
        <v>39</v>
      </c>
      <c r="U1026" s="2" t="s">
        <v>38</v>
      </c>
      <c r="V1026" s="2" t="s">
        <v>39</v>
      </c>
      <c r="W1026" s="2" t="s">
        <v>38</v>
      </c>
      <c r="X1026" s="2" t="s">
        <v>39</v>
      </c>
      <c r="Y1026" s="2" t="s">
        <v>38</v>
      </c>
      <c r="Z1026" s="2" t="s">
        <v>38</v>
      </c>
      <c r="AA1026" s="2" t="s">
        <v>38</v>
      </c>
      <c r="AB1026" s="2" t="s">
        <v>39</v>
      </c>
      <c r="AC1026" s="2" t="s">
        <v>38</v>
      </c>
      <c r="AD1026" s="2" t="s">
        <v>38</v>
      </c>
      <c r="AE1026" s="2" t="s">
        <v>38</v>
      </c>
    </row>
    <row r="1027" spans="1:31" ht="409.5">
      <c r="A1027" s="2">
        <v>2637548</v>
      </c>
      <c r="B1027" s="2">
        <f>HYPERLINK("https://platform.v2.vetology.net/cases/2637548/screening-report/18?type=pdf&amp;v=v6&amp;scorecard=1&amp;secret_key=BX%25IJ%24%2F65ieZ%29f6", 2637548)</f>
        <v>2637548</v>
      </c>
      <c r="C1027" s="2">
        <f>HYPERLINK("https://platform.v2.vetology.net/report/v/final/"&amp;2637548, 2637548)</f>
        <v>2637548</v>
      </c>
      <c r="D1027" s="2" t="s">
        <v>3056</v>
      </c>
      <c r="E1027" s="2" t="s">
        <v>3057</v>
      </c>
      <c r="F1027" s="2" t="s">
        <v>3058</v>
      </c>
      <c r="G1027" s="2" t="s">
        <v>34</v>
      </c>
      <c r="H1027" s="2" t="s">
        <v>54</v>
      </c>
      <c r="I1027" s="2" t="s">
        <v>44</v>
      </c>
      <c r="J1027" s="2"/>
      <c r="K1027" s="2" t="s">
        <v>38</v>
      </c>
      <c r="L1027" s="2" t="s">
        <v>38</v>
      </c>
      <c r="M1027" s="2" t="s">
        <v>38</v>
      </c>
      <c r="N1027" s="2" t="s">
        <v>38</v>
      </c>
      <c r="O1027" s="2" t="s">
        <v>38</v>
      </c>
      <c r="P1027" s="2" t="s">
        <v>38</v>
      </c>
      <c r="Q1027" s="2" t="s">
        <v>38</v>
      </c>
      <c r="R1027" s="2" t="s">
        <v>38</v>
      </c>
      <c r="S1027" s="2" t="s">
        <v>38</v>
      </c>
      <c r="T1027" s="2" t="s">
        <v>38</v>
      </c>
      <c r="U1027" s="2" t="s">
        <v>38</v>
      </c>
      <c r="V1027" s="2" t="s">
        <v>38</v>
      </c>
      <c r="W1027" s="2" t="s">
        <v>38</v>
      </c>
      <c r="X1027" s="2" t="s">
        <v>38</v>
      </c>
      <c r="Y1027" s="2" t="s">
        <v>38</v>
      </c>
      <c r="Z1027" s="2" t="s">
        <v>38</v>
      </c>
      <c r="AA1027" s="2" t="s">
        <v>38</v>
      </c>
      <c r="AB1027" s="2" t="s">
        <v>38</v>
      </c>
      <c r="AC1027" s="2" t="s">
        <v>38</v>
      </c>
      <c r="AD1027" s="2" t="s">
        <v>38</v>
      </c>
      <c r="AE1027" s="2" t="s">
        <v>38</v>
      </c>
    </row>
    <row r="1028" spans="1:31" ht="409.5">
      <c r="A1028" s="2">
        <v>2637540</v>
      </c>
      <c r="B1028" s="2">
        <f>HYPERLINK("https://platform.v2.vetology.net/cases/2637540/screening-report/18?type=pdf&amp;v=v6&amp;scorecard=1&amp;secret_key=BX%25IJ%24%2F65ieZ%29f6", 2637540)</f>
        <v>2637540</v>
      </c>
      <c r="C1028" s="2">
        <f>HYPERLINK("https://platform.v2.vetology.net/report/v/final/"&amp;2637540, 2637540)</f>
        <v>2637540</v>
      </c>
      <c r="D1028" s="2" t="s">
        <v>3059</v>
      </c>
      <c r="E1028" s="2" t="s">
        <v>148</v>
      </c>
      <c r="F1028" s="2" t="s">
        <v>149</v>
      </c>
      <c r="G1028" s="2" t="s">
        <v>150</v>
      </c>
      <c r="H1028" s="2" t="s">
        <v>3060</v>
      </c>
      <c r="I1028" s="2" t="s">
        <v>137</v>
      </c>
      <c r="J1028" s="2" t="s">
        <v>66</v>
      </c>
      <c r="K1028" s="2" t="s">
        <v>38</v>
      </c>
      <c r="L1028" s="2" t="s">
        <v>38</v>
      </c>
      <c r="M1028" s="2" t="s">
        <v>38</v>
      </c>
      <c r="N1028" s="2" t="s">
        <v>38</v>
      </c>
      <c r="O1028" s="2" t="s">
        <v>38</v>
      </c>
      <c r="P1028" s="2" t="s">
        <v>38</v>
      </c>
      <c r="Q1028" s="2" t="s">
        <v>38</v>
      </c>
      <c r="R1028" s="2" t="s">
        <v>38</v>
      </c>
      <c r="S1028" s="2" t="s">
        <v>38</v>
      </c>
      <c r="T1028" s="2" t="s">
        <v>39</v>
      </c>
      <c r="U1028" s="2" t="s">
        <v>38</v>
      </c>
      <c r="V1028" s="2" t="s">
        <v>39</v>
      </c>
      <c r="W1028" s="2" t="s">
        <v>38</v>
      </c>
      <c r="X1028" s="2" t="s">
        <v>39</v>
      </c>
      <c r="Y1028" s="2" t="s">
        <v>38</v>
      </c>
      <c r="Z1028" s="2" t="s">
        <v>38</v>
      </c>
      <c r="AA1028" s="2" t="s">
        <v>38</v>
      </c>
      <c r="AB1028" s="2" t="s">
        <v>38</v>
      </c>
      <c r="AC1028" s="2" t="s">
        <v>38</v>
      </c>
      <c r="AD1028" s="2" t="s">
        <v>38</v>
      </c>
      <c r="AE1028" s="2" t="s">
        <v>39</v>
      </c>
    </row>
    <row r="1029" spans="1:31" ht="409.5">
      <c r="A1029" s="2">
        <v>2637388</v>
      </c>
      <c r="B1029" s="2">
        <f>HYPERLINK("https://platform.v2.vetology.net/cases/2637388/screening-report/18?type=pdf&amp;v=v6&amp;scorecard=1&amp;secret_key=BX%25IJ%24%2F65ieZ%29f6", 2637388)</f>
        <v>2637388</v>
      </c>
      <c r="C1029" s="2">
        <f>HYPERLINK("https://platform.v2.vetology.net/report/v/final/"&amp;2637388, 2637388)</f>
        <v>2637388</v>
      </c>
      <c r="D1029" s="2" t="s">
        <v>3061</v>
      </c>
      <c r="E1029" s="2" t="s">
        <v>3062</v>
      </c>
      <c r="F1029" s="2" t="s">
        <v>3063</v>
      </c>
      <c r="G1029" s="2" t="s">
        <v>58</v>
      </c>
      <c r="H1029" s="2" t="s">
        <v>78</v>
      </c>
      <c r="I1029" s="2" t="s">
        <v>44</v>
      </c>
      <c r="J1029" s="2"/>
      <c r="K1029" s="2" t="s">
        <v>38</v>
      </c>
      <c r="L1029" s="2" t="s">
        <v>39</v>
      </c>
      <c r="M1029" s="2" t="s">
        <v>38</v>
      </c>
      <c r="N1029" s="2" t="s">
        <v>38</v>
      </c>
      <c r="O1029" s="2" t="s">
        <v>39</v>
      </c>
      <c r="P1029" s="2" t="s">
        <v>38</v>
      </c>
      <c r="Q1029" s="2" t="s">
        <v>38</v>
      </c>
      <c r="R1029" s="2" t="s">
        <v>38</v>
      </c>
      <c r="S1029" s="2" t="s">
        <v>38</v>
      </c>
      <c r="T1029" s="2" t="s">
        <v>39</v>
      </c>
      <c r="U1029" s="2" t="s">
        <v>38</v>
      </c>
      <c r="V1029" s="2" t="s">
        <v>39</v>
      </c>
      <c r="W1029" s="2" t="s">
        <v>38</v>
      </c>
      <c r="X1029" s="2" t="s">
        <v>39</v>
      </c>
      <c r="Y1029" s="2" t="s">
        <v>38</v>
      </c>
      <c r="Z1029" s="2" t="s">
        <v>38</v>
      </c>
      <c r="AA1029" s="2" t="s">
        <v>38</v>
      </c>
      <c r="AB1029" s="2" t="s">
        <v>38</v>
      </c>
      <c r="AC1029" s="2" t="s">
        <v>38</v>
      </c>
      <c r="AD1029" s="2" t="s">
        <v>38</v>
      </c>
      <c r="AE1029" s="2" t="s">
        <v>38</v>
      </c>
    </row>
    <row r="1030" spans="1:31" ht="409.5">
      <c r="A1030" s="2">
        <v>2637227</v>
      </c>
      <c r="B1030" s="2">
        <f>HYPERLINK("https://platform.v2.vetology.net/cases/2637227/screening-report/18?type=pdf&amp;v=v6&amp;scorecard=1&amp;secret_key=BX%25IJ%24%2F65ieZ%29f6", 2637227)</f>
        <v>2637227</v>
      </c>
      <c r="C1030" s="2">
        <f>HYPERLINK("https://platform.v2.vetology.net/report/v/final/"&amp;2637227, 2637227)</f>
        <v>2637227</v>
      </c>
      <c r="D1030" s="2" t="s">
        <v>3064</v>
      </c>
      <c r="E1030" s="2" t="s">
        <v>3065</v>
      </c>
      <c r="F1030" s="2" t="s">
        <v>3066</v>
      </c>
      <c r="G1030" s="2" t="s">
        <v>34</v>
      </c>
      <c r="H1030" s="2" t="s">
        <v>3067</v>
      </c>
      <c r="I1030" s="2" t="s">
        <v>306</v>
      </c>
      <c r="J1030" s="2" t="s">
        <v>307</v>
      </c>
      <c r="K1030" s="2" t="s">
        <v>38</v>
      </c>
      <c r="L1030" s="2" t="s">
        <v>39</v>
      </c>
      <c r="M1030" s="2" t="s">
        <v>39</v>
      </c>
      <c r="N1030" s="2" t="s">
        <v>39</v>
      </c>
      <c r="O1030" s="2" t="s">
        <v>39</v>
      </c>
      <c r="P1030" s="2" t="s">
        <v>39</v>
      </c>
      <c r="Q1030" s="2" t="s">
        <v>38</v>
      </c>
      <c r="R1030" s="2" t="s">
        <v>38</v>
      </c>
      <c r="S1030" s="2" t="s">
        <v>39</v>
      </c>
      <c r="T1030" s="2" t="s">
        <v>38</v>
      </c>
      <c r="U1030" s="2" t="s">
        <v>39</v>
      </c>
      <c r="V1030" s="2" t="s">
        <v>38</v>
      </c>
      <c r="W1030" s="2" t="s">
        <v>38</v>
      </c>
      <c r="X1030" s="2" t="s">
        <v>38</v>
      </c>
      <c r="Y1030" s="2" t="s">
        <v>38</v>
      </c>
      <c r="Z1030" s="2" t="s">
        <v>39</v>
      </c>
      <c r="AA1030" s="2" t="s">
        <v>38</v>
      </c>
      <c r="AB1030" s="2" t="s">
        <v>38</v>
      </c>
      <c r="AC1030" s="2" t="s">
        <v>38</v>
      </c>
      <c r="AD1030" s="2" t="s">
        <v>38</v>
      </c>
      <c r="AE1030" s="2" t="s">
        <v>38</v>
      </c>
    </row>
    <row r="1031" spans="1:31" ht="409.5">
      <c r="A1031" s="2">
        <v>2637221</v>
      </c>
      <c r="B1031" s="2">
        <f>HYPERLINK("https://platform.v2.vetology.net/cases/2637221/screening-report/18?type=pdf&amp;v=v6&amp;scorecard=1&amp;secret_key=BX%25IJ%24%2F65ieZ%29f6", 2637221)</f>
        <v>2637221</v>
      </c>
      <c r="C1031" s="2">
        <f>HYPERLINK("https://platform.v2.vetology.net/report/v/final/"&amp;2637221, 2637221)</f>
        <v>2637221</v>
      </c>
      <c r="D1031" s="2" t="s">
        <v>3068</v>
      </c>
      <c r="E1031" s="2" t="s">
        <v>3069</v>
      </c>
      <c r="F1031" s="2" t="s">
        <v>81</v>
      </c>
      <c r="G1031" s="2" t="s">
        <v>150</v>
      </c>
      <c r="H1031" s="2" t="s">
        <v>2885</v>
      </c>
      <c r="I1031" s="2" t="s">
        <v>173</v>
      </c>
      <c r="J1031" s="2" t="s">
        <v>174</v>
      </c>
      <c r="K1031" s="2" t="s">
        <v>38</v>
      </c>
      <c r="L1031" s="2" t="s">
        <v>38</v>
      </c>
      <c r="M1031" s="2" t="s">
        <v>38</v>
      </c>
      <c r="N1031" s="2" t="s">
        <v>38</v>
      </c>
      <c r="O1031" s="2" t="s">
        <v>38</v>
      </c>
      <c r="P1031" s="2" t="s">
        <v>38</v>
      </c>
      <c r="Q1031" s="2" t="s">
        <v>38</v>
      </c>
      <c r="R1031" s="2" t="s">
        <v>38</v>
      </c>
      <c r="S1031" s="2" t="s">
        <v>38</v>
      </c>
      <c r="T1031" s="2" t="s">
        <v>39</v>
      </c>
      <c r="U1031" s="2" t="s">
        <v>38</v>
      </c>
      <c r="V1031" s="2" t="s">
        <v>39</v>
      </c>
      <c r="W1031" s="2" t="s">
        <v>38</v>
      </c>
      <c r="X1031" s="2" t="s">
        <v>39</v>
      </c>
      <c r="Y1031" s="2" t="s">
        <v>38</v>
      </c>
      <c r="Z1031" s="2" t="s">
        <v>39</v>
      </c>
      <c r="AA1031" s="2" t="s">
        <v>38</v>
      </c>
      <c r="AB1031" s="2" t="s">
        <v>38</v>
      </c>
      <c r="AC1031" s="2" t="s">
        <v>39</v>
      </c>
      <c r="AD1031" s="2" t="s">
        <v>38</v>
      </c>
      <c r="AE1031" s="2" t="s">
        <v>38</v>
      </c>
    </row>
    <row r="1032" spans="1:31" ht="409.5">
      <c r="A1032" s="2">
        <v>2637183</v>
      </c>
      <c r="B1032" s="2">
        <f>HYPERLINK("https://platform.v2.vetology.net/cases/2637183/screening-report/18?type=pdf&amp;v=v6&amp;scorecard=1&amp;secret_key=BX%25IJ%24%2F65ieZ%29f6", 2637183)</f>
        <v>2637183</v>
      </c>
      <c r="C1032" s="2">
        <f>HYPERLINK("https://platform.v2.vetology.net/report/v/final/"&amp;2637183, 2637183)</f>
        <v>2637183</v>
      </c>
      <c r="D1032" s="2" t="s">
        <v>3070</v>
      </c>
      <c r="E1032" s="2" t="s">
        <v>3071</v>
      </c>
      <c r="F1032" s="2" t="s">
        <v>3072</v>
      </c>
      <c r="G1032" s="2" t="s">
        <v>58</v>
      </c>
      <c r="H1032" s="2" t="s">
        <v>3073</v>
      </c>
      <c r="I1032" s="2" t="s">
        <v>689</v>
      </c>
      <c r="J1032" s="2" t="s">
        <v>690</v>
      </c>
      <c r="K1032" s="2" t="s">
        <v>38</v>
      </c>
      <c r="L1032" s="2" t="s">
        <v>38</v>
      </c>
      <c r="M1032" s="2" t="s">
        <v>39</v>
      </c>
      <c r="N1032" s="2" t="s">
        <v>38</v>
      </c>
      <c r="O1032" s="2" t="s">
        <v>38</v>
      </c>
      <c r="P1032" s="2" t="s">
        <v>39</v>
      </c>
      <c r="Q1032" s="2" t="s">
        <v>39</v>
      </c>
      <c r="R1032" s="2" t="s">
        <v>38</v>
      </c>
      <c r="S1032" s="2" t="s">
        <v>39</v>
      </c>
      <c r="T1032" s="2" t="s">
        <v>38</v>
      </c>
      <c r="U1032" s="2" t="s">
        <v>38</v>
      </c>
      <c r="V1032" s="2" t="s">
        <v>38</v>
      </c>
      <c r="W1032" s="2" t="s">
        <v>39</v>
      </c>
      <c r="X1032" s="2" t="s">
        <v>38</v>
      </c>
      <c r="Y1032" s="2" t="s">
        <v>39</v>
      </c>
      <c r="Z1032" s="2" t="s">
        <v>38</v>
      </c>
      <c r="AA1032" s="2" t="s">
        <v>38</v>
      </c>
      <c r="AB1032" s="2" t="s">
        <v>39</v>
      </c>
      <c r="AC1032" s="2" t="s">
        <v>39</v>
      </c>
      <c r="AD1032" s="2" t="s">
        <v>38</v>
      </c>
      <c r="AE1032" s="2" t="s">
        <v>38</v>
      </c>
    </row>
    <row r="1033" spans="1:31" ht="409.5">
      <c r="A1033" s="2">
        <v>2636975</v>
      </c>
      <c r="B1033" s="2">
        <f>HYPERLINK("https://platform.v2.vetology.net/cases/2636975/screening-report/18?type=pdf&amp;v=v6&amp;scorecard=1&amp;secret_key=BX%25IJ%24%2F65ieZ%29f6", 2636975)</f>
        <v>2636975</v>
      </c>
      <c r="C1033" s="2">
        <f>HYPERLINK("https://platform.v2.vetology.net/report/v/final/"&amp;2636975, 2636975)</f>
        <v>2636975</v>
      </c>
      <c r="D1033" s="2" t="s">
        <v>229</v>
      </c>
      <c r="E1033" s="2" t="s">
        <v>230</v>
      </c>
      <c r="F1033" s="2" t="s">
        <v>149</v>
      </c>
      <c r="G1033" s="2" t="s">
        <v>150</v>
      </c>
      <c r="H1033" s="2" t="s">
        <v>54</v>
      </c>
      <c r="I1033" s="2" t="s">
        <v>44</v>
      </c>
      <c r="J1033" s="2"/>
      <c r="K1033" s="2" t="s">
        <v>38</v>
      </c>
      <c r="L1033" s="2" t="s">
        <v>39</v>
      </c>
      <c r="M1033" s="2" t="s">
        <v>39</v>
      </c>
      <c r="N1033" s="2" t="s">
        <v>38</v>
      </c>
      <c r="O1033" s="2" t="s">
        <v>38</v>
      </c>
      <c r="P1033" s="2" t="s">
        <v>38</v>
      </c>
      <c r="Q1033" s="2" t="s">
        <v>38</v>
      </c>
      <c r="R1033" s="2" t="s">
        <v>38</v>
      </c>
      <c r="S1033" s="2" t="s">
        <v>39</v>
      </c>
      <c r="T1033" s="2" t="s">
        <v>39</v>
      </c>
      <c r="U1033" s="2" t="s">
        <v>38</v>
      </c>
      <c r="V1033" s="2" t="s">
        <v>39</v>
      </c>
      <c r="W1033" s="2" t="s">
        <v>38</v>
      </c>
      <c r="X1033" s="2" t="s">
        <v>39</v>
      </c>
      <c r="Y1033" s="2" t="s">
        <v>38</v>
      </c>
      <c r="Z1033" s="2" t="s">
        <v>38</v>
      </c>
      <c r="AA1033" s="2" t="s">
        <v>38</v>
      </c>
      <c r="AB1033" s="2" t="s">
        <v>38</v>
      </c>
      <c r="AC1033" s="2" t="s">
        <v>38</v>
      </c>
      <c r="AD1033" s="2" t="s">
        <v>38</v>
      </c>
      <c r="AE1033" s="2" t="s">
        <v>38</v>
      </c>
    </row>
    <row r="1034" spans="1:31" ht="409.5">
      <c r="A1034" s="2">
        <v>2636941</v>
      </c>
      <c r="B1034" s="2">
        <f>HYPERLINK("https://platform.v2.vetology.net/cases/2636941/screening-report/18?type=pdf&amp;v=v6&amp;scorecard=1&amp;secret_key=BX%25IJ%24%2F65ieZ%29f6", 2636941)</f>
        <v>2636941</v>
      </c>
      <c r="C1034" s="2">
        <f>HYPERLINK("https://platform.v2.vetology.net/report/v/final/"&amp;2636941, 2636941)</f>
        <v>2636941</v>
      </c>
      <c r="D1034" s="2" t="s">
        <v>3074</v>
      </c>
      <c r="E1034" s="2" t="s">
        <v>3075</v>
      </c>
      <c r="F1034" s="2" t="s">
        <v>81</v>
      </c>
      <c r="G1034" s="2" t="s">
        <v>268</v>
      </c>
      <c r="H1034" s="2" t="s">
        <v>78</v>
      </c>
      <c r="I1034" s="2" t="s">
        <v>44</v>
      </c>
      <c r="J1034" s="2"/>
      <c r="K1034" s="2" t="s">
        <v>38</v>
      </c>
      <c r="L1034" s="2" t="s">
        <v>39</v>
      </c>
      <c r="M1034" s="2" t="s">
        <v>39</v>
      </c>
      <c r="N1034" s="2" t="s">
        <v>38</v>
      </c>
      <c r="O1034" s="2" t="s">
        <v>39</v>
      </c>
      <c r="P1034" s="2" t="s">
        <v>38</v>
      </c>
      <c r="Q1034" s="2" t="s">
        <v>38</v>
      </c>
      <c r="R1034" s="2" t="s">
        <v>38</v>
      </c>
      <c r="S1034" s="2" t="s">
        <v>39</v>
      </c>
      <c r="T1034" s="2" t="s">
        <v>38</v>
      </c>
      <c r="U1034" s="2" t="s">
        <v>38</v>
      </c>
      <c r="V1034" s="2" t="s">
        <v>38</v>
      </c>
      <c r="W1034" s="2" t="s">
        <v>38</v>
      </c>
      <c r="X1034" s="2" t="s">
        <v>39</v>
      </c>
      <c r="Y1034" s="2" t="s">
        <v>38</v>
      </c>
      <c r="Z1034" s="2" t="s">
        <v>38</v>
      </c>
      <c r="AA1034" s="2" t="s">
        <v>38</v>
      </c>
      <c r="AB1034" s="2" t="s">
        <v>39</v>
      </c>
      <c r="AC1034" s="2" t="s">
        <v>38</v>
      </c>
      <c r="AD1034" s="2" t="s">
        <v>38</v>
      </c>
      <c r="AE1034" s="2" t="s">
        <v>38</v>
      </c>
    </row>
    <row r="1035" spans="1:31" ht="409.5">
      <c r="A1035" s="2">
        <v>2636844</v>
      </c>
      <c r="B1035" s="2">
        <f>HYPERLINK("https://platform.v2.vetology.net/cases/2636844/screening-report/18?type=pdf&amp;v=v6&amp;scorecard=1&amp;secret_key=BX%25IJ%24%2F65ieZ%29f6", 2636844)</f>
        <v>2636844</v>
      </c>
      <c r="C1035" s="2">
        <f>HYPERLINK("https://platform.v2.vetology.net/report/v/final/"&amp;2636844, 2636844)</f>
        <v>2636844</v>
      </c>
      <c r="D1035" s="2" t="s">
        <v>3076</v>
      </c>
      <c r="E1035" s="2" t="s">
        <v>3077</v>
      </c>
      <c r="F1035" s="2" t="s">
        <v>3078</v>
      </c>
      <c r="G1035" s="2" t="s">
        <v>575</v>
      </c>
      <c r="H1035" s="2" t="s">
        <v>3079</v>
      </c>
      <c r="I1035" s="2" t="s">
        <v>435</v>
      </c>
      <c r="J1035" s="2" t="s">
        <v>436</v>
      </c>
      <c r="K1035" s="2" t="s">
        <v>38</v>
      </c>
      <c r="L1035" s="2" t="s">
        <v>39</v>
      </c>
      <c r="M1035" s="2" t="s">
        <v>39</v>
      </c>
      <c r="N1035" s="2" t="s">
        <v>38</v>
      </c>
      <c r="O1035" s="2" t="s">
        <v>39</v>
      </c>
      <c r="P1035" s="2" t="s">
        <v>39</v>
      </c>
      <c r="Q1035" s="2" t="s">
        <v>39</v>
      </c>
      <c r="R1035" s="2" t="s">
        <v>38</v>
      </c>
      <c r="S1035" s="2" t="s">
        <v>39</v>
      </c>
      <c r="T1035" s="2" t="s">
        <v>39</v>
      </c>
      <c r="U1035" s="2" t="s">
        <v>38</v>
      </c>
      <c r="V1035" s="2" t="s">
        <v>39</v>
      </c>
      <c r="W1035" s="2" t="s">
        <v>38</v>
      </c>
      <c r="X1035" s="2" t="s">
        <v>39</v>
      </c>
      <c r="Y1035" s="2" t="s">
        <v>38</v>
      </c>
      <c r="Z1035" s="2" t="s">
        <v>38</v>
      </c>
      <c r="AA1035" s="2" t="s">
        <v>38</v>
      </c>
      <c r="AB1035" s="2" t="s">
        <v>39</v>
      </c>
      <c r="AC1035" s="2" t="s">
        <v>39</v>
      </c>
      <c r="AD1035" s="2" t="s">
        <v>38</v>
      </c>
      <c r="AE1035" s="2" t="s">
        <v>39</v>
      </c>
    </row>
    <row r="1036" spans="1:31" ht="409.5">
      <c r="A1036" s="2">
        <v>2636843</v>
      </c>
      <c r="B1036" s="2">
        <f>HYPERLINK("https://platform.v2.vetology.net/cases/2636843/screening-report/18?type=pdf&amp;v=v6&amp;scorecard=1&amp;secret_key=BX%25IJ%24%2F65ieZ%29f6", 2636843)</f>
        <v>2636843</v>
      </c>
      <c r="C1036" s="2">
        <f>HYPERLINK("https://platform.v2.vetology.net/report/v/final/"&amp;2636843, 2636843)</f>
        <v>2636843</v>
      </c>
      <c r="D1036" s="2" t="s">
        <v>3080</v>
      </c>
      <c r="E1036" s="2" t="s">
        <v>3081</v>
      </c>
      <c r="F1036" s="2" t="s">
        <v>3063</v>
      </c>
      <c r="G1036" s="2" t="s">
        <v>58</v>
      </c>
      <c r="H1036" s="2" t="s">
        <v>157</v>
      </c>
      <c r="I1036" s="2" t="s">
        <v>158</v>
      </c>
      <c r="J1036" s="2" t="s">
        <v>50</v>
      </c>
      <c r="K1036" s="2" t="s">
        <v>38</v>
      </c>
      <c r="L1036" s="2" t="s">
        <v>38</v>
      </c>
      <c r="M1036" s="2" t="s">
        <v>38</v>
      </c>
      <c r="N1036" s="2" t="s">
        <v>38</v>
      </c>
      <c r="O1036" s="2" t="s">
        <v>38</v>
      </c>
      <c r="P1036" s="2" t="s">
        <v>39</v>
      </c>
      <c r="Q1036" s="2" t="s">
        <v>38</v>
      </c>
      <c r="R1036" s="2" t="s">
        <v>38</v>
      </c>
      <c r="S1036" s="2" t="s">
        <v>38</v>
      </c>
      <c r="T1036" s="2" t="s">
        <v>38</v>
      </c>
      <c r="U1036" s="2" t="s">
        <v>38</v>
      </c>
      <c r="V1036" s="2" t="s">
        <v>38</v>
      </c>
      <c r="W1036" s="2" t="s">
        <v>38</v>
      </c>
      <c r="X1036" s="2" t="s">
        <v>38</v>
      </c>
      <c r="Y1036" s="2" t="s">
        <v>38</v>
      </c>
      <c r="Z1036" s="2" t="s">
        <v>38</v>
      </c>
      <c r="AA1036" s="2" t="s">
        <v>38</v>
      </c>
      <c r="AB1036" s="2" t="s">
        <v>38</v>
      </c>
      <c r="AC1036" s="2" t="s">
        <v>38</v>
      </c>
      <c r="AD1036" s="2" t="s">
        <v>38</v>
      </c>
      <c r="AE1036" s="2" t="s">
        <v>38</v>
      </c>
    </row>
    <row r="1037" spans="1:31" ht="409.5">
      <c r="A1037" s="2">
        <v>2636562</v>
      </c>
      <c r="B1037" s="2">
        <f>HYPERLINK("https://platform.v2.vetology.net/cases/2636562/screening-report/18?type=pdf&amp;v=v6&amp;scorecard=1&amp;secret_key=BX%25IJ%24%2F65ieZ%29f6", 2636562)</f>
        <v>2636562</v>
      </c>
      <c r="C1037" s="2">
        <f>HYPERLINK("https://platform.v2.vetology.net/report/v/final/"&amp;2636562, 2636562)</f>
        <v>2636562</v>
      </c>
      <c r="D1037" s="2" t="s">
        <v>3082</v>
      </c>
      <c r="E1037" s="2" t="s">
        <v>3083</v>
      </c>
      <c r="F1037" s="2" t="s">
        <v>3084</v>
      </c>
      <c r="G1037" s="2" t="s">
        <v>82</v>
      </c>
      <c r="H1037" s="2" t="s">
        <v>360</v>
      </c>
      <c r="I1037" s="2" t="s">
        <v>284</v>
      </c>
      <c r="J1037" s="2" t="s">
        <v>285</v>
      </c>
      <c r="K1037" s="2" t="s">
        <v>38</v>
      </c>
      <c r="L1037" s="2" t="s">
        <v>39</v>
      </c>
      <c r="M1037" s="2" t="s">
        <v>38</v>
      </c>
      <c r="N1037" s="2" t="s">
        <v>38</v>
      </c>
      <c r="O1037" s="2" t="s">
        <v>38</v>
      </c>
      <c r="P1037" s="2" t="s">
        <v>38</v>
      </c>
      <c r="Q1037" s="2" t="s">
        <v>38</v>
      </c>
      <c r="R1037" s="2" t="s">
        <v>38</v>
      </c>
      <c r="S1037" s="2" t="s">
        <v>38</v>
      </c>
      <c r="T1037" s="2" t="s">
        <v>39</v>
      </c>
      <c r="U1037" s="2" t="s">
        <v>38</v>
      </c>
      <c r="V1037" s="2" t="s">
        <v>38</v>
      </c>
      <c r="W1037" s="2" t="s">
        <v>38</v>
      </c>
      <c r="X1037" s="2" t="s">
        <v>38</v>
      </c>
      <c r="Y1037" s="2" t="s">
        <v>38</v>
      </c>
      <c r="Z1037" s="2" t="s">
        <v>38</v>
      </c>
      <c r="AA1037" s="2" t="s">
        <v>38</v>
      </c>
      <c r="AB1037" s="2" t="s">
        <v>38</v>
      </c>
      <c r="AC1037" s="2" t="s">
        <v>38</v>
      </c>
      <c r="AD1037" s="2" t="s">
        <v>38</v>
      </c>
      <c r="AE1037" s="2" t="s">
        <v>38</v>
      </c>
    </row>
    <row r="1038" spans="1:31" ht="409.5">
      <c r="A1038" s="2">
        <v>2636168</v>
      </c>
      <c r="B1038" s="2">
        <f>HYPERLINK("https://platform.v2.vetology.net/cases/2636168/screening-report/18?type=pdf&amp;v=v6&amp;scorecard=1&amp;secret_key=BX%25IJ%24%2F65ieZ%29f6", 2636168)</f>
        <v>2636168</v>
      </c>
      <c r="C1038" s="2">
        <f>HYPERLINK("https://platform.v2.vetology.net/report/v/final/"&amp;2636168, 2636168)</f>
        <v>2636168</v>
      </c>
      <c r="D1038" s="2" t="s">
        <v>3085</v>
      </c>
      <c r="E1038" s="2" t="s">
        <v>3086</v>
      </c>
      <c r="F1038" s="2" t="s">
        <v>3087</v>
      </c>
      <c r="G1038" s="2" t="s">
        <v>58</v>
      </c>
      <c r="H1038" s="2" t="s">
        <v>1240</v>
      </c>
      <c r="I1038" s="2" t="s">
        <v>137</v>
      </c>
      <c r="J1038" s="2" t="s">
        <v>66</v>
      </c>
      <c r="K1038" s="2" t="s">
        <v>38</v>
      </c>
      <c r="L1038" s="2" t="s">
        <v>38</v>
      </c>
      <c r="M1038" s="2" t="s">
        <v>38</v>
      </c>
      <c r="N1038" s="2" t="s">
        <v>38</v>
      </c>
      <c r="O1038" s="2" t="s">
        <v>38</v>
      </c>
      <c r="P1038" s="2" t="s">
        <v>38</v>
      </c>
      <c r="Q1038" s="2" t="s">
        <v>38</v>
      </c>
      <c r="R1038" s="2" t="s">
        <v>38</v>
      </c>
      <c r="S1038" s="2" t="s">
        <v>38</v>
      </c>
      <c r="T1038" s="2" t="s">
        <v>38</v>
      </c>
      <c r="U1038" s="2" t="s">
        <v>38</v>
      </c>
      <c r="V1038" s="2" t="s">
        <v>38</v>
      </c>
      <c r="W1038" s="2" t="s">
        <v>38</v>
      </c>
      <c r="X1038" s="2" t="s">
        <v>38</v>
      </c>
      <c r="Y1038" s="2" t="s">
        <v>38</v>
      </c>
      <c r="Z1038" s="2" t="s">
        <v>38</v>
      </c>
      <c r="AA1038" s="2" t="s">
        <v>38</v>
      </c>
      <c r="AB1038" s="2" t="s">
        <v>38</v>
      </c>
      <c r="AC1038" s="2" t="s">
        <v>38</v>
      </c>
      <c r="AD1038" s="2" t="s">
        <v>38</v>
      </c>
      <c r="AE1038" s="2" t="s">
        <v>38</v>
      </c>
    </row>
    <row r="1039" spans="1:31" ht="409.5">
      <c r="A1039" s="2">
        <v>2635901</v>
      </c>
      <c r="B1039" s="2">
        <f>HYPERLINK("https://platform.v2.vetology.net/cases/2635901/screening-report/18?type=pdf&amp;v=v6&amp;scorecard=1&amp;secret_key=BX%25IJ%24%2F65ieZ%29f6", 2635901)</f>
        <v>2635901</v>
      </c>
      <c r="C1039" s="2">
        <f>HYPERLINK("https://platform.v2.vetology.net/report/v/final/"&amp;2635901, 2635901)</f>
        <v>2635901</v>
      </c>
      <c r="D1039" s="2" t="s">
        <v>3088</v>
      </c>
      <c r="E1039" s="2" t="s">
        <v>3089</v>
      </c>
      <c r="F1039" s="2" t="s">
        <v>81</v>
      </c>
      <c r="G1039" s="2" t="s">
        <v>82</v>
      </c>
      <c r="H1039" s="2" t="s">
        <v>43</v>
      </c>
      <c r="I1039" s="2" t="s">
        <v>44</v>
      </c>
      <c r="J1039" s="2" t="s">
        <v>106</v>
      </c>
      <c r="K1039" s="2" t="s">
        <v>38</v>
      </c>
      <c r="L1039" s="2" t="s">
        <v>39</v>
      </c>
      <c r="M1039" s="2" t="s">
        <v>39</v>
      </c>
      <c r="N1039" s="2" t="s">
        <v>38</v>
      </c>
      <c r="O1039" s="2" t="s">
        <v>38</v>
      </c>
      <c r="P1039" s="2" t="s">
        <v>38</v>
      </c>
      <c r="Q1039" s="2" t="s">
        <v>38</v>
      </c>
      <c r="R1039" s="2" t="s">
        <v>38</v>
      </c>
      <c r="S1039" s="2" t="s">
        <v>38</v>
      </c>
      <c r="T1039" s="2" t="s">
        <v>38</v>
      </c>
      <c r="U1039" s="2" t="s">
        <v>38</v>
      </c>
      <c r="V1039" s="2" t="s">
        <v>38</v>
      </c>
      <c r="W1039" s="2" t="s">
        <v>38</v>
      </c>
      <c r="X1039" s="2" t="s">
        <v>38</v>
      </c>
      <c r="Y1039" s="2" t="s">
        <v>38</v>
      </c>
      <c r="Z1039" s="2" t="s">
        <v>38</v>
      </c>
      <c r="AA1039" s="2" t="s">
        <v>38</v>
      </c>
      <c r="AB1039" s="2" t="s">
        <v>38</v>
      </c>
      <c r="AC1039" s="2" t="s">
        <v>38</v>
      </c>
      <c r="AD1039" s="2" t="s">
        <v>38</v>
      </c>
      <c r="AE1039" s="2" t="s">
        <v>38</v>
      </c>
    </row>
    <row r="1040" spans="1:31" ht="409.5">
      <c r="A1040" s="2">
        <v>2635567</v>
      </c>
      <c r="B1040" s="2">
        <f>HYPERLINK("https://platform.v2.vetology.net/cases/2635567/screening-report/18?type=pdf&amp;v=v6&amp;scorecard=1&amp;secret_key=BX%25IJ%24%2F65ieZ%29f6", 2635567)</f>
        <v>2635567</v>
      </c>
      <c r="C1040" s="2">
        <f>HYPERLINK("https://platform.v2.vetology.net/report/v/final/"&amp;2635567, 2635567)</f>
        <v>2635567</v>
      </c>
      <c r="D1040" s="2" t="s">
        <v>3090</v>
      </c>
      <c r="E1040" s="2" t="s">
        <v>3091</v>
      </c>
      <c r="F1040" s="2" t="s">
        <v>81</v>
      </c>
      <c r="G1040" s="2" t="s">
        <v>150</v>
      </c>
      <c r="H1040" s="2" t="s">
        <v>818</v>
      </c>
      <c r="I1040" s="2" t="s">
        <v>89</v>
      </c>
      <c r="J1040" s="2" t="s">
        <v>66</v>
      </c>
      <c r="K1040" s="2" t="s">
        <v>38</v>
      </c>
      <c r="L1040" s="2" t="s">
        <v>38</v>
      </c>
      <c r="M1040" s="2" t="s">
        <v>39</v>
      </c>
      <c r="N1040" s="2" t="s">
        <v>38</v>
      </c>
      <c r="O1040" s="2" t="s">
        <v>39</v>
      </c>
      <c r="P1040" s="2" t="s">
        <v>39</v>
      </c>
      <c r="Q1040" s="2" t="s">
        <v>38</v>
      </c>
      <c r="R1040" s="2" t="s">
        <v>38</v>
      </c>
      <c r="S1040" s="2" t="s">
        <v>38</v>
      </c>
      <c r="T1040" s="2" t="s">
        <v>38</v>
      </c>
      <c r="U1040" s="2" t="s">
        <v>38</v>
      </c>
      <c r="V1040" s="2" t="s">
        <v>38</v>
      </c>
      <c r="W1040" s="2" t="s">
        <v>38</v>
      </c>
      <c r="X1040" s="2" t="s">
        <v>38</v>
      </c>
      <c r="Y1040" s="2" t="s">
        <v>38</v>
      </c>
      <c r="Z1040" s="2" t="s">
        <v>38</v>
      </c>
      <c r="AA1040" s="2" t="s">
        <v>38</v>
      </c>
      <c r="AB1040" s="2" t="s">
        <v>38</v>
      </c>
      <c r="AC1040" s="2" t="s">
        <v>38</v>
      </c>
      <c r="AD1040" s="2" t="s">
        <v>38</v>
      </c>
      <c r="AE1040" s="2" t="s">
        <v>39</v>
      </c>
    </row>
    <row r="1041" spans="1:31" ht="409.5">
      <c r="A1041" s="2">
        <v>2635557</v>
      </c>
      <c r="B1041" s="2">
        <f>HYPERLINK("https://platform.v2.vetology.net/cases/2635557/screening-report/18?type=pdf&amp;v=v6&amp;scorecard=1&amp;secret_key=BX%25IJ%24%2F65ieZ%29f6", 2635557)</f>
        <v>2635557</v>
      </c>
      <c r="C1041" s="2">
        <f>HYPERLINK("https://platform.v2.vetology.net/report/v/final/"&amp;2635557, 2635557)</f>
        <v>2635557</v>
      </c>
      <c r="D1041" s="2" t="s">
        <v>3092</v>
      </c>
      <c r="E1041" s="2" t="s">
        <v>3093</v>
      </c>
      <c r="F1041" s="2" t="s">
        <v>3094</v>
      </c>
      <c r="G1041" s="2" t="s">
        <v>58</v>
      </c>
      <c r="H1041" s="2" t="s">
        <v>129</v>
      </c>
      <c r="I1041" s="2" t="s">
        <v>44</v>
      </c>
      <c r="J1041" s="2"/>
      <c r="K1041" s="2" t="s">
        <v>38</v>
      </c>
      <c r="L1041" s="2" t="s">
        <v>39</v>
      </c>
      <c r="M1041" s="2" t="s">
        <v>39</v>
      </c>
      <c r="N1041" s="2" t="s">
        <v>38</v>
      </c>
      <c r="O1041" s="2" t="s">
        <v>38</v>
      </c>
      <c r="P1041" s="2" t="s">
        <v>38</v>
      </c>
      <c r="Q1041" s="2" t="s">
        <v>38</v>
      </c>
      <c r="R1041" s="2" t="s">
        <v>38</v>
      </c>
      <c r="S1041" s="2" t="s">
        <v>39</v>
      </c>
      <c r="T1041" s="2" t="s">
        <v>39</v>
      </c>
      <c r="U1041" s="2" t="s">
        <v>38</v>
      </c>
      <c r="V1041" s="2" t="s">
        <v>39</v>
      </c>
      <c r="W1041" s="2" t="s">
        <v>38</v>
      </c>
      <c r="X1041" s="2" t="s">
        <v>39</v>
      </c>
      <c r="Y1041" s="2" t="s">
        <v>38</v>
      </c>
      <c r="Z1041" s="2" t="s">
        <v>38</v>
      </c>
      <c r="AA1041" s="2" t="s">
        <v>38</v>
      </c>
      <c r="AB1041" s="2" t="s">
        <v>38</v>
      </c>
      <c r="AC1041" s="2" t="s">
        <v>38</v>
      </c>
      <c r="AD1041" s="2" t="s">
        <v>38</v>
      </c>
      <c r="AE1041" s="2" t="s">
        <v>38</v>
      </c>
    </row>
    <row r="1042" spans="1:31" ht="409.5">
      <c r="A1042" s="2">
        <v>2635448</v>
      </c>
      <c r="B1042" s="2">
        <f>HYPERLINK("https://platform.v2.vetology.net/cases/2635448/screening-report/18?type=pdf&amp;v=v6&amp;scorecard=1&amp;secret_key=BX%25IJ%24%2F65ieZ%29f6", 2635448)</f>
        <v>2635448</v>
      </c>
      <c r="C1042" s="2">
        <f>HYPERLINK("https://platform.v2.vetology.net/report/v/final/"&amp;2635448, 2635448)</f>
        <v>2635448</v>
      </c>
      <c r="D1042" s="2" t="s">
        <v>3095</v>
      </c>
      <c r="E1042" s="2" t="s">
        <v>3096</v>
      </c>
      <c r="F1042" s="2" t="s">
        <v>3097</v>
      </c>
      <c r="G1042" s="2" t="s">
        <v>82</v>
      </c>
      <c r="H1042" s="2" t="s">
        <v>78</v>
      </c>
      <c r="I1042" s="2" t="s">
        <v>44</v>
      </c>
      <c r="J1042" s="2"/>
      <c r="K1042" s="2" t="s">
        <v>38</v>
      </c>
      <c r="L1042" s="2" t="s">
        <v>38</v>
      </c>
      <c r="M1042" s="2" t="s">
        <v>38</v>
      </c>
      <c r="N1042" s="2" t="s">
        <v>38</v>
      </c>
      <c r="O1042" s="2" t="s">
        <v>38</v>
      </c>
      <c r="P1042" s="2" t="s">
        <v>38</v>
      </c>
      <c r="Q1042" s="2" t="s">
        <v>38</v>
      </c>
      <c r="R1042" s="2" t="s">
        <v>38</v>
      </c>
      <c r="S1042" s="2" t="s">
        <v>38</v>
      </c>
      <c r="T1042" s="2" t="s">
        <v>38</v>
      </c>
      <c r="U1042" s="2" t="s">
        <v>38</v>
      </c>
      <c r="V1042" s="2" t="s">
        <v>38</v>
      </c>
      <c r="W1042" s="2" t="s">
        <v>38</v>
      </c>
      <c r="X1042" s="2" t="s">
        <v>39</v>
      </c>
      <c r="Y1042" s="2" t="s">
        <v>38</v>
      </c>
      <c r="Z1042" s="2" t="s">
        <v>38</v>
      </c>
      <c r="AA1042" s="2" t="s">
        <v>38</v>
      </c>
      <c r="AB1042" s="2" t="s">
        <v>38</v>
      </c>
      <c r="AC1042" s="2" t="s">
        <v>38</v>
      </c>
      <c r="AD1042" s="2" t="s">
        <v>38</v>
      </c>
      <c r="AE1042" s="2" t="s">
        <v>38</v>
      </c>
    </row>
    <row r="1043" spans="1:31" ht="409.5">
      <c r="A1043" s="2">
        <v>2635054</v>
      </c>
      <c r="B1043" s="2">
        <f>HYPERLINK("https://platform.v2.vetology.net/cases/2635054/screening-report/18?type=pdf&amp;v=v6&amp;scorecard=1&amp;secret_key=BX%25IJ%24%2F65ieZ%29f6", 2635054)</f>
        <v>2635054</v>
      </c>
      <c r="C1043" s="2">
        <f>HYPERLINK("https://platform.v2.vetology.net/report/v/final/"&amp;2635054, 2635054)</f>
        <v>2635054</v>
      </c>
      <c r="D1043" s="2" t="s">
        <v>3098</v>
      </c>
      <c r="E1043" s="2" t="s">
        <v>3099</v>
      </c>
      <c r="F1043" s="2" t="s">
        <v>81</v>
      </c>
      <c r="G1043" s="2" t="s">
        <v>150</v>
      </c>
      <c r="H1043" s="2" t="s">
        <v>78</v>
      </c>
      <c r="I1043" s="2" t="s">
        <v>44</v>
      </c>
      <c r="J1043" s="2"/>
      <c r="K1043" s="2" t="s">
        <v>38</v>
      </c>
      <c r="L1043" s="2" t="s">
        <v>38</v>
      </c>
      <c r="M1043" s="2" t="s">
        <v>38</v>
      </c>
      <c r="N1043" s="2" t="s">
        <v>38</v>
      </c>
      <c r="O1043" s="2" t="s">
        <v>38</v>
      </c>
      <c r="P1043" s="2" t="s">
        <v>38</v>
      </c>
      <c r="Q1043" s="2" t="s">
        <v>38</v>
      </c>
      <c r="R1043" s="2" t="s">
        <v>38</v>
      </c>
      <c r="S1043" s="2" t="s">
        <v>38</v>
      </c>
      <c r="T1043" s="2" t="s">
        <v>38</v>
      </c>
      <c r="U1043" s="2" t="s">
        <v>38</v>
      </c>
      <c r="V1043" s="2" t="s">
        <v>38</v>
      </c>
      <c r="W1043" s="2" t="s">
        <v>38</v>
      </c>
      <c r="X1043" s="2" t="s">
        <v>38</v>
      </c>
      <c r="Y1043" s="2" t="s">
        <v>38</v>
      </c>
      <c r="Z1043" s="2" t="s">
        <v>38</v>
      </c>
      <c r="AA1043" s="2" t="s">
        <v>38</v>
      </c>
      <c r="AB1043" s="2" t="s">
        <v>38</v>
      </c>
      <c r="AC1043" s="2" t="s">
        <v>38</v>
      </c>
      <c r="AD1043" s="2" t="s">
        <v>38</v>
      </c>
      <c r="AE1043" s="2" t="s">
        <v>38</v>
      </c>
    </row>
    <row r="1044" spans="1:31" ht="409.5">
      <c r="A1044" s="2">
        <v>2634992</v>
      </c>
      <c r="B1044" s="2">
        <f>HYPERLINK("https://platform.v2.vetology.net/cases/2634992/screening-report/18?type=pdf&amp;v=v6&amp;scorecard=1&amp;secret_key=BX%25IJ%24%2F65ieZ%29f6", 2634992)</f>
        <v>2634992</v>
      </c>
      <c r="C1044" s="2">
        <f>HYPERLINK("https://platform.v2.vetology.net/report/v/final/"&amp;2634992, 2634992)</f>
        <v>2634992</v>
      </c>
      <c r="D1044" s="2" t="s">
        <v>3100</v>
      </c>
      <c r="E1044" s="2" t="s">
        <v>3101</v>
      </c>
      <c r="F1044" s="2" t="s">
        <v>81</v>
      </c>
      <c r="G1044" s="2" t="s">
        <v>150</v>
      </c>
      <c r="H1044" s="2" t="s">
        <v>3102</v>
      </c>
      <c r="I1044" s="2" t="s">
        <v>3103</v>
      </c>
      <c r="J1044" s="2" t="s">
        <v>2374</v>
      </c>
      <c r="K1044" s="2" t="s">
        <v>39</v>
      </c>
      <c r="L1044" s="2" t="s">
        <v>39</v>
      </c>
      <c r="M1044" s="2" t="s">
        <v>39</v>
      </c>
      <c r="N1044" s="2" t="s">
        <v>39</v>
      </c>
      <c r="O1044" s="2" t="s">
        <v>39</v>
      </c>
      <c r="P1044" s="2" t="s">
        <v>39</v>
      </c>
      <c r="Q1044" s="2" t="s">
        <v>39</v>
      </c>
      <c r="R1044" s="2" t="s">
        <v>39</v>
      </c>
      <c r="S1044" s="2" t="s">
        <v>39</v>
      </c>
      <c r="T1044" s="2" t="s">
        <v>39</v>
      </c>
      <c r="U1044" s="2" t="s">
        <v>39</v>
      </c>
      <c r="V1044" s="2" t="s">
        <v>39</v>
      </c>
      <c r="W1044" s="2" t="s">
        <v>39</v>
      </c>
      <c r="X1044" s="2" t="s">
        <v>39</v>
      </c>
      <c r="Y1044" s="2" t="s">
        <v>39</v>
      </c>
      <c r="Z1044" s="2" t="s">
        <v>39</v>
      </c>
      <c r="AA1044" s="2" t="s">
        <v>39</v>
      </c>
      <c r="AB1044" s="2" t="s">
        <v>39</v>
      </c>
      <c r="AC1044" s="2" t="s">
        <v>39</v>
      </c>
      <c r="AD1044" s="2" t="s">
        <v>38</v>
      </c>
      <c r="AE1044" s="2" t="s">
        <v>38</v>
      </c>
    </row>
    <row r="1045" spans="1:31" ht="409.5">
      <c r="A1045" s="2">
        <v>2634933</v>
      </c>
      <c r="B1045" s="2">
        <f>HYPERLINK("https://platform.v2.vetology.net/cases/2634933/screening-report/18?type=pdf&amp;v=v6&amp;scorecard=1&amp;secret_key=BX%25IJ%24%2F65ieZ%29f6", 2634933)</f>
        <v>2634933</v>
      </c>
      <c r="C1045" s="2">
        <f>HYPERLINK("https://platform.v2.vetology.net/report/v/final/"&amp;2634933, 2634933)</f>
        <v>2634933</v>
      </c>
      <c r="D1045" s="2" t="s">
        <v>3104</v>
      </c>
      <c r="E1045" s="2" t="s">
        <v>3105</v>
      </c>
      <c r="F1045" s="2" t="s">
        <v>3106</v>
      </c>
      <c r="G1045" s="2" t="s">
        <v>150</v>
      </c>
      <c r="H1045" s="2" t="s">
        <v>607</v>
      </c>
      <c r="I1045" s="2" t="s">
        <v>137</v>
      </c>
      <c r="J1045" s="2" t="s">
        <v>66</v>
      </c>
      <c r="K1045" s="2" t="s">
        <v>38</v>
      </c>
      <c r="L1045" s="2" t="s">
        <v>38</v>
      </c>
      <c r="M1045" s="2" t="s">
        <v>38</v>
      </c>
      <c r="N1045" s="2" t="s">
        <v>38</v>
      </c>
      <c r="O1045" s="2" t="s">
        <v>38</v>
      </c>
      <c r="P1045" s="2" t="s">
        <v>38</v>
      </c>
      <c r="Q1045" s="2" t="s">
        <v>38</v>
      </c>
      <c r="R1045" s="2" t="s">
        <v>38</v>
      </c>
      <c r="S1045" s="2" t="s">
        <v>38</v>
      </c>
      <c r="T1045" s="2" t="s">
        <v>39</v>
      </c>
      <c r="U1045" s="2" t="s">
        <v>38</v>
      </c>
      <c r="V1045" s="2" t="s">
        <v>39</v>
      </c>
      <c r="W1045" s="2" t="s">
        <v>38</v>
      </c>
      <c r="X1045" s="2" t="s">
        <v>39</v>
      </c>
      <c r="Y1045" s="2" t="s">
        <v>38</v>
      </c>
      <c r="Z1045" s="2" t="s">
        <v>38</v>
      </c>
      <c r="AA1045" s="2" t="s">
        <v>38</v>
      </c>
      <c r="AB1045" s="2" t="s">
        <v>38</v>
      </c>
      <c r="AC1045" s="2" t="s">
        <v>38</v>
      </c>
      <c r="AD1045" s="2" t="s">
        <v>38</v>
      </c>
      <c r="AE1045" s="2" t="s">
        <v>38</v>
      </c>
    </row>
    <row r="1046" spans="1:31" ht="409.5">
      <c r="A1046" s="2">
        <v>2634406</v>
      </c>
      <c r="B1046" s="2">
        <f>HYPERLINK("https://platform.v2.vetology.net/cases/2634406/screening-report/18?type=pdf&amp;v=v6&amp;scorecard=1&amp;secret_key=BX%25IJ%24%2F65ieZ%29f6", 2634406)</f>
        <v>2634406</v>
      </c>
      <c r="C1046" s="2">
        <f>HYPERLINK("https://platform.v2.vetology.net/report/v/final/"&amp;2634406, 2634406)</f>
        <v>2634406</v>
      </c>
      <c r="D1046" s="2" t="s">
        <v>414</v>
      </c>
      <c r="E1046" s="2" t="s">
        <v>1093</v>
      </c>
      <c r="F1046" s="2" t="s">
        <v>789</v>
      </c>
      <c r="G1046" s="2" t="s">
        <v>135</v>
      </c>
      <c r="H1046" s="2" t="s">
        <v>94</v>
      </c>
      <c r="I1046" s="2" t="s">
        <v>89</v>
      </c>
      <c r="J1046" s="2" t="s">
        <v>66</v>
      </c>
      <c r="K1046" s="2" t="s">
        <v>38</v>
      </c>
      <c r="L1046" s="2" t="s">
        <v>38</v>
      </c>
      <c r="M1046" s="2" t="s">
        <v>39</v>
      </c>
      <c r="N1046" s="2" t="s">
        <v>38</v>
      </c>
      <c r="O1046" s="2" t="s">
        <v>38</v>
      </c>
      <c r="P1046" s="2" t="s">
        <v>39</v>
      </c>
      <c r="Q1046" s="2" t="s">
        <v>38</v>
      </c>
      <c r="R1046" s="2" t="s">
        <v>38</v>
      </c>
      <c r="S1046" s="2" t="s">
        <v>38</v>
      </c>
      <c r="T1046" s="2" t="s">
        <v>38</v>
      </c>
      <c r="U1046" s="2" t="s">
        <v>38</v>
      </c>
      <c r="V1046" s="2" t="s">
        <v>38</v>
      </c>
      <c r="W1046" s="2" t="s">
        <v>38</v>
      </c>
      <c r="X1046" s="2" t="s">
        <v>38</v>
      </c>
      <c r="Y1046" s="2" t="s">
        <v>38</v>
      </c>
      <c r="Z1046" s="2" t="s">
        <v>38</v>
      </c>
      <c r="AA1046" s="2" t="s">
        <v>38</v>
      </c>
      <c r="AB1046" s="2" t="s">
        <v>38</v>
      </c>
      <c r="AC1046" s="2" t="s">
        <v>38</v>
      </c>
      <c r="AD1046" s="2" t="s">
        <v>38</v>
      </c>
      <c r="AE1046" s="2" t="s">
        <v>39</v>
      </c>
    </row>
    <row r="1047" spans="1:31" ht="409.5">
      <c r="A1047" s="2">
        <v>2634398</v>
      </c>
      <c r="B1047" s="2">
        <f>HYPERLINK("https://platform.v2.vetology.net/cases/2634398/screening-report/18?type=pdf&amp;v=v6&amp;scorecard=1&amp;secret_key=BX%25IJ%24%2F65ieZ%29f6", 2634398)</f>
        <v>2634398</v>
      </c>
      <c r="C1047" s="2">
        <f>HYPERLINK("https://platform.v2.vetology.net/report/v/final/"&amp;2634398, 2634398)</f>
        <v>2634398</v>
      </c>
      <c r="D1047" s="2" t="s">
        <v>3107</v>
      </c>
      <c r="E1047" s="2" t="s">
        <v>3108</v>
      </c>
      <c r="F1047" s="2" t="s">
        <v>3109</v>
      </c>
      <c r="G1047" s="2" t="s">
        <v>58</v>
      </c>
      <c r="H1047" s="2" t="s">
        <v>129</v>
      </c>
      <c r="I1047" s="2" t="s">
        <v>44</v>
      </c>
      <c r="J1047" s="2" t="s">
        <v>106</v>
      </c>
      <c r="K1047" s="2" t="s">
        <v>38</v>
      </c>
      <c r="L1047" s="2" t="s">
        <v>38</v>
      </c>
      <c r="M1047" s="2" t="s">
        <v>38</v>
      </c>
      <c r="N1047" s="2" t="s">
        <v>38</v>
      </c>
      <c r="O1047" s="2" t="s">
        <v>38</v>
      </c>
      <c r="P1047" s="2" t="s">
        <v>38</v>
      </c>
      <c r="Q1047" s="2" t="s">
        <v>38</v>
      </c>
      <c r="R1047" s="2" t="s">
        <v>38</v>
      </c>
      <c r="S1047" s="2" t="s">
        <v>38</v>
      </c>
      <c r="T1047" s="2" t="s">
        <v>39</v>
      </c>
      <c r="U1047" s="2" t="s">
        <v>38</v>
      </c>
      <c r="V1047" s="2" t="s">
        <v>38</v>
      </c>
      <c r="W1047" s="2" t="s">
        <v>38</v>
      </c>
      <c r="X1047" s="2" t="s">
        <v>39</v>
      </c>
      <c r="Y1047" s="2" t="s">
        <v>38</v>
      </c>
      <c r="Z1047" s="2" t="s">
        <v>38</v>
      </c>
      <c r="AA1047" s="2" t="s">
        <v>38</v>
      </c>
      <c r="AB1047" s="2" t="s">
        <v>38</v>
      </c>
      <c r="AC1047" s="2" t="s">
        <v>38</v>
      </c>
      <c r="AD1047" s="2" t="s">
        <v>38</v>
      </c>
      <c r="AE1047" s="2" t="s">
        <v>38</v>
      </c>
    </row>
    <row r="1048" spans="1:31" ht="409.5">
      <c r="A1048" s="2">
        <v>2634217</v>
      </c>
      <c r="B1048" s="2">
        <f>HYPERLINK("https://platform.v2.vetology.net/cases/2634217/screening-report/18?type=pdf&amp;v=v6&amp;scorecard=1&amp;secret_key=BX%25IJ%24%2F65ieZ%29f6", 2634217)</f>
        <v>2634217</v>
      </c>
      <c r="C1048" s="2">
        <f>HYPERLINK("https://platform.v2.vetology.net/report/v/final/"&amp;2634217, 2634217)</f>
        <v>2634217</v>
      </c>
      <c r="D1048" s="2" t="s">
        <v>3110</v>
      </c>
      <c r="E1048" s="2" t="s">
        <v>3111</v>
      </c>
      <c r="F1048" s="2"/>
      <c r="G1048" s="2" t="s">
        <v>150</v>
      </c>
      <c r="H1048" s="2" t="s">
        <v>1155</v>
      </c>
      <c r="I1048" s="2" t="s">
        <v>1156</v>
      </c>
      <c r="J1048" s="2" t="s">
        <v>66</v>
      </c>
      <c r="K1048" s="2" t="s">
        <v>38</v>
      </c>
      <c r="L1048" s="2" t="s">
        <v>39</v>
      </c>
      <c r="M1048" s="2" t="s">
        <v>39</v>
      </c>
      <c r="N1048" s="2" t="s">
        <v>39</v>
      </c>
      <c r="O1048" s="2" t="s">
        <v>39</v>
      </c>
      <c r="P1048" s="2" t="s">
        <v>39</v>
      </c>
      <c r="Q1048" s="2" t="s">
        <v>38</v>
      </c>
      <c r="R1048" s="2" t="s">
        <v>38</v>
      </c>
      <c r="S1048" s="2" t="s">
        <v>39</v>
      </c>
      <c r="T1048" s="2" t="s">
        <v>38</v>
      </c>
      <c r="U1048" s="2" t="s">
        <v>38</v>
      </c>
      <c r="V1048" s="2" t="s">
        <v>38</v>
      </c>
      <c r="W1048" s="2" t="s">
        <v>38</v>
      </c>
      <c r="X1048" s="2" t="s">
        <v>38</v>
      </c>
      <c r="Y1048" s="2" t="s">
        <v>38</v>
      </c>
      <c r="Z1048" s="2" t="s">
        <v>39</v>
      </c>
      <c r="AA1048" s="2" t="s">
        <v>39</v>
      </c>
      <c r="AB1048" s="2" t="s">
        <v>39</v>
      </c>
      <c r="AC1048" s="2" t="s">
        <v>39</v>
      </c>
      <c r="AD1048" s="2" t="s">
        <v>38</v>
      </c>
      <c r="AE1048" s="2" t="s">
        <v>38</v>
      </c>
    </row>
    <row r="1049" spans="1:31" ht="409.5">
      <c r="A1049" s="2">
        <v>2633882</v>
      </c>
      <c r="B1049" s="2">
        <f>HYPERLINK("https://platform.v2.vetology.net/cases/2633882/screening-report/18?type=pdf&amp;v=v6&amp;scorecard=1&amp;secret_key=BX%25IJ%24%2F65ieZ%29f6", 2633882)</f>
        <v>2633882</v>
      </c>
      <c r="C1049" s="2">
        <f>HYPERLINK("https://platform.v2.vetology.net/report/v/final/"&amp;2633882, 2633882)</f>
        <v>2633882</v>
      </c>
      <c r="D1049" s="2" t="s">
        <v>3112</v>
      </c>
      <c r="E1049" s="2" t="s">
        <v>3113</v>
      </c>
      <c r="F1049" s="2" t="s">
        <v>3114</v>
      </c>
      <c r="G1049" s="2" t="s">
        <v>63</v>
      </c>
      <c r="H1049" s="2" t="s">
        <v>2681</v>
      </c>
      <c r="I1049" s="2" t="s">
        <v>89</v>
      </c>
      <c r="J1049" s="2" t="s">
        <v>66</v>
      </c>
      <c r="K1049" s="2" t="s">
        <v>38</v>
      </c>
      <c r="L1049" s="2" t="s">
        <v>39</v>
      </c>
      <c r="M1049" s="2" t="s">
        <v>38</v>
      </c>
      <c r="N1049" s="2" t="s">
        <v>38</v>
      </c>
      <c r="O1049" s="2" t="s">
        <v>38</v>
      </c>
      <c r="P1049" s="2" t="s">
        <v>38</v>
      </c>
      <c r="Q1049" s="2" t="s">
        <v>38</v>
      </c>
      <c r="R1049" s="2" t="s">
        <v>38</v>
      </c>
      <c r="S1049" s="2" t="s">
        <v>38</v>
      </c>
      <c r="T1049" s="2" t="s">
        <v>38</v>
      </c>
      <c r="U1049" s="2" t="s">
        <v>38</v>
      </c>
      <c r="V1049" s="2" t="s">
        <v>38</v>
      </c>
      <c r="W1049" s="2" t="s">
        <v>38</v>
      </c>
      <c r="X1049" s="2" t="s">
        <v>38</v>
      </c>
      <c r="Y1049" s="2" t="s">
        <v>38</v>
      </c>
      <c r="Z1049" s="2" t="s">
        <v>38</v>
      </c>
      <c r="AA1049" s="2" t="s">
        <v>38</v>
      </c>
      <c r="AB1049" s="2" t="s">
        <v>38</v>
      </c>
      <c r="AC1049" s="2" t="s">
        <v>38</v>
      </c>
      <c r="AD1049" s="2" t="s">
        <v>38</v>
      </c>
      <c r="AE1049" s="2" t="s">
        <v>39</v>
      </c>
    </row>
    <row r="1050" spans="1:31" ht="409.5">
      <c r="A1050" s="2">
        <v>2633850</v>
      </c>
      <c r="B1050" s="2">
        <f>HYPERLINK("https://platform.v2.vetology.net/cases/2633850/screening-report/18?type=pdf&amp;v=v6&amp;scorecard=1&amp;secret_key=BX%25IJ%24%2F65ieZ%29f6", 2633850)</f>
        <v>2633850</v>
      </c>
      <c r="C1050" s="2">
        <f>HYPERLINK("https://platform.v2.vetology.net/report/v/final/"&amp;2633850, 2633850)</f>
        <v>2633850</v>
      </c>
      <c r="D1050" s="2" t="s">
        <v>3115</v>
      </c>
      <c r="E1050" s="2" t="s">
        <v>3116</v>
      </c>
      <c r="F1050" s="2" t="s">
        <v>1901</v>
      </c>
      <c r="G1050" s="2" t="s">
        <v>150</v>
      </c>
      <c r="H1050" s="2" t="s">
        <v>822</v>
      </c>
      <c r="I1050" s="2" t="s">
        <v>36</v>
      </c>
      <c r="J1050" s="2" t="s">
        <v>37</v>
      </c>
      <c r="K1050" s="2" t="s">
        <v>38</v>
      </c>
      <c r="L1050" s="2" t="s">
        <v>38</v>
      </c>
      <c r="M1050" s="2" t="s">
        <v>39</v>
      </c>
      <c r="N1050" s="2" t="s">
        <v>38</v>
      </c>
      <c r="O1050" s="2" t="s">
        <v>38</v>
      </c>
      <c r="P1050" s="2" t="s">
        <v>38</v>
      </c>
      <c r="Q1050" s="2" t="s">
        <v>38</v>
      </c>
      <c r="R1050" s="2" t="s">
        <v>38</v>
      </c>
      <c r="S1050" s="2" t="s">
        <v>38</v>
      </c>
      <c r="T1050" s="2" t="s">
        <v>38</v>
      </c>
      <c r="U1050" s="2" t="s">
        <v>38</v>
      </c>
      <c r="V1050" s="2" t="s">
        <v>38</v>
      </c>
      <c r="W1050" s="2" t="s">
        <v>38</v>
      </c>
      <c r="X1050" s="2" t="s">
        <v>38</v>
      </c>
      <c r="Y1050" s="2" t="s">
        <v>38</v>
      </c>
      <c r="Z1050" s="2" t="s">
        <v>38</v>
      </c>
      <c r="AA1050" s="2" t="s">
        <v>38</v>
      </c>
      <c r="AB1050" s="2" t="s">
        <v>38</v>
      </c>
      <c r="AC1050" s="2" t="s">
        <v>38</v>
      </c>
      <c r="AD1050" s="2" t="s">
        <v>38</v>
      </c>
      <c r="AE1050" s="2" t="s">
        <v>39</v>
      </c>
    </row>
    <row r="1051" spans="1:31" ht="409.5">
      <c r="A1051" s="2">
        <v>2633737</v>
      </c>
      <c r="B1051" s="2">
        <f>HYPERLINK("https://platform.v2.vetology.net/cases/2633737/screening-report/18?type=pdf&amp;v=v6&amp;scorecard=1&amp;secret_key=BX%25IJ%24%2F65ieZ%29f6", 2633737)</f>
        <v>2633737</v>
      </c>
      <c r="C1051" s="2">
        <f>HYPERLINK("https://platform.v2.vetology.net/report/v/final/"&amp;2633737, 2633737)</f>
        <v>2633737</v>
      </c>
      <c r="D1051" s="2" t="s">
        <v>3117</v>
      </c>
      <c r="E1051" s="2" t="s">
        <v>3118</v>
      </c>
      <c r="F1051" s="2" t="s">
        <v>3119</v>
      </c>
      <c r="G1051" s="2" t="s">
        <v>212</v>
      </c>
      <c r="H1051" s="2" t="s">
        <v>2555</v>
      </c>
      <c r="I1051" s="2" t="s">
        <v>36</v>
      </c>
      <c r="J1051" s="2" t="s">
        <v>37</v>
      </c>
      <c r="K1051" s="2" t="s">
        <v>38</v>
      </c>
      <c r="L1051" s="2" t="s">
        <v>39</v>
      </c>
      <c r="M1051" s="2" t="s">
        <v>38</v>
      </c>
      <c r="N1051" s="2" t="s">
        <v>38</v>
      </c>
      <c r="O1051" s="2" t="s">
        <v>38</v>
      </c>
      <c r="P1051" s="2" t="s">
        <v>38</v>
      </c>
      <c r="Q1051" s="2" t="s">
        <v>38</v>
      </c>
      <c r="R1051" s="2" t="s">
        <v>38</v>
      </c>
      <c r="S1051" s="2" t="s">
        <v>38</v>
      </c>
      <c r="T1051" s="2" t="s">
        <v>38</v>
      </c>
      <c r="U1051" s="2" t="s">
        <v>38</v>
      </c>
      <c r="V1051" s="2" t="s">
        <v>39</v>
      </c>
      <c r="W1051" s="2" t="s">
        <v>38</v>
      </c>
      <c r="X1051" s="2" t="s">
        <v>39</v>
      </c>
      <c r="Y1051" s="2" t="s">
        <v>38</v>
      </c>
      <c r="Z1051" s="2" t="s">
        <v>38</v>
      </c>
      <c r="AA1051" s="2" t="s">
        <v>38</v>
      </c>
      <c r="AB1051" s="2" t="s">
        <v>38</v>
      </c>
      <c r="AC1051" s="2" t="s">
        <v>38</v>
      </c>
      <c r="AD1051" s="2" t="s">
        <v>38</v>
      </c>
      <c r="AE1051" s="2" t="s">
        <v>38</v>
      </c>
    </row>
    <row r="1052" spans="1:31" ht="409.5">
      <c r="A1052" s="2">
        <v>2633713</v>
      </c>
      <c r="B1052" s="2">
        <f>HYPERLINK("https://platform.v2.vetology.net/cases/2633713/screening-report/18?type=pdf&amp;v=v6&amp;scorecard=1&amp;secret_key=BX%25IJ%24%2F65ieZ%29f6", 2633713)</f>
        <v>2633713</v>
      </c>
      <c r="C1052" s="2">
        <f>HYPERLINK("https://platform.v2.vetology.net/report/v/final/"&amp;2633713, 2633713)</f>
        <v>2633713</v>
      </c>
      <c r="D1052" s="2" t="s">
        <v>3120</v>
      </c>
      <c r="E1052" s="2" t="s">
        <v>3121</v>
      </c>
      <c r="F1052" s="2" t="s">
        <v>3122</v>
      </c>
      <c r="G1052" s="2" t="s">
        <v>70</v>
      </c>
      <c r="H1052" s="2" t="s">
        <v>733</v>
      </c>
      <c r="I1052" s="2" t="s">
        <v>158</v>
      </c>
      <c r="J1052" s="2" t="s">
        <v>50</v>
      </c>
      <c r="K1052" s="2" t="s">
        <v>38</v>
      </c>
      <c r="L1052" s="2" t="s">
        <v>39</v>
      </c>
      <c r="M1052" s="2" t="s">
        <v>38</v>
      </c>
      <c r="N1052" s="2" t="s">
        <v>38</v>
      </c>
      <c r="O1052" s="2" t="s">
        <v>38</v>
      </c>
      <c r="P1052" s="2" t="s">
        <v>38</v>
      </c>
      <c r="Q1052" s="2" t="s">
        <v>38</v>
      </c>
      <c r="R1052" s="2" t="s">
        <v>38</v>
      </c>
      <c r="S1052" s="2" t="s">
        <v>38</v>
      </c>
      <c r="T1052" s="2" t="s">
        <v>38</v>
      </c>
      <c r="U1052" s="2" t="s">
        <v>38</v>
      </c>
      <c r="V1052" s="2" t="s">
        <v>38</v>
      </c>
      <c r="W1052" s="2" t="s">
        <v>38</v>
      </c>
      <c r="X1052" s="2" t="s">
        <v>38</v>
      </c>
      <c r="Y1052" s="2" t="s">
        <v>38</v>
      </c>
      <c r="Z1052" s="2" t="s">
        <v>38</v>
      </c>
      <c r="AA1052" s="2" t="s">
        <v>38</v>
      </c>
      <c r="AB1052" s="2" t="s">
        <v>38</v>
      </c>
      <c r="AC1052" s="2" t="s">
        <v>38</v>
      </c>
      <c r="AD1052" s="2" t="s">
        <v>38</v>
      </c>
      <c r="AE1052" s="2" t="s">
        <v>38</v>
      </c>
    </row>
    <row r="1053" spans="1:31" ht="409.5">
      <c r="A1053" s="2">
        <v>2633621</v>
      </c>
      <c r="B1053" s="2">
        <f>HYPERLINK("https://platform.v2.vetology.net/cases/2633621/screening-report/18?type=pdf&amp;v=v6&amp;scorecard=1&amp;secret_key=BX%25IJ%24%2F65ieZ%29f6", 2633621)</f>
        <v>2633621</v>
      </c>
      <c r="C1053" s="2">
        <f>HYPERLINK("https://platform.v2.vetology.net/report/v/final/"&amp;2633621, 2633621)</f>
        <v>2633621</v>
      </c>
      <c r="D1053" s="2" t="s">
        <v>3123</v>
      </c>
      <c r="E1053" s="2" t="s">
        <v>3124</v>
      </c>
      <c r="F1053" s="2" t="s">
        <v>81</v>
      </c>
      <c r="G1053" s="2" t="s">
        <v>82</v>
      </c>
      <c r="H1053" s="2" t="s">
        <v>78</v>
      </c>
      <c r="I1053" s="2" t="s">
        <v>44</v>
      </c>
      <c r="J1053" s="2"/>
      <c r="K1053" s="2" t="s">
        <v>38</v>
      </c>
      <c r="L1053" s="2" t="s">
        <v>39</v>
      </c>
      <c r="M1053" s="2" t="s">
        <v>38</v>
      </c>
      <c r="N1053" s="2" t="s">
        <v>38</v>
      </c>
      <c r="O1053" s="2" t="s">
        <v>38</v>
      </c>
      <c r="P1053" s="2" t="s">
        <v>38</v>
      </c>
      <c r="Q1053" s="2" t="s">
        <v>38</v>
      </c>
      <c r="R1053" s="2" t="s">
        <v>38</v>
      </c>
      <c r="S1053" s="2" t="s">
        <v>38</v>
      </c>
      <c r="T1053" s="2" t="s">
        <v>38</v>
      </c>
      <c r="U1053" s="2" t="s">
        <v>38</v>
      </c>
      <c r="V1053" s="2" t="s">
        <v>38</v>
      </c>
      <c r="W1053" s="2" t="s">
        <v>38</v>
      </c>
      <c r="X1053" s="2" t="s">
        <v>38</v>
      </c>
      <c r="Y1053" s="2" t="s">
        <v>38</v>
      </c>
      <c r="Z1053" s="2" t="s">
        <v>38</v>
      </c>
      <c r="AA1053" s="2" t="s">
        <v>38</v>
      </c>
      <c r="AB1053" s="2" t="s">
        <v>39</v>
      </c>
      <c r="AC1053" s="2" t="s">
        <v>38</v>
      </c>
      <c r="AD1053" s="2" t="s">
        <v>38</v>
      </c>
      <c r="AE1053" s="2" t="s">
        <v>38</v>
      </c>
    </row>
    <row r="1054" spans="1:31" ht="409.5">
      <c r="A1054" s="2">
        <v>2633535</v>
      </c>
      <c r="B1054" s="2">
        <f>HYPERLINK("https://platform.v2.vetology.net/cases/2633535/screening-report/18?type=pdf&amp;v=v6&amp;scorecard=1&amp;secret_key=BX%25IJ%24%2F65ieZ%29f6", 2633535)</f>
        <v>2633535</v>
      </c>
      <c r="C1054" s="2">
        <f>HYPERLINK("https://platform.v2.vetology.net/report/v/final/"&amp;2633535, 2633535)</f>
        <v>2633535</v>
      </c>
      <c r="D1054" s="2" t="s">
        <v>3125</v>
      </c>
      <c r="E1054" s="2" t="s">
        <v>3126</v>
      </c>
      <c r="F1054" s="2" t="s">
        <v>3127</v>
      </c>
      <c r="G1054" s="2" t="s">
        <v>58</v>
      </c>
      <c r="H1054" s="2" t="s">
        <v>136</v>
      </c>
      <c r="I1054" s="2" t="s">
        <v>137</v>
      </c>
      <c r="J1054" s="2" t="s">
        <v>66</v>
      </c>
      <c r="K1054" s="2" t="s">
        <v>38</v>
      </c>
      <c r="L1054" s="2" t="s">
        <v>38</v>
      </c>
      <c r="M1054" s="2" t="s">
        <v>38</v>
      </c>
      <c r="N1054" s="2" t="s">
        <v>38</v>
      </c>
      <c r="O1054" s="2" t="s">
        <v>38</v>
      </c>
      <c r="P1054" s="2" t="s">
        <v>38</v>
      </c>
      <c r="Q1054" s="2" t="s">
        <v>38</v>
      </c>
      <c r="R1054" s="2" t="s">
        <v>38</v>
      </c>
      <c r="S1054" s="2" t="s">
        <v>38</v>
      </c>
      <c r="T1054" s="2" t="s">
        <v>38</v>
      </c>
      <c r="U1054" s="2" t="s">
        <v>38</v>
      </c>
      <c r="V1054" s="2" t="s">
        <v>38</v>
      </c>
      <c r="W1054" s="2" t="s">
        <v>38</v>
      </c>
      <c r="X1054" s="2" t="s">
        <v>38</v>
      </c>
      <c r="Y1054" s="2" t="s">
        <v>38</v>
      </c>
      <c r="Z1054" s="2" t="s">
        <v>38</v>
      </c>
      <c r="AA1054" s="2" t="s">
        <v>38</v>
      </c>
      <c r="AB1054" s="2" t="s">
        <v>38</v>
      </c>
      <c r="AC1054" s="2" t="s">
        <v>38</v>
      </c>
      <c r="AD1054" s="2" t="s">
        <v>38</v>
      </c>
      <c r="AE1054" s="2" t="s">
        <v>39</v>
      </c>
    </row>
    <row r="1055" spans="1:31" ht="409.5">
      <c r="A1055" s="2">
        <v>2633395</v>
      </c>
      <c r="B1055" s="2">
        <f>HYPERLINK("https://platform.v2.vetology.net/cases/2633395/screening-report/18?type=pdf&amp;v=v6&amp;scorecard=1&amp;secret_key=BX%25IJ%24%2F65ieZ%29f6", 2633395)</f>
        <v>2633395</v>
      </c>
      <c r="C1055" s="2">
        <f>HYPERLINK("https://platform.v2.vetology.net/report/v/final/"&amp;2633395, 2633395)</f>
        <v>2633395</v>
      </c>
      <c r="D1055" s="2" t="s">
        <v>3128</v>
      </c>
      <c r="E1055" s="2" t="s">
        <v>3129</v>
      </c>
      <c r="F1055" s="2" t="s">
        <v>81</v>
      </c>
      <c r="G1055" s="2" t="s">
        <v>82</v>
      </c>
      <c r="H1055" s="2" t="s">
        <v>3130</v>
      </c>
      <c r="I1055" s="2" t="s">
        <v>3131</v>
      </c>
      <c r="J1055" s="2" t="s">
        <v>3132</v>
      </c>
      <c r="K1055" s="2" t="s">
        <v>38</v>
      </c>
      <c r="L1055" s="2" t="s">
        <v>39</v>
      </c>
      <c r="M1055" s="2" t="s">
        <v>39</v>
      </c>
      <c r="N1055" s="2" t="s">
        <v>39</v>
      </c>
      <c r="O1055" s="2" t="s">
        <v>39</v>
      </c>
      <c r="P1055" s="2" t="s">
        <v>39</v>
      </c>
      <c r="Q1055" s="2" t="s">
        <v>38</v>
      </c>
      <c r="R1055" s="2" t="s">
        <v>38</v>
      </c>
      <c r="S1055" s="2" t="s">
        <v>39</v>
      </c>
      <c r="T1055" s="2" t="s">
        <v>39</v>
      </c>
      <c r="U1055" s="2" t="s">
        <v>38</v>
      </c>
      <c r="V1055" s="2" t="s">
        <v>38</v>
      </c>
      <c r="W1055" s="2" t="s">
        <v>38</v>
      </c>
      <c r="X1055" s="2" t="s">
        <v>39</v>
      </c>
      <c r="Y1055" s="2" t="s">
        <v>38</v>
      </c>
      <c r="Z1055" s="2" t="s">
        <v>39</v>
      </c>
      <c r="AA1055" s="2" t="s">
        <v>38</v>
      </c>
      <c r="AB1055" s="2" t="s">
        <v>39</v>
      </c>
      <c r="AC1055" s="2" t="s">
        <v>39</v>
      </c>
      <c r="AD1055" s="2" t="s">
        <v>38</v>
      </c>
      <c r="AE1055" s="2" t="s">
        <v>38</v>
      </c>
    </row>
    <row r="1056" spans="1:31" ht="409.5">
      <c r="A1056" s="2">
        <v>2633266</v>
      </c>
      <c r="B1056" s="2">
        <f>HYPERLINK("https://platform.v2.vetology.net/cases/2633266/screening-report/18?type=pdf&amp;v=v6&amp;scorecard=1&amp;secret_key=BX%25IJ%24%2F65ieZ%29f6", 2633266)</f>
        <v>2633266</v>
      </c>
      <c r="C1056" s="2">
        <f>HYPERLINK("https://platform.v2.vetology.net/report/v/final/"&amp;2633266, 2633266)</f>
        <v>2633266</v>
      </c>
      <c r="D1056" s="2" t="s">
        <v>3133</v>
      </c>
      <c r="E1056" s="2" t="s">
        <v>3134</v>
      </c>
      <c r="F1056" s="2" t="s">
        <v>3135</v>
      </c>
      <c r="G1056" s="2" t="s">
        <v>58</v>
      </c>
      <c r="H1056" s="2" t="s">
        <v>88</v>
      </c>
      <c r="I1056" s="2" t="s">
        <v>89</v>
      </c>
      <c r="J1056" s="2" t="s">
        <v>66</v>
      </c>
      <c r="K1056" s="2" t="s">
        <v>38</v>
      </c>
      <c r="L1056" s="2" t="s">
        <v>39</v>
      </c>
      <c r="M1056" s="2" t="s">
        <v>38</v>
      </c>
      <c r="N1056" s="2" t="s">
        <v>38</v>
      </c>
      <c r="O1056" s="2" t="s">
        <v>38</v>
      </c>
      <c r="P1056" s="2" t="s">
        <v>38</v>
      </c>
      <c r="Q1056" s="2" t="s">
        <v>38</v>
      </c>
      <c r="R1056" s="2" t="s">
        <v>38</v>
      </c>
      <c r="S1056" s="2" t="s">
        <v>39</v>
      </c>
      <c r="T1056" s="2" t="s">
        <v>39</v>
      </c>
      <c r="U1056" s="2" t="s">
        <v>38</v>
      </c>
      <c r="V1056" s="2" t="s">
        <v>39</v>
      </c>
      <c r="W1056" s="2" t="s">
        <v>38</v>
      </c>
      <c r="X1056" s="2" t="s">
        <v>39</v>
      </c>
      <c r="Y1056" s="2" t="s">
        <v>38</v>
      </c>
      <c r="Z1056" s="2" t="s">
        <v>38</v>
      </c>
      <c r="AA1056" s="2" t="s">
        <v>38</v>
      </c>
      <c r="AB1056" s="2" t="s">
        <v>38</v>
      </c>
      <c r="AC1056" s="2" t="s">
        <v>38</v>
      </c>
      <c r="AD1056" s="2" t="s">
        <v>38</v>
      </c>
      <c r="AE1056" s="2" t="s">
        <v>39</v>
      </c>
    </row>
    <row r="1057" spans="1:31" ht="409.5">
      <c r="A1057" s="2">
        <v>2633219</v>
      </c>
      <c r="B1057" s="2">
        <f>HYPERLINK("https://platform.v2.vetology.net/cases/2633219/screening-report/18?type=pdf&amp;v=v6&amp;scorecard=1&amp;secret_key=BX%25IJ%24%2F65ieZ%29f6", 2633219)</f>
        <v>2633219</v>
      </c>
      <c r="C1057" s="2">
        <f>HYPERLINK("https://platform.v2.vetology.net/report/v/final/"&amp;2633219, 2633219)</f>
        <v>2633219</v>
      </c>
      <c r="D1057" s="2" t="s">
        <v>3136</v>
      </c>
      <c r="E1057" s="2" t="s">
        <v>3137</v>
      </c>
      <c r="F1057" s="2" t="s">
        <v>81</v>
      </c>
      <c r="G1057" s="2" t="s">
        <v>268</v>
      </c>
      <c r="H1057" s="2" t="s">
        <v>1028</v>
      </c>
      <c r="I1057" s="2" t="s">
        <v>418</v>
      </c>
      <c r="J1057" s="2" t="s">
        <v>419</v>
      </c>
      <c r="K1057" s="2" t="s">
        <v>38</v>
      </c>
      <c r="L1057" s="2" t="s">
        <v>38</v>
      </c>
      <c r="M1057" s="2" t="s">
        <v>38</v>
      </c>
      <c r="N1057" s="2" t="s">
        <v>38</v>
      </c>
      <c r="O1057" s="2" t="s">
        <v>38</v>
      </c>
      <c r="P1057" s="2" t="s">
        <v>38</v>
      </c>
      <c r="Q1057" s="2" t="s">
        <v>38</v>
      </c>
      <c r="R1057" s="2" t="s">
        <v>38</v>
      </c>
      <c r="S1057" s="2" t="s">
        <v>38</v>
      </c>
      <c r="T1057" s="2" t="s">
        <v>38</v>
      </c>
      <c r="U1057" s="2" t="s">
        <v>38</v>
      </c>
      <c r="V1057" s="2" t="s">
        <v>38</v>
      </c>
      <c r="W1057" s="2" t="s">
        <v>38</v>
      </c>
      <c r="X1057" s="2" t="s">
        <v>39</v>
      </c>
      <c r="Y1057" s="2" t="s">
        <v>38</v>
      </c>
      <c r="Z1057" s="2" t="s">
        <v>39</v>
      </c>
      <c r="AA1057" s="2" t="s">
        <v>38</v>
      </c>
      <c r="AB1057" s="2" t="s">
        <v>38</v>
      </c>
      <c r="AC1057" s="2" t="s">
        <v>38</v>
      </c>
      <c r="AD1057" s="2" t="s">
        <v>38</v>
      </c>
      <c r="AE1057" s="2" t="s">
        <v>38</v>
      </c>
    </row>
    <row r="1058" spans="1:31" ht="409.5">
      <c r="A1058" s="2">
        <v>2633163</v>
      </c>
      <c r="B1058" s="2">
        <f>HYPERLINK("https://platform.v2.vetology.net/cases/2633163/screening-report/18?type=pdf&amp;v=v6&amp;scorecard=1&amp;secret_key=BX%25IJ%24%2F65ieZ%29f6", 2633163)</f>
        <v>2633163</v>
      </c>
      <c r="C1058" s="2">
        <f>HYPERLINK("https://platform.v2.vetology.net/report/v/final/"&amp;2633163, 2633163)</f>
        <v>2633163</v>
      </c>
      <c r="D1058" s="2" t="s">
        <v>3138</v>
      </c>
      <c r="E1058" s="2" t="s">
        <v>3139</v>
      </c>
      <c r="F1058" s="2" t="s">
        <v>3140</v>
      </c>
      <c r="G1058" s="2" t="s">
        <v>34</v>
      </c>
      <c r="H1058" s="2" t="s">
        <v>751</v>
      </c>
      <c r="I1058" s="2" t="s">
        <v>227</v>
      </c>
      <c r="J1058" s="2" t="s">
        <v>228</v>
      </c>
      <c r="K1058" s="2" t="s">
        <v>38</v>
      </c>
      <c r="L1058" s="2" t="s">
        <v>38</v>
      </c>
      <c r="M1058" s="2" t="s">
        <v>39</v>
      </c>
      <c r="N1058" s="2" t="s">
        <v>38</v>
      </c>
      <c r="O1058" s="2" t="s">
        <v>38</v>
      </c>
      <c r="P1058" s="2" t="s">
        <v>38</v>
      </c>
      <c r="Q1058" s="2" t="s">
        <v>38</v>
      </c>
      <c r="R1058" s="2" t="s">
        <v>38</v>
      </c>
      <c r="S1058" s="2" t="s">
        <v>38</v>
      </c>
      <c r="T1058" s="2" t="s">
        <v>39</v>
      </c>
      <c r="U1058" s="2" t="s">
        <v>38</v>
      </c>
      <c r="V1058" s="2" t="s">
        <v>38</v>
      </c>
      <c r="W1058" s="2" t="s">
        <v>38</v>
      </c>
      <c r="X1058" s="2" t="s">
        <v>39</v>
      </c>
      <c r="Y1058" s="2" t="s">
        <v>38</v>
      </c>
      <c r="Z1058" s="2" t="s">
        <v>38</v>
      </c>
      <c r="AA1058" s="2" t="s">
        <v>38</v>
      </c>
      <c r="AB1058" s="2" t="s">
        <v>39</v>
      </c>
      <c r="AC1058" s="2" t="s">
        <v>39</v>
      </c>
      <c r="AD1058" s="2" t="s">
        <v>38</v>
      </c>
      <c r="AE1058" s="2" t="s">
        <v>38</v>
      </c>
    </row>
    <row r="1059" spans="1:31" ht="409.5">
      <c r="A1059" s="2">
        <v>2633127</v>
      </c>
      <c r="B1059" s="2">
        <f>HYPERLINK("https://platform.v2.vetology.net/cases/2633127/screening-report/18?type=pdf&amp;v=v6&amp;scorecard=1&amp;secret_key=BX%25IJ%24%2F65ieZ%29f6", 2633127)</f>
        <v>2633127</v>
      </c>
      <c r="C1059" s="2">
        <f>HYPERLINK("https://platform.v2.vetology.net/report/v/final/"&amp;2633127, 2633127)</f>
        <v>2633127</v>
      </c>
      <c r="D1059" s="2" t="s">
        <v>3141</v>
      </c>
      <c r="E1059" s="2" t="s">
        <v>3142</v>
      </c>
      <c r="F1059" s="2" t="s">
        <v>3143</v>
      </c>
      <c r="G1059" s="2" t="s">
        <v>464</v>
      </c>
      <c r="H1059" s="2" t="s">
        <v>3144</v>
      </c>
      <c r="I1059" s="2" t="s">
        <v>2373</v>
      </c>
      <c r="J1059" s="2" t="s">
        <v>2374</v>
      </c>
      <c r="K1059" s="2" t="s">
        <v>39</v>
      </c>
      <c r="L1059" s="2" t="s">
        <v>39</v>
      </c>
      <c r="M1059" s="2" t="s">
        <v>39</v>
      </c>
      <c r="N1059" s="2" t="s">
        <v>39</v>
      </c>
      <c r="O1059" s="2" t="s">
        <v>39</v>
      </c>
      <c r="P1059" s="2" t="s">
        <v>39</v>
      </c>
      <c r="Q1059" s="2" t="s">
        <v>39</v>
      </c>
      <c r="R1059" s="2" t="s">
        <v>39</v>
      </c>
      <c r="S1059" s="2" t="s">
        <v>39</v>
      </c>
      <c r="T1059" s="2" t="s">
        <v>39</v>
      </c>
      <c r="U1059" s="2" t="s">
        <v>39</v>
      </c>
      <c r="V1059" s="2" t="s">
        <v>39</v>
      </c>
      <c r="W1059" s="2" t="s">
        <v>39</v>
      </c>
      <c r="X1059" s="2" t="s">
        <v>39</v>
      </c>
      <c r="Y1059" s="2" t="s">
        <v>39</v>
      </c>
      <c r="Z1059" s="2" t="s">
        <v>39</v>
      </c>
      <c r="AA1059" s="2" t="s">
        <v>39</v>
      </c>
      <c r="AB1059" s="2" t="s">
        <v>39</v>
      </c>
      <c r="AC1059" s="2" t="s">
        <v>39</v>
      </c>
      <c r="AD1059" s="2" t="s">
        <v>39</v>
      </c>
      <c r="AE1059" s="2" t="s">
        <v>39</v>
      </c>
    </row>
    <row r="1060" spans="1:31" ht="409.5">
      <c r="A1060" s="2">
        <v>2633114</v>
      </c>
      <c r="B1060" s="2">
        <f>HYPERLINK("https://platform.v2.vetology.net/cases/2633114/screening-report/18?type=pdf&amp;v=v6&amp;scorecard=1&amp;secret_key=BX%25IJ%24%2F65ieZ%29f6", 2633114)</f>
        <v>2633114</v>
      </c>
      <c r="C1060" s="2">
        <f>HYPERLINK("https://platform.v2.vetology.net/report/v/final/"&amp;2633114, 2633114)</f>
        <v>2633114</v>
      </c>
      <c r="D1060" s="2" t="s">
        <v>3145</v>
      </c>
      <c r="E1060" s="2" t="s">
        <v>3146</v>
      </c>
      <c r="F1060" s="2" t="s">
        <v>1369</v>
      </c>
      <c r="G1060" s="2" t="s">
        <v>58</v>
      </c>
      <c r="H1060" s="2" t="s">
        <v>3147</v>
      </c>
      <c r="I1060" s="2" t="s">
        <v>223</v>
      </c>
      <c r="J1060" s="2" t="s">
        <v>66</v>
      </c>
      <c r="K1060" s="2" t="s">
        <v>39</v>
      </c>
      <c r="L1060" s="2" t="s">
        <v>39</v>
      </c>
      <c r="M1060" s="2" t="s">
        <v>39</v>
      </c>
      <c r="N1060" s="2" t="s">
        <v>39</v>
      </c>
      <c r="O1060" s="2" t="s">
        <v>39</v>
      </c>
      <c r="P1060" s="2" t="s">
        <v>39</v>
      </c>
      <c r="Q1060" s="2" t="s">
        <v>38</v>
      </c>
      <c r="R1060" s="2" t="s">
        <v>38</v>
      </c>
      <c r="S1060" s="2" t="s">
        <v>39</v>
      </c>
      <c r="T1060" s="2" t="s">
        <v>39</v>
      </c>
      <c r="U1060" s="2" t="s">
        <v>38</v>
      </c>
      <c r="V1060" s="2" t="s">
        <v>39</v>
      </c>
      <c r="W1060" s="2" t="s">
        <v>38</v>
      </c>
      <c r="X1060" s="2" t="s">
        <v>39</v>
      </c>
      <c r="Y1060" s="2" t="s">
        <v>38</v>
      </c>
      <c r="Z1060" s="2" t="s">
        <v>39</v>
      </c>
      <c r="AA1060" s="2" t="s">
        <v>38</v>
      </c>
      <c r="AB1060" s="2" t="s">
        <v>38</v>
      </c>
      <c r="AC1060" s="2" t="s">
        <v>39</v>
      </c>
      <c r="AD1060" s="2" t="s">
        <v>38</v>
      </c>
      <c r="AE1060" s="2" t="s">
        <v>39</v>
      </c>
    </row>
    <row r="1061" spans="1:31" ht="409.5">
      <c r="A1061" s="2">
        <v>2633103</v>
      </c>
      <c r="B1061" s="2">
        <f>HYPERLINK("https://platform.v2.vetology.net/cases/2633103/screening-report/18?type=pdf&amp;v=v6&amp;scorecard=1&amp;secret_key=BX%25IJ%24%2F65ieZ%29f6", 2633103)</f>
        <v>2633103</v>
      </c>
      <c r="C1061" s="2">
        <f>HYPERLINK("https://platform.v2.vetology.net/report/v/final/"&amp;2633103, 2633103)</f>
        <v>2633103</v>
      </c>
      <c r="D1061" s="2" t="s">
        <v>3148</v>
      </c>
      <c r="E1061" s="2" t="s">
        <v>3149</v>
      </c>
      <c r="F1061" s="2" t="s">
        <v>3150</v>
      </c>
      <c r="G1061" s="2" t="s">
        <v>464</v>
      </c>
      <c r="H1061" s="2" t="s">
        <v>1500</v>
      </c>
      <c r="I1061" s="2" t="s">
        <v>290</v>
      </c>
      <c r="J1061" s="2" t="s">
        <v>66</v>
      </c>
      <c r="K1061" s="2" t="s">
        <v>38</v>
      </c>
      <c r="L1061" s="2" t="s">
        <v>38</v>
      </c>
      <c r="M1061" s="2" t="s">
        <v>39</v>
      </c>
      <c r="N1061" s="2" t="s">
        <v>38</v>
      </c>
      <c r="O1061" s="2" t="s">
        <v>38</v>
      </c>
      <c r="P1061" s="2" t="s">
        <v>38</v>
      </c>
      <c r="Q1061" s="2" t="s">
        <v>38</v>
      </c>
      <c r="R1061" s="2" t="s">
        <v>38</v>
      </c>
      <c r="S1061" s="2" t="s">
        <v>39</v>
      </c>
      <c r="T1061" s="2" t="s">
        <v>38</v>
      </c>
      <c r="U1061" s="2" t="s">
        <v>39</v>
      </c>
      <c r="V1061" s="2" t="s">
        <v>38</v>
      </c>
      <c r="W1061" s="2" t="s">
        <v>38</v>
      </c>
      <c r="X1061" s="2" t="s">
        <v>39</v>
      </c>
      <c r="Y1061" s="2" t="s">
        <v>38</v>
      </c>
      <c r="Z1061" s="2" t="s">
        <v>39</v>
      </c>
      <c r="AA1061" s="2" t="s">
        <v>38</v>
      </c>
      <c r="AB1061" s="2" t="s">
        <v>38</v>
      </c>
      <c r="AC1061" s="2" t="s">
        <v>38</v>
      </c>
      <c r="AD1061" s="2" t="s">
        <v>38</v>
      </c>
      <c r="AE1061" s="2" t="s">
        <v>38</v>
      </c>
    </row>
    <row r="1062" spans="1:31" ht="409.5">
      <c r="A1062" s="2">
        <v>2633034</v>
      </c>
      <c r="B1062" s="2">
        <f>HYPERLINK("https://platform.v2.vetology.net/cases/2633034/screening-report/18?type=pdf&amp;v=v6&amp;scorecard=1&amp;secret_key=BX%25IJ%24%2F65ieZ%29f6", 2633034)</f>
        <v>2633034</v>
      </c>
      <c r="C1062" s="2">
        <f>HYPERLINK("https://platform.v2.vetology.net/report/v/final/"&amp;2633034, 2633034)</f>
        <v>2633034</v>
      </c>
      <c r="D1062" s="2" t="s">
        <v>3151</v>
      </c>
      <c r="E1062" s="2" t="s">
        <v>3152</v>
      </c>
      <c r="F1062" s="2" t="s">
        <v>3153</v>
      </c>
      <c r="G1062" s="2" t="s">
        <v>82</v>
      </c>
      <c r="H1062" s="2" t="s">
        <v>129</v>
      </c>
      <c r="I1062" s="2" t="s">
        <v>44</v>
      </c>
      <c r="J1062" s="2"/>
      <c r="K1062" s="2" t="s">
        <v>38</v>
      </c>
      <c r="L1062" s="2" t="s">
        <v>38</v>
      </c>
      <c r="M1062" s="2" t="s">
        <v>38</v>
      </c>
      <c r="N1062" s="2" t="s">
        <v>38</v>
      </c>
      <c r="O1062" s="2" t="s">
        <v>38</v>
      </c>
      <c r="P1062" s="2" t="s">
        <v>38</v>
      </c>
      <c r="Q1062" s="2" t="s">
        <v>38</v>
      </c>
      <c r="R1062" s="2" t="s">
        <v>38</v>
      </c>
      <c r="S1062" s="2" t="s">
        <v>38</v>
      </c>
      <c r="T1062" s="2" t="s">
        <v>38</v>
      </c>
      <c r="U1062" s="2" t="s">
        <v>38</v>
      </c>
      <c r="V1062" s="2" t="s">
        <v>38</v>
      </c>
      <c r="W1062" s="2" t="s">
        <v>38</v>
      </c>
      <c r="X1062" s="2" t="s">
        <v>38</v>
      </c>
      <c r="Y1062" s="2" t="s">
        <v>38</v>
      </c>
      <c r="Z1062" s="2" t="s">
        <v>38</v>
      </c>
      <c r="AA1062" s="2" t="s">
        <v>38</v>
      </c>
      <c r="AB1062" s="2" t="s">
        <v>38</v>
      </c>
      <c r="AC1062" s="2" t="s">
        <v>38</v>
      </c>
      <c r="AD1062" s="2" t="s">
        <v>38</v>
      </c>
      <c r="AE1062" s="2" t="s">
        <v>38</v>
      </c>
    </row>
    <row r="1063" spans="1:31" ht="409.5">
      <c r="A1063" s="2">
        <v>2632988</v>
      </c>
      <c r="B1063" s="2">
        <f>HYPERLINK("https://platform.v2.vetology.net/cases/2632988/screening-report/18?type=pdf&amp;v=v6&amp;scorecard=1&amp;secret_key=BX%25IJ%24%2F65ieZ%29f6", 2632988)</f>
        <v>2632988</v>
      </c>
      <c r="C1063" s="2">
        <f>HYPERLINK("https://platform.v2.vetology.net/report/v/final/"&amp;2632988, 2632988)</f>
        <v>2632988</v>
      </c>
      <c r="D1063" s="2" t="s">
        <v>3154</v>
      </c>
      <c r="E1063" s="2" t="s">
        <v>3155</v>
      </c>
      <c r="F1063" s="2" t="s">
        <v>2571</v>
      </c>
      <c r="G1063" s="2" t="s">
        <v>150</v>
      </c>
      <c r="H1063" s="2" t="s">
        <v>3156</v>
      </c>
      <c r="I1063" s="2" t="s">
        <v>957</v>
      </c>
      <c r="J1063" s="2" t="s">
        <v>66</v>
      </c>
      <c r="K1063" s="2" t="s">
        <v>38</v>
      </c>
      <c r="L1063" s="2" t="s">
        <v>39</v>
      </c>
      <c r="M1063" s="2" t="s">
        <v>39</v>
      </c>
      <c r="N1063" s="2" t="s">
        <v>38</v>
      </c>
      <c r="O1063" s="2" t="s">
        <v>38</v>
      </c>
      <c r="P1063" s="2" t="s">
        <v>39</v>
      </c>
      <c r="Q1063" s="2" t="s">
        <v>38</v>
      </c>
      <c r="R1063" s="2" t="s">
        <v>38</v>
      </c>
      <c r="S1063" s="2" t="s">
        <v>39</v>
      </c>
      <c r="T1063" s="2" t="s">
        <v>38</v>
      </c>
      <c r="U1063" s="2" t="s">
        <v>39</v>
      </c>
      <c r="V1063" s="2" t="s">
        <v>38</v>
      </c>
      <c r="W1063" s="2" t="s">
        <v>38</v>
      </c>
      <c r="X1063" s="2" t="s">
        <v>38</v>
      </c>
      <c r="Y1063" s="2" t="s">
        <v>38</v>
      </c>
      <c r="Z1063" s="2" t="s">
        <v>39</v>
      </c>
      <c r="AA1063" s="2" t="s">
        <v>38</v>
      </c>
      <c r="AB1063" s="2" t="s">
        <v>39</v>
      </c>
      <c r="AC1063" s="2" t="s">
        <v>39</v>
      </c>
      <c r="AD1063" s="2" t="s">
        <v>38</v>
      </c>
      <c r="AE1063" s="2" t="s">
        <v>38</v>
      </c>
    </row>
    <row r="1064" spans="1:31" ht="409.5">
      <c r="A1064" s="2">
        <v>2632824</v>
      </c>
      <c r="B1064" s="2">
        <f>HYPERLINK("https://platform.v2.vetology.net/cases/2632824/screening-report/18?type=pdf&amp;v=v6&amp;scorecard=1&amp;secret_key=BX%25IJ%24%2F65ieZ%29f6", 2632824)</f>
        <v>2632824</v>
      </c>
      <c r="C1064" s="2">
        <f>HYPERLINK("https://platform.v2.vetology.net/report/v/final/"&amp;2632824, 2632824)</f>
        <v>2632824</v>
      </c>
      <c r="D1064" s="2" t="s">
        <v>3157</v>
      </c>
      <c r="E1064" s="2" t="s">
        <v>3158</v>
      </c>
      <c r="F1064" s="2" t="s">
        <v>81</v>
      </c>
      <c r="G1064" s="2" t="s">
        <v>150</v>
      </c>
      <c r="H1064" s="2" t="s">
        <v>136</v>
      </c>
      <c r="I1064" s="2" t="s">
        <v>137</v>
      </c>
      <c r="J1064" s="2" t="s">
        <v>66</v>
      </c>
      <c r="K1064" s="2" t="s">
        <v>38</v>
      </c>
      <c r="L1064" s="2" t="s">
        <v>39</v>
      </c>
      <c r="M1064" s="2" t="s">
        <v>38</v>
      </c>
      <c r="N1064" s="2" t="s">
        <v>38</v>
      </c>
      <c r="O1064" s="2" t="s">
        <v>38</v>
      </c>
      <c r="P1064" s="2" t="s">
        <v>38</v>
      </c>
      <c r="Q1064" s="2" t="s">
        <v>38</v>
      </c>
      <c r="R1064" s="2" t="s">
        <v>38</v>
      </c>
      <c r="S1064" s="2" t="s">
        <v>38</v>
      </c>
      <c r="T1064" s="2" t="s">
        <v>39</v>
      </c>
      <c r="U1064" s="2" t="s">
        <v>38</v>
      </c>
      <c r="V1064" s="2" t="s">
        <v>39</v>
      </c>
      <c r="W1064" s="2" t="s">
        <v>38</v>
      </c>
      <c r="X1064" s="2" t="s">
        <v>38</v>
      </c>
      <c r="Y1064" s="2" t="s">
        <v>38</v>
      </c>
      <c r="Z1064" s="2" t="s">
        <v>38</v>
      </c>
      <c r="AA1064" s="2" t="s">
        <v>38</v>
      </c>
      <c r="AB1064" s="2" t="s">
        <v>39</v>
      </c>
      <c r="AC1064" s="2" t="s">
        <v>38</v>
      </c>
      <c r="AD1064" s="2" t="s">
        <v>38</v>
      </c>
      <c r="AE1064" s="2" t="s">
        <v>38</v>
      </c>
    </row>
    <row r="1065" spans="1:31" ht="409.5">
      <c r="A1065" s="2">
        <v>2632821</v>
      </c>
      <c r="B1065" s="2">
        <f>HYPERLINK("https://platform.v2.vetology.net/cases/2632821/screening-report/18?type=pdf&amp;v=v6&amp;scorecard=1&amp;secret_key=BX%25IJ%24%2F65ieZ%29f6", 2632821)</f>
        <v>2632821</v>
      </c>
      <c r="C1065" s="2">
        <f>HYPERLINK("https://platform.v2.vetology.net/report/v/final/"&amp;2632821, 2632821)</f>
        <v>2632821</v>
      </c>
      <c r="D1065" s="2" t="s">
        <v>3059</v>
      </c>
      <c r="E1065" s="2" t="s">
        <v>148</v>
      </c>
      <c r="F1065" s="2" t="s">
        <v>149</v>
      </c>
      <c r="G1065" s="2" t="s">
        <v>150</v>
      </c>
      <c r="H1065" s="2" t="s">
        <v>733</v>
      </c>
      <c r="I1065" s="2" t="s">
        <v>158</v>
      </c>
      <c r="J1065" s="2" t="s">
        <v>50</v>
      </c>
      <c r="K1065" s="2" t="s">
        <v>38</v>
      </c>
      <c r="L1065" s="2" t="s">
        <v>38</v>
      </c>
      <c r="M1065" s="2" t="s">
        <v>38</v>
      </c>
      <c r="N1065" s="2" t="s">
        <v>39</v>
      </c>
      <c r="O1065" s="2" t="s">
        <v>38</v>
      </c>
      <c r="P1065" s="2" t="s">
        <v>39</v>
      </c>
      <c r="Q1065" s="2" t="s">
        <v>38</v>
      </c>
      <c r="R1065" s="2" t="s">
        <v>38</v>
      </c>
      <c r="S1065" s="2" t="s">
        <v>38</v>
      </c>
      <c r="T1065" s="2" t="s">
        <v>38</v>
      </c>
      <c r="U1065" s="2" t="s">
        <v>38</v>
      </c>
      <c r="V1065" s="2" t="s">
        <v>38</v>
      </c>
      <c r="W1065" s="2" t="s">
        <v>38</v>
      </c>
      <c r="X1065" s="2" t="s">
        <v>38</v>
      </c>
      <c r="Y1065" s="2" t="s">
        <v>38</v>
      </c>
      <c r="Z1065" s="2" t="s">
        <v>38</v>
      </c>
      <c r="AA1065" s="2" t="s">
        <v>38</v>
      </c>
      <c r="AB1065" s="2" t="s">
        <v>38</v>
      </c>
      <c r="AC1065" s="2" t="s">
        <v>38</v>
      </c>
      <c r="AD1065" s="2" t="s">
        <v>38</v>
      </c>
      <c r="AE1065" s="2" t="s">
        <v>38</v>
      </c>
    </row>
    <row r="1066" spans="1:31" ht="409.5">
      <c r="A1066" s="2">
        <v>2632541</v>
      </c>
      <c r="B1066" s="2">
        <f>HYPERLINK("https://platform.v2.vetology.net/cases/2632541/screening-report/18?type=pdf&amp;v=v6&amp;scorecard=1&amp;secret_key=BX%25IJ%24%2F65ieZ%29f6", 2632541)</f>
        <v>2632541</v>
      </c>
      <c r="C1066" s="2">
        <f>HYPERLINK("https://platform.v2.vetology.net/report/v/final/"&amp;2632541, 2632541)</f>
        <v>2632541</v>
      </c>
      <c r="D1066" s="2" t="s">
        <v>3159</v>
      </c>
      <c r="E1066" s="2" t="s">
        <v>3160</v>
      </c>
      <c r="F1066" s="2" t="s">
        <v>81</v>
      </c>
      <c r="G1066" s="2" t="s">
        <v>268</v>
      </c>
      <c r="H1066" s="2" t="s">
        <v>71</v>
      </c>
      <c r="I1066" s="2" t="s">
        <v>44</v>
      </c>
      <c r="J1066" s="2"/>
      <c r="K1066" s="2" t="s">
        <v>38</v>
      </c>
      <c r="L1066" s="2" t="s">
        <v>38</v>
      </c>
      <c r="M1066" s="2" t="s">
        <v>38</v>
      </c>
      <c r="N1066" s="2" t="s">
        <v>38</v>
      </c>
      <c r="O1066" s="2" t="s">
        <v>38</v>
      </c>
      <c r="P1066" s="2" t="s">
        <v>38</v>
      </c>
      <c r="Q1066" s="2" t="s">
        <v>39</v>
      </c>
      <c r="R1066" s="2" t="s">
        <v>38</v>
      </c>
      <c r="S1066" s="2" t="s">
        <v>38</v>
      </c>
      <c r="T1066" s="2" t="s">
        <v>38</v>
      </c>
      <c r="U1066" s="2" t="s">
        <v>38</v>
      </c>
      <c r="V1066" s="2" t="s">
        <v>38</v>
      </c>
      <c r="W1066" s="2" t="s">
        <v>38</v>
      </c>
      <c r="X1066" s="2" t="s">
        <v>38</v>
      </c>
      <c r="Y1066" s="2" t="s">
        <v>38</v>
      </c>
      <c r="Z1066" s="2" t="s">
        <v>38</v>
      </c>
      <c r="AA1066" s="2" t="s">
        <v>38</v>
      </c>
      <c r="AB1066" s="2" t="s">
        <v>38</v>
      </c>
      <c r="AC1066" s="2" t="s">
        <v>38</v>
      </c>
      <c r="AD1066" s="2" t="s">
        <v>38</v>
      </c>
      <c r="AE1066" s="2" t="s">
        <v>38</v>
      </c>
    </row>
    <row r="1067" spans="1:31" ht="409.5">
      <c r="A1067" s="2">
        <v>2632529</v>
      </c>
      <c r="B1067" s="2">
        <f>HYPERLINK("https://platform.v2.vetology.net/cases/2632529/screening-report/18?type=pdf&amp;v=v6&amp;scorecard=1&amp;secret_key=BX%25IJ%24%2F65ieZ%29f6", 2632529)</f>
        <v>2632529</v>
      </c>
      <c r="C1067" s="2">
        <f>HYPERLINK("https://platform.v2.vetology.net/report/v/final/"&amp;2632529, 2632529)</f>
        <v>2632529</v>
      </c>
      <c r="D1067" s="2" t="s">
        <v>3161</v>
      </c>
      <c r="E1067" s="2" t="s">
        <v>3162</v>
      </c>
      <c r="F1067" s="2" t="s">
        <v>81</v>
      </c>
      <c r="G1067" s="2" t="s">
        <v>268</v>
      </c>
      <c r="H1067" s="2" t="s">
        <v>105</v>
      </c>
      <c r="I1067" s="2" t="s">
        <v>44</v>
      </c>
      <c r="J1067" s="2"/>
      <c r="K1067" s="2" t="s">
        <v>38</v>
      </c>
      <c r="L1067" s="2" t="s">
        <v>38</v>
      </c>
      <c r="M1067" s="2" t="s">
        <v>39</v>
      </c>
      <c r="N1067" s="2" t="s">
        <v>38</v>
      </c>
      <c r="O1067" s="2" t="s">
        <v>38</v>
      </c>
      <c r="P1067" s="2" t="s">
        <v>39</v>
      </c>
      <c r="Q1067" s="2" t="s">
        <v>38</v>
      </c>
      <c r="R1067" s="2" t="s">
        <v>38</v>
      </c>
      <c r="S1067" s="2" t="s">
        <v>38</v>
      </c>
      <c r="T1067" s="2" t="s">
        <v>39</v>
      </c>
      <c r="U1067" s="2" t="s">
        <v>38</v>
      </c>
      <c r="V1067" s="2" t="s">
        <v>38</v>
      </c>
      <c r="W1067" s="2" t="s">
        <v>38</v>
      </c>
      <c r="X1067" s="2" t="s">
        <v>38</v>
      </c>
      <c r="Y1067" s="2" t="s">
        <v>38</v>
      </c>
      <c r="Z1067" s="2" t="s">
        <v>38</v>
      </c>
      <c r="AA1067" s="2" t="s">
        <v>38</v>
      </c>
      <c r="AB1067" s="2" t="s">
        <v>38</v>
      </c>
      <c r="AC1067" s="2" t="s">
        <v>38</v>
      </c>
      <c r="AD1067" s="2" t="s">
        <v>38</v>
      </c>
      <c r="AE1067" s="2" t="s">
        <v>38</v>
      </c>
    </row>
    <row r="1068" spans="1:31" ht="409.5">
      <c r="A1068" s="2">
        <v>2632524</v>
      </c>
      <c r="B1068" s="2">
        <f>HYPERLINK("https://platform.v2.vetology.net/cases/2632524/screening-report/18?type=pdf&amp;v=v6&amp;scorecard=1&amp;secret_key=BX%25IJ%24%2F65ieZ%29f6", 2632524)</f>
        <v>2632524</v>
      </c>
      <c r="C1068" s="2">
        <f>HYPERLINK("https://platform.v2.vetology.net/report/v/final/"&amp;2632524, 2632524)</f>
        <v>2632524</v>
      </c>
      <c r="D1068" s="2" t="s">
        <v>3163</v>
      </c>
      <c r="E1068" s="2" t="s">
        <v>3164</v>
      </c>
      <c r="F1068" s="2" t="s">
        <v>81</v>
      </c>
      <c r="G1068" s="2" t="s">
        <v>268</v>
      </c>
      <c r="H1068" s="2" t="s">
        <v>3165</v>
      </c>
      <c r="I1068" s="2" t="s">
        <v>460</v>
      </c>
      <c r="J1068" s="2" t="s">
        <v>66</v>
      </c>
      <c r="K1068" s="2" t="s">
        <v>38</v>
      </c>
      <c r="L1068" s="2" t="s">
        <v>39</v>
      </c>
      <c r="M1068" s="2" t="s">
        <v>39</v>
      </c>
      <c r="N1068" s="2" t="s">
        <v>38</v>
      </c>
      <c r="O1068" s="2" t="s">
        <v>38</v>
      </c>
      <c r="P1068" s="2" t="s">
        <v>39</v>
      </c>
      <c r="Q1068" s="2" t="s">
        <v>38</v>
      </c>
      <c r="R1068" s="2" t="s">
        <v>38</v>
      </c>
      <c r="S1068" s="2" t="s">
        <v>38</v>
      </c>
      <c r="T1068" s="2" t="s">
        <v>38</v>
      </c>
      <c r="U1068" s="2" t="s">
        <v>38</v>
      </c>
      <c r="V1068" s="2" t="s">
        <v>38</v>
      </c>
      <c r="W1068" s="2" t="s">
        <v>38</v>
      </c>
      <c r="X1068" s="2" t="s">
        <v>38</v>
      </c>
      <c r="Y1068" s="2" t="s">
        <v>38</v>
      </c>
      <c r="Z1068" s="2" t="s">
        <v>38</v>
      </c>
      <c r="AA1068" s="2" t="s">
        <v>38</v>
      </c>
      <c r="AB1068" s="2" t="s">
        <v>38</v>
      </c>
      <c r="AC1068" s="2" t="s">
        <v>39</v>
      </c>
      <c r="AD1068" s="2" t="s">
        <v>38</v>
      </c>
      <c r="AE1068" s="2" t="s">
        <v>38</v>
      </c>
    </row>
    <row r="1069" spans="1:31" ht="409.5">
      <c r="A1069" s="2">
        <v>2632502</v>
      </c>
      <c r="B1069" s="2">
        <f>HYPERLINK("https://platform.v2.vetology.net/cases/2632502/screening-report/18?type=pdf&amp;v=v6&amp;scorecard=1&amp;secret_key=BX%25IJ%24%2F65ieZ%29f6", 2632502)</f>
        <v>2632502</v>
      </c>
      <c r="C1069" s="2">
        <f>HYPERLINK("https://platform.v2.vetology.net/report/v/final/"&amp;2632502, 2632502)</f>
        <v>2632502</v>
      </c>
      <c r="D1069" s="2" t="s">
        <v>3166</v>
      </c>
      <c r="E1069" s="2" t="s">
        <v>3167</v>
      </c>
      <c r="F1069" s="2" t="s">
        <v>81</v>
      </c>
      <c r="G1069" s="2" t="s">
        <v>268</v>
      </c>
      <c r="H1069" s="2" t="s">
        <v>3168</v>
      </c>
      <c r="I1069" s="2" t="s">
        <v>173</v>
      </c>
      <c r="J1069" s="2" t="s">
        <v>174</v>
      </c>
      <c r="K1069" s="2" t="s">
        <v>38</v>
      </c>
      <c r="L1069" s="2" t="s">
        <v>39</v>
      </c>
      <c r="M1069" s="2" t="s">
        <v>39</v>
      </c>
      <c r="N1069" s="2" t="s">
        <v>38</v>
      </c>
      <c r="O1069" s="2" t="s">
        <v>38</v>
      </c>
      <c r="P1069" s="2" t="s">
        <v>38</v>
      </c>
      <c r="Q1069" s="2" t="s">
        <v>38</v>
      </c>
      <c r="R1069" s="2" t="s">
        <v>38</v>
      </c>
      <c r="S1069" s="2" t="s">
        <v>39</v>
      </c>
      <c r="T1069" s="2" t="s">
        <v>39</v>
      </c>
      <c r="U1069" s="2" t="s">
        <v>38</v>
      </c>
      <c r="V1069" s="2" t="s">
        <v>38</v>
      </c>
      <c r="W1069" s="2" t="s">
        <v>38</v>
      </c>
      <c r="X1069" s="2" t="s">
        <v>39</v>
      </c>
      <c r="Y1069" s="2" t="s">
        <v>38</v>
      </c>
      <c r="Z1069" s="2" t="s">
        <v>39</v>
      </c>
      <c r="AA1069" s="2" t="s">
        <v>38</v>
      </c>
      <c r="AB1069" s="2" t="s">
        <v>38</v>
      </c>
      <c r="AC1069" s="2" t="s">
        <v>39</v>
      </c>
      <c r="AD1069" s="2" t="s">
        <v>38</v>
      </c>
      <c r="AE1069" s="2" t="s">
        <v>38</v>
      </c>
    </row>
    <row r="1070" spans="1:31" ht="409.5">
      <c r="A1070" s="2">
        <v>2632424</v>
      </c>
      <c r="B1070" s="2">
        <f>HYPERLINK("https://platform.v2.vetology.net/cases/2632424/screening-report/18?type=pdf&amp;v=v6&amp;scorecard=1&amp;secret_key=BX%25IJ%24%2F65ieZ%29f6", 2632424)</f>
        <v>2632424</v>
      </c>
      <c r="C1070" s="2">
        <f>HYPERLINK("https://platform.v2.vetology.net/report/v/final/"&amp;2632424, 2632424)</f>
        <v>2632424</v>
      </c>
      <c r="D1070" s="2" t="s">
        <v>3169</v>
      </c>
      <c r="E1070" s="2" t="s">
        <v>3170</v>
      </c>
      <c r="F1070" s="2" t="s">
        <v>81</v>
      </c>
      <c r="G1070" s="2" t="s">
        <v>268</v>
      </c>
      <c r="H1070" s="2" t="s">
        <v>3171</v>
      </c>
      <c r="I1070" s="2" t="s">
        <v>460</v>
      </c>
      <c r="J1070" s="2" t="s">
        <v>66</v>
      </c>
      <c r="K1070" s="2" t="s">
        <v>38</v>
      </c>
      <c r="L1070" s="2" t="s">
        <v>39</v>
      </c>
      <c r="M1070" s="2" t="s">
        <v>39</v>
      </c>
      <c r="N1070" s="2" t="s">
        <v>38</v>
      </c>
      <c r="O1070" s="2" t="s">
        <v>38</v>
      </c>
      <c r="P1070" s="2" t="s">
        <v>39</v>
      </c>
      <c r="Q1070" s="2" t="s">
        <v>39</v>
      </c>
      <c r="R1070" s="2" t="s">
        <v>38</v>
      </c>
      <c r="S1070" s="2" t="s">
        <v>39</v>
      </c>
      <c r="T1070" s="2" t="s">
        <v>38</v>
      </c>
      <c r="U1070" s="2" t="s">
        <v>38</v>
      </c>
      <c r="V1070" s="2" t="s">
        <v>38</v>
      </c>
      <c r="W1070" s="2" t="s">
        <v>38</v>
      </c>
      <c r="X1070" s="2" t="s">
        <v>38</v>
      </c>
      <c r="Y1070" s="2" t="s">
        <v>38</v>
      </c>
      <c r="Z1070" s="2" t="s">
        <v>38</v>
      </c>
      <c r="AA1070" s="2" t="s">
        <v>38</v>
      </c>
      <c r="AB1070" s="2" t="s">
        <v>39</v>
      </c>
      <c r="AC1070" s="2" t="s">
        <v>39</v>
      </c>
      <c r="AD1070" s="2" t="s">
        <v>38</v>
      </c>
      <c r="AE1070" s="2" t="s">
        <v>38</v>
      </c>
    </row>
    <row r="1071" spans="1:31" ht="409.5">
      <c r="A1071" s="2">
        <v>2632412</v>
      </c>
      <c r="B1071" s="2">
        <f>HYPERLINK("https://platform.v2.vetology.net/cases/2632412/screening-report/18?type=pdf&amp;v=v6&amp;scorecard=1&amp;secret_key=BX%25IJ%24%2F65ieZ%29f6", 2632412)</f>
        <v>2632412</v>
      </c>
      <c r="C1071" s="2">
        <f>HYPERLINK("https://platform.v2.vetology.net/report/v/final/"&amp;2632412, 2632412)</f>
        <v>2632412</v>
      </c>
      <c r="D1071" s="2" t="s">
        <v>3172</v>
      </c>
      <c r="E1071" s="2" t="s">
        <v>3173</v>
      </c>
      <c r="F1071" s="2" t="s">
        <v>81</v>
      </c>
      <c r="G1071" s="2" t="s">
        <v>268</v>
      </c>
      <c r="H1071" s="2" t="s">
        <v>1563</v>
      </c>
      <c r="I1071" s="2" t="s">
        <v>1085</v>
      </c>
      <c r="J1071" s="2" t="s">
        <v>518</v>
      </c>
      <c r="K1071" s="2" t="s">
        <v>38</v>
      </c>
      <c r="L1071" s="2" t="s">
        <v>39</v>
      </c>
      <c r="M1071" s="2" t="s">
        <v>39</v>
      </c>
      <c r="N1071" s="2" t="s">
        <v>39</v>
      </c>
      <c r="O1071" s="2" t="s">
        <v>39</v>
      </c>
      <c r="P1071" s="2" t="s">
        <v>39</v>
      </c>
      <c r="Q1071" s="2" t="s">
        <v>39</v>
      </c>
      <c r="R1071" s="2" t="s">
        <v>39</v>
      </c>
      <c r="S1071" s="2" t="s">
        <v>39</v>
      </c>
      <c r="T1071" s="2" t="s">
        <v>39</v>
      </c>
      <c r="U1071" s="2" t="s">
        <v>38</v>
      </c>
      <c r="V1071" s="2" t="s">
        <v>39</v>
      </c>
      <c r="W1071" s="2" t="s">
        <v>39</v>
      </c>
      <c r="X1071" s="2" t="s">
        <v>39</v>
      </c>
      <c r="Y1071" s="2" t="s">
        <v>38</v>
      </c>
      <c r="Z1071" s="2" t="s">
        <v>39</v>
      </c>
      <c r="AA1071" s="2" t="s">
        <v>39</v>
      </c>
      <c r="AB1071" s="2" t="s">
        <v>39</v>
      </c>
      <c r="AC1071" s="2" t="s">
        <v>39</v>
      </c>
      <c r="AD1071" s="2" t="s">
        <v>38</v>
      </c>
      <c r="AE1071" s="2" t="s">
        <v>39</v>
      </c>
    </row>
    <row r="1072" spans="1:31" ht="409.5">
      <c r="A1072" s="2">
        <v>2632010</v>
      </c>
      <c r="B1072" s="2">
        <f>HYPERLINK("https://platform.v2.vetology.net/cases/2632010/screening-report/18?type=pdf&amp;v=v6&amp;scorecard=1&amp;secret_key=BX%25IJ%24%2F65ieZ%29f6", 2632010)</f>
        <v>2632010</v>
      </c>
      <c r="C1072" s="2">
        <f>HYPERLINK("https://platform.v2.vetology.net/report/v/final/"&amp;2632010, 2632010)</f>
        <v>2632010</v>
      </c>
      <c r="D1072" s="2" t="s">
        <v>3174</v>
      </c>
      <c r="E1072" s="2" t="s">
        <v>3175</v>
      </c>
      <c r="F1072" s="2" t="s">
        <v>3176</v>
      </c>
      <c r="G1072" s="2" t="s">
        <v>34</v>
      </c>
      <c r="H1072" s="2" t="s">
        <v>3177</v>
      </c>
      <c r="I1072" s="2" t="s">
        <v>321</v>
      </c>
      <c r="J1072" s="2" t="s">
        <v>66</v>
      </c>
      <c r="K1072" s="2" t="s">
        <v>38</v>
      </c>
      <c r="L1072" s="2" t="s">
        <v>39</v>
      </c>
      <c r="M1072" s="2" t="s">
        <v>39</v>
      </c>
      <c r="N1072" s="2" t="s">
        <v>38</v>
      </c>
      <c r="O1072" s="2" t="s">
        <v>39</v>
      </c>
      <c r="P1072" s="2" t="s">
        <v>38</v>
      </c>
      <c r="Q1072" s="2" t="s">
        <v>38</v>
      </c>
      <c r="R1072" s="2" t="s">
        <v>38</v>
      </c>
      <c r="S1072" s="2" t="s">
        <v>38</v>
      </c>
      <c r="T1072" s="2" t="s">
        <v>39</v>
      </c>
      <c r="U1072" s="2" t="s">
        <v>38</v>
      </c>
      <c r="V1072" s="2" t="s">
        <v>39</v>
      </c>
      <c r="W1072" s="2" t="s">
        <v>38</v>
      </c>
      <c r="X1072" s="2" t="s">
        <v>39</v>
      </c>
      <c r="Y1072" s="2" t="s">
        <v>38</v>
      </c>
      <c r="Z1072" s="2" t="s">
        <v>38</v>
      </c>
      <c r="AA1072" s="2" t="s">
        <v>38</v>
      </c>
      <c r="AB1072" s="2" t="s">
        <v>38</v>
      </c>
      <c r="AC1072" s="2" t="s">
        <v>39</v>
      </c>
      <c r="AD1072" s="2" t="s">
        <v>38</v>
      </c>
      <c r="AE1072" s="2" t="s">
        <v>38</v>
      </c>
    </row>
    <row r="1073" spans="1:31" ht="409.5">
      <c r="A1073" s="2">
        <v>2631914</v>
      </c>
      <c r="B1073" s="2">
        <f>HYPERLINK("https://platform.v2.vetology.net/cases/2631914/screening-report/18?type=pdf&amp;v=v6&amp;scorecard=1&amp;secret_key=BX%25IJ%24%2F65ieZ%29f6", 2631914)</f>
        <v>2631914</v>
      </c>
      <c r="C1073" s="2">
        <f>HYPERLINK("https://platform.v2.vetology.net/report/v/final/"&amp;2631914, 2631914)</f>
        <v>2631914</v>
      </c>
      <c r="D1073" s="2" t="s">
        <v>3178</v>
      </c>
      <c r="E1073" s="2" t="s">
        <v>3179</v>
      </c>
      <c r="F1073" s="2" t="s">
        <v>3180</v>
      </c>
      <c r="G1073" s="2" t="s">
        <v>58</v>
      </c>
      <c r="H1073" s="2" t="s">
        <v>360</v>
      </c>
      <c r="I1073" s="2" t="s">
        <v>284</v>
      </c>
      <c r="J1073" s="2" t="s">
        <v>285</v>
      </c>
      <c r="K1073" s="2" t="s">
        <v>38</v>
      </c>
      <c r="L1073" s="2" t="s">
        <v>39</v>
      </c>
      <c r="M1073" s="2" t="s">
        <v>38</v>
      </c>
      <c r="N1073" s="2" t="s">
        <v>38</v>
      </c>
      <c r="O1073" s="2" t="s">
        <v>38</v>
      </c>
      <c r="P1073" s="2" t="s">
        <v>38</v>
      </c>
      <c r="Q1073" s="2" t="s">
        <v>38</v>
      </c>
      <c r="R1073" s="2" t="s">
        <v>38</v>
      </c>
      <c r="S1073" s="2" t="s">
        <v>38</v>
      </c>
      <c r="T1073" s="2" t="s">
        <v>39</v>
      </c>
      <c r="U1073" s="2" t="s">
        <v>38</v>
      </c>
      <c r="V1073" s="2" t="s">
        <v>39</v>
      </c>
      <c r="W1073" s="2" t="s">
        <v>38</v>
      </c>
      <c r="X1073" s="2" t="s">
        <v>39</v>
      </c>
      <c r="Y1073" s="2" t="s">
        <v>38</v>
      </c>
      <c r="Z1073" s="2" t="s">
        <v>38</v>
      </c>
      <c r="AA1073" s="2" t="s">
        <v>38</v>
      </c>
      <c r="AB1073" s="2" t="s">
        <v>38</v>
      </c>
      <c r="AC1073" s="2" t="s">
        <v>38</v>
      </c>
      <c r="AD1073" s="2" t="s">
        <v>38</v>
      </c>
      <c r="AE1073" s="2" t="s">
        <v>38</v>
      </c>
    </row>
    <row r="1074" spans="1:31" ht="409.5">
      <c r="A1074" s="2">
        <v>2631588</v>
      </c>
      <c r="B1074" s="2">
        <f>HYPERLINK("https://platform.v2.vetology.net/cases/2631588/screening-report/18?type=pdf&amp;v=v6&amp;scorecard=1&amp;secret_key=BX%25IJ%24%2F65ieZ%29f6", 2631588)</f>
        <v>2631588</v>
      </c>
      <c r="C1074" s="2">
        <f>HYPERLINK("https://platform.v2.vetology.net/report/v/final/"&amp;2631588, 2631588)</f>
        <v>2631588</v>
      </c>
      <c r="D1074" s="2" t="s">
        <v>3181</v>
      </c>
      <c r="E1074" s="2" t="s">
        <v>3182</v>
      </c>
      <c r="F1074" s="2" t="s">
        <v>3183</v>
      </c>
      <c r="G1074" s="2" t="s">
        <v>93</v>
      </c>
      <c r="H1074" s="2" t="s">
        <v>177</v>
      </c>
      <c r="I1074" s="2" t="s">
        <v>124</v>
      </c>
      <c r="J1074" s="2" t="s">
        <v>125</v>
      </c>
      <c r="K1074" s="2" t="s">
        <v>38</v>
      </c>
      <c r="L1074" s="2" t="s">
        <v>39</v>
      </c>
      <c r="M1074" s="2" t="s">
        <v>39</v>
      </c>
      <c r="N1074" s="2" t="s">
        <v>38</v>
      </c>
      <c r="O1074" s="2" t="s">
        <v>38</v>
      </c>
      <c r="P1074" s="2" t="s">
        <v>38</v>
      </c>
      <c r="Q1074" s="2" t="s">
        <v>38</v>
      </c>
      <c r="R1074" s="2" t="s">
        <v>38</v>
      </c>
      <c r="S1074" s="2" t="s">
        <v>38</v>
      </c>
      <c r="T1074" s="2" t="s">
        <v>38</v>
      </c>
      <c r="U1074" s="2" t="s">
        <v>38</v>
      </c>
      <c r="V1074" s="2" t="s">
        <v>38</v>
      </c>
      <c r="W1074" s="2" t="s">
        <v>38</v>
      </c>
      <c r="X1074" s="2" t="s">
        <v>38</v>
      </c>
      <c r="Y1074" s="2" t="s">
        <v>38</v>
      </c>
      <c r="Z1074" s="2" t="s">
        <v>38</v>
      </c>
      <c r="AA1074" s="2" t="s">
        <v>38</v>
      </c>
      <c r="AB1074" s="2" t="s">
        <v>38</v>
      </c>
      <c r="AC1074" s="2" t="s">
        <v>38</v>
      </c>
      <c r="AD1074" s="2" t="s">
        <v>38</v>
      </c>
      <c r="AE1074" s="2" t="s">
        <v>38</v>
      </c>
    </row>
    <row r="1075" spans="1:31" ht="409.5">
      <c r="A1075" s="2">
        <v>2631552</v>
      </c>
      <c r="B1075" s="2">
        <f>HYPERLINK("https://platform.v2.vetology.net/cases/2631552/screening-report/18?type=pdf&amp;v=v6&amp;scorecard=1&amp;secret_key=BX%25IJ%24%2F65ieZ%29f6", 2631552)</f>
        <v>2631552</v>
      </c>
      <c r="C1075" s="2">
        <f>HYPERLINK("https://platform.v2.vetology.net/report/v/final/"&amp;2631552, 2631552)</f>
        <v>2631552</v>
      </c>
      <c r="D1075" s="2" t="s">
        <v>3184</v>
      </c>
      <c r="E1075" s="2" t="s">
        <v>3185</v>
      </c>
      <c r="F1075" s="2" t="s">
        <v>3186</v>
      </c>
      <c r="G1075" s="2" t="s">
        <v>58</v>
      </c>
      <c r="H1075" s="2" t="s">
        <v>360</v>
      </c>
      <c r="I1075" s="2" t="s">
        <v>284</v>
      </c>
      <c r="J1075" s="2" t="s">
        <v>285</v>
      </c>
      <c r="K1075" s="2" t="s">
        <v>38</v>
      </c>
      <c r="L1075" s="2" t="s">
        <v>38</v>
      </c>
      <c r="M1075" s="2" t="s">
        <v>38</v>
      </c>
      <c r="N1075" s="2" t="s">
        <v>38</v>
      </c>
      <c r="O1075" s="2" t="s">
        <v>38</v>
      </c>
      <c r="P1075" s="2" t="s">
        <v>38</v>
      </c>
      <c r="Q1075" s="2" t="s">
        <v>38</v>
      </c>
      <c r="R1075" s="2" t="s">
        <v>38</v>
      </c>
      <c r="S1075" s="2" t="s">
        <v>38</v>
      </c>
      <c r="T1075" s="2" t="s">
        <v>39</v>
      </c>
      <c r="U1075" s="2" t="s">
        <v>38</v>
      </c>
      <c r="V1075" s="2" t="s">
        <v>39</v>
      </c>
      <c r="W1075" s="2" t="s">
        <v>38</v>
      </c>
      <c r="X1075" s="2" t="s">
        <v>39</v>
      </c>
      <c r="Y1075" s="2" t="s">
        <v>38</v>
      </c>
      <c r="Z1075" s="2" t="s">
        <v>38</v>
      </c>
      <c r="AA1075" s="2" t="s">
        <v>38</v>
      </c>
      <c r="AB1075" s="2" t="s">
        <v>38</v>
      </c>
      <c r="AC1075" s="2" t="s">
        <v>38</v>
      </c>
      <c r="AD1075" s="2" t="s">
        <v>38</v>
      </c>
      <c r="AE1075" s="2" t="s">
        <v>38</v>
      </c>
    </row>
    <row r="1076" spans="1:31" ht="409.5">
      <c r="A1076" s="2">
        <v>2631268</v>
      </c>
      <c r="B1076" s="2">
        <f>HYPERLINK("https://platform.v2.vetology.net/cases/2631268/screening-report/18?type=pdf&amp;v=v6&amp;scorecard=1&amp;secret_key=BX%25IJ%24%2F65ieZ%29f6", 2631268)</f>
        <v>2631268</v>
      </c>
      <c r="C1076" s="2">
        <f>HYPERLINK("https://platform.v2.vetology.net/report/v/final/"&amp;2631268, 2631268)</f>
        <v>2631268</v>
      </c>
      <c r="D1076" s="2" t="s">
        <v>3187</v>
      </c>
      <c r="E1076" s="2" t="s">
        <v>3188</v>
      </c>
      <c r="F1076" s="2" t="s">
        <v>3189</v>
      </c>
      <c r="G1076" s="2" t="s">
        <v>34</v>
      </c>
      <c r="H1076" s="2" t="s">
        <v>78</v>
      </c>
      <c r="I1076" s="2" t="s">
        <v>44</v>
      </c>
      <c r="J1076" s="2"/>
      <c r="K1076" s="2" t="s">
        <v>38</v>
      </c>
      <c r="L1076" s="2" t="s">
        <v>39</v>
      </c>
      <c r="M1076" s="2" t="s">
        <v>38</v>
      </c>
      <c r="N1076" s="2" t="s">
        <v>38</v>
      </c>
      <c r="O1076" s="2" t="s">
        <v>38</v>
      </c>
      <c r="P1076" s="2" t="s">
        <v>38</v>
      </c>
      <c r="Q1076" s="2" t="s">
        <v>38</v>
      </c>
      <c r="R1076" s="2" t="s">
        <v>38</v>
      </c>
      <c r="S1076" s="2" t="s">
        <v>38</v>
      </c>
      <c r="T1076" s="2" t="s">
        <v>39</v>
      </c>
      <c r="U1076" s="2" t="s">
        <v>38</v>
      </c>
      <c r="V1076" s="2" t="s">
        <v>39</v>
      </c>
      <c r="W1076" s="2" t="s">
        <v>38</v>
      </c>
      <c r="X1076" s="2" t="s">
        <v>39</v>
      </c>
      <c r="Y1076" s="2" t="s">
        <v>38</v>
      </c>
      <c r="Z1076" s="2" t="s">
        <v>38</v>
      </c>
      <c r="AA1076" s="2" t="s">
        <v>38</v>
      </c>
      <c r="AB1076" s="2" t="s">
        <v>38</v>
      </c>
      <c r="AC1076" s="2" t="s">
        <v>38</v>
      </c>
      <c r="AD1076" s="2" t="s">
        <v>38</v>
      </c>
      <c r="AE1076" s="2" t="s">
        <v>38</v>
      </c>
    </row>
    <row r="1077" spans="1:31" ht="409.5">
      <c r="A1077" s="2">
        <v>2631259</v>
      </c>
      <c r="B1077" s="2">
        <f>HYPERLINK("https://platform.v2.vetology.net/cases/2631259/screening-report/18?type=pdf&amp;v=v6&amp;scorecard=1&amp;secret_key=BX%25IJ%24%2F65ieZ%29f6", 2631259)</f>
        <v>2631259</v>
      </c>
      <c r="C1077" s="2">
        <f>HYPERLINK("https://platform.v2.vetology.net/report/v/final/"&amp;2631259, 2631259)</f>
        <v>2631259</v>
      </c>
      <c r="D1077" s="2" t="s">
        <v>3190</v>
      </c>
      <c r="E1077" s="2" t="s">
        <v>3191</v>
      </c>
      <c r="F1077" s="2"/>
      <c r="G1077" s="2" t="s">
        <v>150</v>
      </c>
      <c r="H1077" s="2" t="s">
        <v>1155</v>
      </c>
      <c r="I1077" s="2" t="s">
        <v>1156</v>
      </c>
      <c r="J1077" s="2" t="s">
        <v>66</v>
      </c>
      <c r="K1077" s="2" t="s">
        <v>38</v>
      </c>
      <c r="L1077" s="2" t="s">
        <v>39</v>
      </c>
      <c r="M1077" s="2" t="s">
        <v>39</v>
      </c>
      <c r="N1077" s="2" t="s">
        <v>38</v>
      </c>
      <c r="O1077" s="2" t="s">
        <v>38</v>
      </c>
      <c r="P1077" s="2" t="s">
        <v>38</v>
      </c>
      <c r="Q1077" s="2" t="s">
        <v>38</v>
      </c>
      <c r="R1077" s="2" t="s">
        <v>38</v>
      </c>
      <c r="S1077" s="2" t="s">
        <v>39</v>
      </c>
      <c r="T1077" s="2" t="s">
        <v>39</v>
      </c>
      <c r="U1077" s="2" t="s">
        <v>39</v>
      </c>
      <c r="V1077" s="2" t="s">
        <v>39</v>
      </c>
      <c r="W1077" s="2" t="s">
        <v>38</v>
      </c>
      <c r="X1077" s="2" t="s">
        <v>39</v>
      </c>
      <c r="Y1077" s="2" t="s">
        <v>38</v>
      </c>
      <c r="Z1077" s="2" t="s">
        <v>38</v>
      </c>
      <c r="AA1077" s="2" t="s">
        <v>38</v>
      </c>
      <c r="AB1077" s="2" t="s">
        <v>39</v>
      </c>
      <c r="AC1077" s="2" t="s">
        <v>38</v>
      </c>
      <c r="AD1077" s="2" t="s">
        <v>38</v>
      </c>
      <c r="AE1077" s="2" t="s">
        <v>38</v>
      </c>
    </row>
    <row r="1078" spans="1:31" ht="409.5">
      <c r="A1078" s="2">
        <v>2631029</v>
      </c>
      <c r="B1078" s="2">
        <f>HYPERLINK("https://platform.v2.vetology.net/cases/2631029/screening-report/18?type=pdf&amp;v=v6&amp;scorecard=1&amp;secret_key=BX%25IJ%24%2F65ieZ%29f6", 2631029)</f>
        <v>2631029</v>
      </c>
      <c r="C1078" s="2">
        <f>HYPERLINK("https://platform.v2.vetology.net/report/v/final/"&amp;2631029, 2631029)</f>
        <v>2631029</v>
      </c>
      <c r="D1078" s="2" t="s">
        <v>3192</v>
      </c>
      <c r="E1078" s="2" t="s">
        <v>3193</v>
      </c>
      <c r="F1078" s="2" t="s">
        <v>3194</v>
      </c>
      <c r="G1078" s="2" t="s">
        <v>575</v>
      </c>
      <c r="H1078" s="2" t="s">
        <v>48</v>
      </c>
      <c r="I1078" s="2" t="s">
        <v>49</v>
      </c>
      <c r="J1078" s="2" t="s">
        <v>50</v>
      </c>
      <c r="K1078" s="2" t="s">
        <v>38</v>
      </c>
      <c r="L1078" s="2" t="s">
        <v>38</v>
      </c>
      <c r="M1078" s="2" t="s">
        <v>38</v>
      </c>
      <c r="N1078" s="2" t="s">
        <v>38</v>
      </c>
      <c r="O1078" s="2" t="s">
        <v>38</v>
      </c>
      <c r="P1078" s="2" t="s">
        <v>38</v>
      </c>
      <c r="Q1078" s="2" t="s">
        <v>38</v>
      </c>
      <c r="R1078" s="2" t="s">
        <v>38</v>
      </c>
      <c r="S1078" s="2" t="s">
        <v>38</v>
      </c>
      <c r="T1078" s="2" t="s">
        <v>39</v>
      </c>
      <c r="U1078" s="2" t="s">
        <v>38</v>
      </c>
      <c r="V1078" s="2" t="s">
        <v>39</v>
      </c>
      <c r="W1078" s="2" t="s">
        <v>38</v>
      </c>
      <c r="X1078" s="2" t="s">
        <v>39</v>
      </c>
      <c r="Y1078" s="2" t="s">
        <v>38</v>
      </c>
      <c r="Z1078" s="2" t="s">
        <v>38</v>
      </c>
      <c r="AA1078" s="2" t="s">
        <v>38</v>
      </c>
      <c r="AB1078" s="2" t="s">
        <v>39</v>
      </c>
      <c r="AC1078" s="2" t="s">
        <v>38</v>
      </c>
      <c r="AD1078" s="2" t="s">
        <v>38</v>
      </c>
      <c r="AE1078" s="2" t="s">
        <v>38</v>
      </c>
    </row>
    <row r="1079" spans="1:31" ht="409.5">
      <c r="A1079" s="2">
        <v>2630758</v>
      </c>
      <c r="B1079" s="2">
        <f>HYPERLINK("https://platform.v2.vetology.net/cases/2630758/screening-report/18?type=pdf&amp;v=v6&amp;scorecard=1&amp;secret_key=BX%25IJ%24%2F65ieZ%29f6", 2630758)</f>
        <v>2630758</v>
      </c>
      <c r="C1079" s="2">
        <f>HYPERLINK("https://platform.v2.vetology.net/report/v/final/"&amp;2630758, 2630758)</f>
        <v>2630758</v>
      </c>
      <c r="D1079" s="2" t="s">
        <v>3195</v>
      </c>
      <c r="E1079" s="2" t="s">
        <v>3196</v>
      </c>
      <c r="F1079" s="2" t="s">
        <v>3197</v>
      </c>
      <c r="G1079" s="2" t="s">
        <v>63</v>
      </c>
      <c r="H1079" s="2" t="s">
        <v>2320</v>
      </c>
      <c r="I1079" s="2" t="s">
        <v>137</v>
      </c>
      <c r="J1079" s="2" t="s">
        <v>66</v>
      </c>
      <c r="K1079" s="2" t="s">
        <v>38</v>
      </c>
      <c r="L1079" s="2" t="s">
        <v>39</v>
      </c>
      <c r="M1079" s="2" t="s">
        <v>39</v>
      </c>
      <c r="N1079" s="2" t="s">
        <v>38</v>
      </c>
      <c r="O1079" s="2" t="s">
        <v>38</v>
      </c>
      <c r="P1079" s="2" t="s">
        <v>39</v>
      </c>
      <c r="Q1079" s="2" t="s">
        <v>38</v>
      </c>
      <c r="R1079" s="2" t="s">
        <v>38</v>
      </c>
      <c r="S1079" s="2" t="s">
        <v>38</v>
      </c>
      <c r="T1079" s="2" t="s">
        <v>38</v>
      </c>
      <c r="U1079" s="2" t="s">
        <v>38</v>
      </c>
      <c r="V1079" s="2" t="s">
        <v>38</v>
      </c>
      <c r="W1079" s="2" t="s">
        <v>38</v>
      </c>
      <c r="X1079" s="2" t="s">
        <v>38</v>
      </c>
      <c r="Y1079" s="2" t="s">
        <v>38</v>
      </c>
      <c r="Z1079" s="2" t="s">
        <v>38</v>
      </c>
      <c r="AA1079" s="2" t="s">
        <v>38</v>
      </c>
      <c r="AB1079" s="2" t="s">
        <v>39</v>
      </c>
      <c r="AC1079" s="2" t="s">
        <v>38</v>
      </c>
      <c r="AD1079" s="2" t="s">
        <v>38</v>
      </c>
      <c r="AE1079" s="2" t="s">
        <v>39</v>
      </c>
    </row>
    <row r="1080" spans="1:31" ht="409.5">
      <c r="A1080" s="2">
        <v>2630696</v>
      </c>
      <c r="B1080" s="2">
        <f>HYPERLINK("https://platform.v2.vetology.net/cases/2630696/screening-report/18?type=pdf&amp;v=v6&amp;scorecard=1&amp;secret_key=BX%25IJ%24%2F65ieZ%29f6", 2630696)</f>
        <v>2630696</v>
      </c>
      <c r="C1080" s="2">
        <f>HYPERLINK("https://platform.v2.vetology.net/report/v/final/"&amp;2630696, 2630696)</f>
        <v>2630696</v>
      </c>
      <c r="D1080" s="2" t="s">
        <v>3198</v>
      </c>
      <c r="E1080" s="2" t="s">
        <v>3199</v>
      </c>
      <c r="F1080" s="2" t="s">
        <v>3200</v>
      </c>
      <c r="G1080" s="2" t="s">
        <v>268</v>
      </c>
      <c r="H1080" s="2" t="s">
        <v>88</v>
      </c>
      <c r="I1080" s="2" t="s">
        <v>89</v>
      </c>
      <c r="J1080" s="2" t="s">
        <v>66</v>
      </c>
      <c r="K1080" s="2" t="s">
        <v>38</v>
      </c>
      <c r="L1080" s="2" t="s">
        <v>39</v>
      </c>
      <c r="M1080" s="2" t="s">
        <v>38</v>
      </c>
      <c r="N1080" s="2" t="s">
        <v>38</v>
      </c>
      <c r="O1080" s="2" t="s">
        <v>38</v>
      </c>
      <c r="P1080" s="2" t="s">
        <v>38</v>
      </c>
      <c r="Q1080" s="2" t="s">
        <v>38</v>
      </c>
      <c r="R1080" s="2" t="s">
        <v>38</v>
      </c>
      <c r="S1080" s="2" t="s">
        <v>38</v>
      </c>
      <c r="T1080" s="2" t="s">
        <v>38</v>
      </c>
      <c r="U1080" s="2" t="s">
        <v>38</v>
      </c>
      <c r="V1080" s="2" t="s">
        <v>38</v>
      </c>
      <c r="W1080" s="2" t="s">
        <v>38</v>
      </c>
      <c r="X1080" s="2" t="s">
        <v>38</v>
      </c>
      <c r="Y1080" s="2" t="s">
        <v>38</v>
      </c>
      <c r="Z1080" s="2" t="s">
        <v>38</v>
      </c>
      <c r="AA1080" s="2" t="s">
        <v>38</v>
      </c>
      <c r="AB1080" s="2" t="s">
        <v>38</v>
      </c>
      <c r="AC1080" s="2" t="s">
        <v>39</v>
      </c>
      <c r="AD1080" s="2" t="s">
        <v>38</v>
      </c>
      <c r="AE1080" s="2" t="s">
        <v>39</v>
      </c>
    </row>
    <row r="1081" spans="1:31" ht="409.5">
      <c r="A1081" s="2">
        <v>2630633</v>
      </c>
      <c r="B1081" s="2">
        <f>HYPERLINK("https://platform.v2.vetology.net/cases/2630633/screening-report/18?type=pdf&amp;v=v6&amp;scorecard=1&amp;secret_key=BX%25IJ%24%2F65ieZ%29f6", 2630633)</f>
        <v>2630633</v>
      </c>
      <c r="C1081" s="2">
        <f>HYPERLINK("https://platform.v2.vetology.net/report/v/final/"&amp;2630633, 2630633)</f>
        <v>2630633</v>
      </c>
      <c r="D1081" s="2" t="s">
        <v>3201</v>
      </c>
      <c r="E1081" s="2" t="s">
        <v>3202</v>
      </c>
      <c r="F1081" s="2" t="s">
        <v>3203</v>
      </c>
      <c r="G1081" s="2" t="s">
        <v>93</v>
      </c>
      <c r="H1081" s="2" t="s">
        <v>54</v>
      </c>
      <c r="I1081" s="2" t="s">
        <v>44</v>
      </c>
      <c r="J1081" s="2" t="s">
        <v>106</v>
      </c>
      <c r="K1081" s="2" t="s">
        <v>38</v>
      </c>
      <c r="L1081" s="2" t="s">
        <v>38</v>
      </c>
      <c r="M1081" s="2" t="s">
        <v>38</v>
      </c>
      <c r="N1081" s="2" t="s">
        <v>38</v>
      </c>
      <c r="O1081" s="2" t="s">
        <v>38</v>
      </c>
      <c r="P1081" s="2" t="s">
        <v>38</v>
      </c>
      <c r="Q1081" s="2" t="s">
        <v>38</v>
      </c>
      <c r="R1081" s="2" t="s">
        <v>38</v>
      </c>
      <c r="S1081" s="2" t="s">
        <v>38</v>
      </c>
      <c r="T1081" s="2" t="s">
        <v>38</v>
      </c>
      <c r="U1081" s="2" t="s">
        <v>38</v>
      </c>
      <c r="V1081" s="2" t="s">
        <v>38</v>
      </c>
      <c r="W1081" s="2" t="s">
        <v>38</v>
      </c>
      <c r="X1081" s="2" t="s">
        <v>38</v>
      </c>
      <c r="Y1081" s="2" t="s">
        <v>38</v>
      </c>
      <c r="Z1081" s="2" t="s">
        <v>38</v>
      </c>
      <c r="AA1081" s="2" t="s">
        <v>38</v>
      </c>
      <c r="AB1081" s="2" t="s">
        <v>38</v>
      </c>
      <c r="AC1081" s="2" t="s">
        <v>38</v>
      </c>
      <c r="AD1081" s="2" t="s">
        <v>38</v>
      </c>
      <c r="AE1081" s="2" t="s">
        <v>38</v>
      </c>
    </row>
    <row r="1082" spans="1:31" ht="409.5">
      <c r="A1082" s="2">
        <v>2630512</v>
      </c>
      <c r="B1082" s="2">
        <f>HYPERLINK("https://platform.v2.vetology.net/cases/2630512/screening-report/18?type=pdf&amp;v=v6&amp;scorecard=1&amp;secret_key=BX%25IJ%24%2F65ieZ%29f6", 2630512)</f>
        <v>2630512</v>
      </c>
      <c r="C1082" s="2">
        <f>HYPERLINK("https://platform.v2.vetology.net/report/v/final/"&amp;2630512, 2630512)</f>
        <v>2630512</v>
      </c>
      <c r="D1082" s="2" t="s">
        <v>414</v>
      </c>
      <c r="E1082" s="2" t="s">
        <v>415</v>
      </c>
      <c r="F1082" s="2" t="s">
        <v>3204</v>
      </c>
      <c r="G1082" s="2" t="s">
        <v>135</v>
      </c>
      <c r="H1082" s="2" t="s">
        <v>54</v>
      </c>
      <c r="I1082" s="2" t="s">
        <v>44</v>
      </c>
      <c r="J1082" s="2" t="s">
        <v>106</v>
      </c>
      <c r="K1082" s="2" t="s">
        <v>38</v>
      </c>
      <c r="L1082" s="2" t="s">
        <v>39</v>
      </c>
      <c r="M1082" s="2" t="s">
        <v>38</v>
      </c>
      <c r="N1082" s="2" t="s">
        <v>38</v>
      </c>
      <c r="O1082" s="2" t="s">
        <v>38</v>
      </c>
      <c r="P1082" s="2" t="s">
        <v>38</v>
      </c>
      <c r="Q1082" s="2" t="s">
        <v>38</v>
      </c>
      <c r="R1082" s="2" t="s">
        <v>38</v>
      </c>
      <c r="S1082" s="2" t="s">
        <v>38</v>
      </c>
      <c r="T1082" s="2" t="s">
        <v>39</v>
      </c>
      <c r="U1082" s="2" t="s">
        <v>38</v>
      </c>
      <c r="V1082" s="2" t="s">
        <v>38</v>
      </c>
      <c r="W1082" s="2" t="s">
        <v>38</v>
      </c>
      <c r="X1082" s="2" t="s">
        <v>39</v>
      </c>
      <c r="Y1082" s="2" t="s">
        <v>38</v>
      </c>
      <c r="Z1082" s="2" t="s">
        <v>38</v>
      </c>
      <c r="AA1082" s="2" t="s">
        <v>38</v>
      </c>
      <c r="AB1082" s="2" t="s">
        <v>38</v>
      </c>
      <c r="AC1082" s="2" t="s">
        <v>38</v>
      </c>
      <c r="AD1082" s="2" t="s">
        <v>38</v>
      </c>
      <c r="AE1082" s="2" t="s">
        <v>38</v>
      </c>
    </row>
    <row r="1083" spans="1:31" ht="409.5">
      <c r="A1083" s="2">
        <v>2630494</v>
      </c>
      <c r="B1083" s="2">
        <f>HYPERLINK("https://platform.v2.vetology.net/cases/2630494/screening-report/18?type=pdf&amp;v=v6&amp;scorecard=1&amp;secret_key=BX%25IJ%24%2F65ieZ%29f6", 2630494)</f>
        <v>2630494</v>
      </c>
      <c r="C1083" s="2">
        <f>HYPERLINK("https://platform.v2.vetology.net/report/v/final/"&amp;2630494, 2630494)</f>
        <v>2630494</v>
      </c>
      <c r="D1083" s="2" t="s">
        <v>3205</v>
      </c>
      <c r="E1083" s="2" t="s">
        <v>3206</v>
      </c>
      <c r="F1083" s="2" t="s">
        <v>3207</v>
      </c>
      <c r="G1083" s="2" t="s">
        <v>58</v>
      </c>
      <c r="H1083" s="2" t="s">
        <v>136</v>
      </c>
      <c r="I1083" s="2" t="s">
        <v>137</v>
      </c>
      <c r="J1083" s="2" t="s">
        <v>66</v>
      </c>
      <c r="K1083" s="2" t="s">
        <v>38</v>
      </c>
      <c r="L1083" s="2" t="s">
        <v>38</v>
      </c>
      <c r="M1083" s="2" t="s">
        <v>38</v>
      </c>
      <c r="N1083" s="2" t="s">
        <v>38</v>
      </c>
      <c r="O1083" s="2" t="s">
        <v>38</v>
      </c>
      <c r="P1083" s="2" t="s">
        <v>38</v>
      </c>
      <c r="Q1083" s="2" t="s">
        <v>38</v>
      </c>
      <c r="R1083" s="2" t="s">
        <v>38</v>
      </c>
      <c r="S1083" s="2" t="s">
        <v>38</v>
      </c>
      <c r="T1083" s="2" t="s">
        <v>38</v>
      </c>
      <c r="U1083" s="2" t="s">
        <v>38</v>
      </c>
      <c r="V1083" s="2" t="s">
        <v>38</v>
      </c>
      <c r="W1083" s="2" t="s">
        <v>38</v>
      </c>
      <c r="X1083" s="2" t="s">
        <v>38</v>
      </c>
      <c r="Y1083" s="2" t="s">
        <v>38</v>
      </c>
      <c r="Z1083" s="2" t="s">
        <v>38</v>
      </c>
      <c r="AA1083" s="2" t="s">
        <v>38</v>
      </c>
      <c r="AB1083" s="2" t="s">
        <v>38</v>
      </c>
      <c r="AC1083" s="2" t="s">
        <v>38</v>
      </c>
      <c r="AD1083" s="2" t="s">
        <v>38</v>
      </c>
      <c r="AE1083" s="2" t="s">
        <v>38</v>
      </c>
    </row>
    <row r="1084" spans="1:31" ht="409.5">
      <c r="A1084" s="2">
        <v>2630355</v>
      </c>
      <c r="B1084" s="2">
        <f>HYPERLINK("https://platform.v2.vetology.net/cases/2630355/screening-report/18?type=pdf&amp;v=v6&amp;scorecard=1&amp;secret_key=BX%25IJ%24%2F65ieZ%29f6", 2630355)</f>
        <v>2630355</v>
      </c>
      <c r="C1084" s="2">
        <f>HYPERLINK("https://platform.v2.vetology.net/report/v/final/"&amp;2630355, 2630355)</f>
        <v>2630355</v>
      </c>
      <c r="D1084" s="2" t="s">
        <v>3208</v>
      </c>
      <c r="E1084" s="2" t="s">
        <v>3209</v>
      </c>
      <c r="F1084" s="2" t="s">
        <v>3210</v>
      </c>
      <c r="G1084" s="2" t="s">
        <v>150</v>
      </c>
      <c r="H1084" s="2" t="s">
        <v>1162</v>
      </c>
      <c r="I1084" s="2" t="s">
        <v>190</v>
      </c>
      <c r="J1084" s="2" t="s">
        <v>112</v>
      </c>
      <c r="K1084" s="2" t="s">
        <v>39</v>
      </c>
      <c r="L1084" s="2" t="s">
        <v>39</v>
      </c>
      <c r="M1084" s="2" t="s">
        <v>39</v>
      </c>
      <c r="N1084" s="2" t="s">
        <v>39</v>
      </c>
      <c r="O1084" s="2" t="s">
        <v>39</v>
      </c>
      <c r="P1084" s="2" t="s">
        <v>39</v>
      </c>
      <c r="Q1084" s="2" t="s">
        <v>39</v>
      </c>
      <c r="R1084" s="2" t="s">
        <v>39</v>
      </c>
      <c r="S1084" s="2" t="s">
        <v>39</v>
      </c>
      <c r="T1084" s="2" t="s">
        <v>39</v>
      </c>
      <c r="U1084" s="2" t="s">
        <v>39</v>
      </c>
      <c r="V1084" s="2" t="s">
        <v>39</v>
      </c>
      <c r="W1084" s="2" t="s">
        <v>39</v>
      </c>
      <c r="X1084" s="2" t="s">
        <v>39</v>
      </c>
      <c r="Y1084" s="2" t="s">
        <v>39</v>
      </c>
      <c r="Z1084" s="2" t="s">
        <v>39</v>
      </c>
      <c r="AA1084" s="2" t="s">
        <v>39</v>
      </c>
      <c r="AB1084" s="2" t="s">
        <v>39</v>
      </c>
      <c r="AC1084" s="2" t="s">
        <v>39</v>
      </c>
      <c r="AD1084" s="2" t="s">
        <v>39</v>
      </c>
      <c r="AE1084" s="2" t="s">
        <v>39</v>
      </c>
    </row>
    <row r="1085" spans="1:31" ht="409.5">
      <c r="A1085" s="2">
        <v>2630180</v>
      </c>
      <c r="B1085" s="2">
        <f>HYPERLINK("https://platform.v2.vetology.net/cases/2630180/screening-report/18?type=pdf&amp;v=v6&amp;scorecard=1&amp;secret_key=BX%25IJ%24%2F65ieZ%29f6", 2630180)</f>
        <v>2630180</v>
      </c>
      <c r="C1085" s="2">
        <f>HYPERLINK("https://platform.v2.vetology.net/report/v/final/"&amp;2630180, 2630180)</f>
        <v>2630180</v>
      </c>
      <c r="D1085" s="2" t="s">
        <v>3211</v>
      </c>
      <c r="E1085" s="2" t="s">
        <v>850</v>
      </c>
      <c r="F1085" s="2"/>
      <c r="G1085" s="2" t="s">
        <v>150</v>
      </c>
      <c r="H1085" s="2" t="s">
        <v>2066</v>
      </c>
      <c r="I1085" s="2" t="s">
        <v>2067</v>
      </c>
      <c r="J1085" s="2" t="s">
        <v>66</v>
      </c>
      <c r="K1085" s="2" t="s">
        <v>38</v>
      </c>
      <c r="L1085" s="2" t="s">
        <v>39</v>
      </c>
      <c r="M1085" s="2" t="s">
        <v>39</v>
      </c>
      <c r="N1085" s="2" t="s">
        <v>39</v>
      </c>
      <c r="O1085" s="2" t="s">
        <v>38</v>
      </c>
      <c r="P1085" s="2" t="s">
        <v>38</v>
      </c>
      <c r="Q1085" s="2" t="s">
        <v>38</v>
      </c>
      <c r="R1085" s="2" t="s">
        <v>38</v>
      </c>
      <c r="S1085" s="2" t="s">
        <v>38</v>
      </c>
      <c r="T1085" s="2" t="s">
        <v>38</v>
      </c>
      <c r="U1085" s="2" t="s">
        <v>38</v>
      </c>
      <c r="V1085" s="2" t="s">
        <v>38</v>
      </c>
      <c r="W1085" s="2" t="s">
        <v>38</v>
      </c>
      <c r="X1085" s="2" t="s">
        <v>38</v>
      </c>
      <c r="Y1085" s="2" t="s">
        <v>38</v>
      </c>
      <c r="Z1085" s="2" t="s">
        <v>38</v>
      </c>
      <c r="AA1085" s="2" t="s">
        <v>38</v>
      </c>
      <c r="AB1085" s="2" t="s">
        <v>39</v>
      </c>
      <c r="AC1085" s="2" t="s">
        <v>39</v>
      </c>
      <c r="AD1085" s="2" t="s">
        <v>38</v>
      </c>
      <c r="AE1085" s="2" t="s">
        <v>38</v>
      </c>
    </row>
    <row r="1086" spans="1:31" ht="409.5">
      <c r="A1086" s="2">
        <v>2629961</v>
      </c>
      <c r="B1086" s="2">
        <f>HYPERLINK("https://platform.v2.vetology.net/cases/2629961/screening-report/18?type=pdf&amp;v=v6&amp;scorecard=1&amp;secret_key=BX%25IJ%24%2F65ieZ%29f6", 2629961)</f>
        <v>2629961</v>
      </c>
      <c r="C1086" s="2">
        <f>HYPERLINK("https://platform.v2.vetology.net/report/v/final/"&amp;2629961, 2629961)</f>
        <v>2629961</v>
      </c>
      <c r="D1086" s="2" t="s">
        <v>3212</v>
      </c>
      <c r="E1086" s="2" t="s">
        <v>3213</v>
      </c>
      <c r="F1086" s="2" t="s">
        <v>81</v>
      </c>
      <c r="G1086" s="2" t="s">
        <v>268</v>
      </c>
      <c r="H1086" s="2" t="s">
        <v>71</v>
      </c>
      <c r="I1086" s="2" t="s">
        <v>44</v>
      </c>
      <c r="J1086" s="2"/>
      <c r="K1086" s="2" t="s">
        <v>38</v>
      </c>
      <c r="L1086" s="2" t="s">
        <v>38</v>
      </c>
      <c r="M1086" s="2" t="s">
        <v>39</v>
      </c>
      <c r="N1086" s="2" t="s">
        <v>38</v>
      </c>
      <c r="O1086" s="2" t="s">
        <v>39</v>
      </c>
      <c r="P1086" s="2" t="s">
        <v>39</v>
      </c>
      <c r="Q1086" s="2" t="s">
        <v>38</v>
      </c>
      <c r="R1086" s="2" t="s">
        <v>38</v>
      </c>
      <c r="S1086" s="2" t="s">
        <v>38</v>
      </c>
      <c r="T1086" s="2" t="s">
        <v>39</v>
      </c>
      <c r="U1086" s="2" t="s">
        <v>38</v>
      </c>
      <c r="V1086" s="2" t="s">
        <v>39</v>
      </c>
      <c r="W1086" s="2" t="s">
        <v>38</v>
      </c>
      <c r="X1086" s="2" t="s">
        <v>39</v>
      </c>
      <c r="Y1086" s="2" t="s">
        <v>38</v>
      </c>
      <c r="Z1086" s="2" t="s">
        <v>38</v>
      </c>
      <c r="AA1086" s="2" t="s">
        <v>38</v>
      </c>
      <c r="AB1086" s="2" t="s">
        <v>39</v>
      </c>
      <c r="AC1086" s="2" t="s">
        <v>38</v>
      </c>
      <c r="AD1086" s="2" t="s">
        <v>38</v>
      </c>
      <c r="AE1086" s="2" t="s">
        <v>38</v>
      </c>
    </row>
    <row r="1087" spans="1:31" ht="409.5">
      <c r="A1087" s="2">
        <v>2629878</v>
      </c>
      <c r="B1087" s="2">
        <f>HYPERLINK("https://platform.v2.vetology.net/cases/2629878/screening-report/18?type=pdf&amp;v=v6&amp;scorecard=1&amp;secret_key=BX%25IJ%24%2F65ieZ%29f6", 2629878)</f>
        <v>2629878</v>
      </c>
      <c r="C1087" s="2">
        <f>HYPERLINK("https://platform.v2.vetology.net/report/v/final/"&amp;2629878, 2629878)</f>
        <v>2629878</v>
      </c>
      <c r="D1087" s="2" t="s">
        <v>3214</v>
      </c>
      <c r="E1087" s="2" t="s">
        <v>3215</v>
      </c>
      <c r="F1087" s="2" t="s">
        <v>81</v>
      </c>
      <c r="G1087" s="2" t="s">
        <v>82</v>
      </c>
      <c r="H1087" s="2" t="s">
        <v>857</v>
      </c>
      <c r="I1087" s="2" t="s">
        <v>137</v>
      </c>
      <c r="J1087" s="2" t="s">
        <v>66</v>
      </c>
      <c r="K1087" s="2" t="s">
        <v>38</v>
      </c>
      <c r="L1087" s="2" t="s">
        <v>39</v>
      </c>
      <c r="M1087" s="2" t="s">
        <v>38</v>
      </c>
      <c r="N1087" s="2" t="s">
        <v>38</v>
      </c>
      <c r="O1087" s="2" t="s">
        <v>38</v>
      </c>
      <c r="P1087" s="2" t="s">
        <v>39</v>
      </c>
      <c r="Q1087" s="2" t="s">
        <v>38</v>
      </c>
      <c r="R1087" s="2" t="s">
        <v>38</v>
      </c>
      <c r="S1087" s="2" t="s">
        <v>38</v>
      </c>
      <c r="T1087" s="2" t="s">
        <v>39</v>
      </c>
      <c r="U1087" s="2" t="s">
        <v>38</v>
      </c>
      <c r="V1087" s="2" t="s">
        <v>39</v>
      </c>
      <c r="W1087" s="2" t="s">
        <v>38</v>
      </c>
      <c r="X1087" s="2" t="s">
        <v>39</v>
      </c>
      <c r="Y1087" s="2" t="s">
        <v>38</v>
      </c>
      <c r="Z1087" s="2" t="s">
        <v>39</v>
      </c>
      <c r="AA1087" s="2" t="s">
        <v>38</v>
      </c>
      <c r="AB1087" s="2" t="s">
        <v>38</v>
      </c>
      <c r="AC1087" s="2" t="s">
        <v>38</v>
      </c>
      <c r="AD1087" s="2" t="s">
        <v>38</v>
      </c>
      <c r="AE1087" s="2" t="s">
        <v>39</v>
      </c>
    </row>
    <row r="1088" spans="1:31" ht="409.5">
      <c r="A1088" s="2">
        <v>2629828</v>
      </c>
      <c r="B1088" s="2">
        <f>HYPERLINK("https://platform.v2.vetology.net/cases/2629828/screening-report/18?type=pdf&amp;v=v6&amp;scorecard=1&amp;secret_key=BX%25IJ%24%2F65ieZ%29f6", 2629828)</f>
        <v>2629828</v>
      </c>
      <c r="C1088" s="2">
        <f>HYPERLINK("https://platform.v2.vetology.net/report/v/final/"&amp;2629828, 2629828)</f>
        <v>2629828</v>
      </c>
      <c r="D1088" s="2" t="s">
        <v>3216</v>
      </c>
      <c r="E1088" s="2" t="s">
        <v>3217</v>
      </c>
      <c r="F1088" s="2" t="s">
        <v>3218</v>
      </c>
      <c r="G1088" s="2" t="s">
        <v>58</v>
      </c>
      <c r="H1088" s="2" t="s">
        <v>3219</v>
      </c>
      <c r="I1088" s="2" t="s">
        <v>137</v>
      </c>
      <c r="J1088" s="2" t="s">
        <v>66</v>
      </c>
      <c r="K1088" s="2" t="s">
        <v>38</v>
      </c>
      <c r="L1088" s="2" t="s">
        <v>39</v>
      </c>
      <c r="M1088" s="2" t="s">
        <v>38</v>
      </c>
      <c r="N1088" s="2" t="s">
        <v>38</v>
      </c>
      <c r="O1088" s="2" t="s">
        <v>38</v>
      </c>
      <c r="P1088" s="2" t="s">
        <v>39</v>
      </c>
      <c r="Q1088" s="2" t="s">
        <v>38</v>
      </c>
      <c r="R1088" s="2" t="s">
        <v>38</v>
      </c>
      <c r="S1088" s="2" t="s">
        <v>38</v>
      </c>
      <c r="T1088" s="2" t="s">
        <v>38</v>
      </c>
      <c r="U1088" s="2" t="s">
        <v>39</v>
      </c>
      <c r="V1088" s="2" t="s">
        <v>38</v>
      </c>
      <c r="W1088" s="2" t="s">
        <v>38</v>
      </c>
      <c r="X1088" s="2" t="s">
        <v>38</v>
      </c>
      <c r="Y1088" s="2" t="s">
        <v>38</v>
      </c>
      <c r="Z1088" s="2" t="s">
        <v>38</v>
      </c>
      <c r="AA1088" s="2" t="s">
        <v>38</v>
      </c>
      <c r="AB1088" s="2" t="s">
        <v>39</v>
      </c>
      <c r="AC1088" s="2" t="s">
        <v>39</v>
      </c>
      <c r="AD1088" s="2" t="s">
        <v>38</v>
      </c>
      <c r="AE1088" s="2" t="s">
        <v>38</v>
      </c>
    </row>
    <row r="1089" spans="1:31" ht="409.5">
      <c r="A1089" s="2">
        <v>2629783</v>
      </c>
      <c r="B1089" s="2">
        <f>HYPERLINK("https://platform.v2.vetology.net/cases/2629783/screening-report/18?type=pdf&amp;v=v6&amp;scorecard=1&amp;secret_key=BX%25IJ%24%2F65ieZ%29f6", 2629783)</f>
        <v>2629783</v>
      </c>
      <c r="C1089" s="2">
        <f>HYPERLINK("https://platform.v2.vetology.net/report/v/final/"&amp;2629783, 2629783)</f>
        <v>2629783</v>
      </c>
      <c r="D1089" s="2" t="s">
        <v>3220</v>
      </c>
      <c r="E1089" s="2" t="s">
        <v>3221</v>
      </c>
      <c r="F1089" s="2" t="s">
        <v>3222</v>
      </c>
      <c r="G1089" s="2" t="s">
        <v>58</v>
      </c>
      <c r="H1089" s="2" t="s">
        <v>136</v>
      </c>
      <c r="I1089" s="2" t="s">
        <v>137</v>
      </c>
      <c r="J1089" s="2" t="s">
        <v>66</v>
      </c>
      <c r="K1089" s="2" t="s">
        <v>38</v>
      </c>
      <c r="L1089" s="2" t="s">
        <v>39</v>
      </c>
      <c r="M1089" s="2" t="s">
        <v>38</v>
      </c>
      <c r="N1089" s="2" t="s">
        <v>38</v>
      </c>
      <c r="O1089" s="2" t="s">
        <v>38</v>
      </c>
      <c r="P1089" s="2" t="s">
        <v>38</v>
      </c>
      <c r="Q1089" s="2" t="s">
        <v>38</v>
      </c>
      <c r="R1089" s="2" t="s">
        <v>38</v>
      </c>
      <c r="S1089" s="2" t="s">
        <v>38</v>
      </c>
      <c r="T1089" s="2" t="s">
        <v>38</v>
      </c>
      <c r="U1089" s="2" t="s">
        <v>38</v>
      </c>
      <c r="V1089" s="2" t="s">
        <v>38</v>
      </c>
      <c r="W1089" s="2" t="s">
        <v>38</v>
      </c>
      <c r="X1089" s="2" t="s">
        <v>39</v>
      </c>
      <c r="Y1089" s="2" t="s">
        <v>38</v>
      </c>
      <c r="Z1089" s="2" t="s">
        <v>38</v>
      </c>
      <c r="AA1089" s="2" t="s">
        <v>38</v>
      </c>
      <c r="AB1089" s="2" t="s">
        <v>39</v>
      </c>
      <c r="AC1089" s="2" t="s">
        <v>39</v>
      </c>
      <c r="AD1089" s="2" t="s">
        <v>38</v>
      </c>
      <c r="AE1089" s="2" t="s">
        <v>39</v>
      </c>
    </row>
    <row r="1090" spans="1:31" ht="409.5">
      <c r="A1090" s="2">
        <v>2629754</v>
      </c>
      <c r="B1090" s="2">
        <f>HYPERLINK("https://platform.v2.vetology.net/cases/2629754/screening-report/18?type=pdf&amp;v=v6&amp;scorecard=1&amp;secret_key=BX%25IJ%24%2F65ieZ%29f6", 2629754)</f>
        <v>2629754</v>
      </c>
      <c r="C1090" s="2">
        <f>HYPERLINK("https://platform.v2.vetology.net/report/v/final/"&amp;2629754, 2629754)</f>
        <v>2629754</v>
      </c>
      <c r="D1090" s="2" t="s">
        <v>3223</v>
      </c>
      <c r="E1090" s="2" t="s">
        <v>3224</v>
      </c>
      <c r="F1090" s="2" t="s">
        <v>81</v>
      </c>
      <c r="G1090" s="2" t="s">
        <v>82</v>
      </c>
      <c r="H1090" s="2" t="s">
        <v>283</v>
      </c>
      <c r="I1090" s="2" t="s">
        <v>284</v>
      </c>
      <c r="J1090" s="2" t="s">
        <v>285</v>
      </c>
      <c r="K1090" s="2" t="s">
        <v>38</v>
      </c>
      <c r="L1090" s="2" t="s">
        <v>38</v>
      </c>
      <c r="M1090" s="2" t="s">
        <v>38</v>
      </c>
      <c r="N1090" s="2" t="s">
        <v>38</v>
      </c>
      <c r="O1090" s="2" t="s">
        <v>38</v>
      </c>
      <c r="P1090" s="2" t="s">
        <v>38</v>
      </c>
      <c r="Q1090" s="2" t="s">
        <v>38</v>
      </c>
      <c r="R1090" s="2" t="s">
        <v>38</v>
      </c>
      <c r="S1090" s="2" t="s">
        <v>38</v>
      </c>
      <c r="T1090" s="2" t="s">
        <v>38</v>
      </c>
      <c r="U1090" s="2" t="s">
        <v>38</v>
      </c>
      <c r="V1090" s="2" t="s">
        <v>38</v>
      </c>
      <c r="W1090" s="2" t="s">
        <v>38</v>
      </c>
      <c r="X1090" s="2" t="s">
        <v>38</v>
      </c>
      <c r="Y1090" s="2" t="s">
        <v>38</v>
      </c>
      <c r="Z1090" s="2" t="s">
        <v>38</v>
      </c>
      <c r="AA1090" s="2" t="s">
        <v>38</v>
      </c>
      <c r="AB1090" s="2" t="s">
        <v>38</v>
      </c>
      <c r="AC1090" s="2" t="s">
        <v>38</v>
      </c>
      <c r="AD1090" s="2" t="s">
        <v>38</v>
      </c>
      <c r="AE1090" s="2" t="s">
        <v>38</v>
      </c>
    </row>
    <row r="1091" spans="1:31" ht="409.5">
      <c r="A1091" s="2">
        <v>2629728</v>
      </c>
      <c r="B1091" s="2">
        <f>HYPERLINK("https://platform.v2.vetology.net/cases/2629728/screening-report/18?type=pdf&amp;v=v6&amp;scorecard=1&amp;secret_key=BX%25IJ%24%2F65ieZ%29f6", 2629728)</f>
        <v>2629728</v>
      </c>
      <c r="C1091" s="2">
        <f>HYPERLINK("https://platform.v2.vetology.net/report/v/final/"&amp;2629728, 2629728)</f>
        <v>2629728</v>
      </c>
      <c r="D1091" s="2" t="s">
        <v>3225</v>
      </c>
      <c r="E1091" s="2" t="s">
        <v>3226</v>
      </c>
      <c r="F1091" s="2" t="s">
        <v>3227</v>
      </c>
      <c r="G1091" s="2" t="s">
        <v>63</v>
      </c>
      <c r="H1091" s="2" t="s">
        <v>3228</v>
      </c>
      <c r="I1091" s="2" t="s">
        <v>312</v>
      </c>
      <c r="J1091" s="2" t="s">
        <v>313</v>
      </c>
      <c r="K1091" s="2" t="s">
        <v>39</v>
      </c>
      <c r="L1091" s="2" t="s">
        <v>39</v>
      </c>
      <c r="M1091" s="2" t="s">
        <v>39</v>
      </c>
      <c r="N1091" s="2" t="s">
        <v>39</v>
      </c>
      <c r="O1091" s="2" t="s">
        <v>39</v>
      </c>
      <c r="P1091" s="2" t="s">
        <v>39</v>
      </c>
      <c r="Q1091" s="2" t="s">
        <v>39</v>
      </c>
      <c r="R1091" s="2" t="s">
        <v>38</v>
      </c>
      <c r="S1091" s="2" t="s">
        <v>39</v>
      </c>
      <c r="T1091" s="2" t="s">
        <v>39</v>
      </c>
      <c r="U1091" s="2" t="s">
        <v>39</v>
      </c>
      <c r="V1091" s="2" t="s">
        <v>39</v>
      </c>
      <c r="W1091" s="2" t="s">
        <v>38</v>
      </c>
      <c r="X1091" s="2" t="s">
        <v>39</v>
      </c>
      <c r="Y1091" s="2" t="s">
        <v>38</v>
      </c>
      <c r="Z1091" s="2" t="s">
        <v>39</v>
      </c>
      <c r="AA1091" s="2" t="s">
        <v>38</v>
      </c>
      <c r="AB1091" s="2" t="s">
        <v>39</v>
      </c>
      <c r="AC1091" s="2" t="s">
        <v>39</v>
      </c>
      <c r="AD1091" s="2" t="s">
        <v>38</v>
      </c>
      <c r="AE1091" s="2" t="s">
        <v>39</v>
      </c>
    </row>
    <row r="1092" spans="1:31" ht="409.5">
      <c r="A1092" s="2">
        <v>2629629</v>
      </c>
      <c r="B1092" s="2">
        <f>HYPERLINK("https://platform.v2.vetology.net/cases/2629629/screening-report/18?type=pdf&amp;v=v6&amp;scorecard=1&amp;secret_key=BX%25IJ%24%2F65ieZ%29f6", 2629629)</f>
        <v>2629629</v>
      </c>
      <c r="C1092" s="2">
        <f>HYPERLINK("https://platform.v2.vetology.net/report/v/final/"&amp;2629629, 2629629)</f>
        <v>2629629</v>
      </c>
      <c r="D1092" s="2" t="s">
        <v>3229</v>
      </c>
      <c r="E1092" s="2" t="s">
        <v>3230</v>
      </c>
      <c r="F1092" s="2" t="s">
        <v>3231</v>
      </c>
      <c r="G1092" s="2" t="s">
        <v>63</v>
      </c>
      <c r="H1092" s="2" t="s">
        <v>162</v>
      </c>
      <c r="I1092" s="2" t="s">
        <v>124</v>
      </c>
      <c r="J1092" s="2" t="s">
        <v>125</v>
      </c>
      <c r="K1092" s="2" t="s">
        <v>38</v>
      </c>
      <c r="L1092" s="2" t="s">
        <v>38</v>
      </c>
      <c r="M1092" s="2" t="s">
        <v>39</v>
      </c>
      <c r="N1092" s="2" t="s">
        <v>38</v>
      </c>
      <c r="O1092" s="2" t="s">
        <v>38</v>
      </c>
      <c r="P1092" s="2" t="s">
        <v>38</v>
      </c>
      <c r="Q1092" s="2" t="s">
        <v>38</v>
      </c>
      <c r="R1092" s="2" t="s">
        <v>38</v>
      </c>
      <c r="S1092" s="2" t="s">
        <v>38</v>
      </c>
      <c r="T1092" s="2" t="s">
        <v>39</v>
      </c>
      <c r="U1092" s="2" t="s">
        <v>38</v>
      </c>
      <c r="V1092" s="2" t="s">
        <v>39</v>
      </c>
      <c r="W1092" s="2" t="s">
        <v>38</v>
      </c>
      <c r="X1092" s="2" t="s">
        <v>39</v>
      </c>
      <c r="Y1092" s="2" t="s">
        <v>38</v>
      </c>
      <c r="Z1092" s="2" t="s">
        <v>38</v>
      </c>
      <c r="AA1092" s="2" t="s">
        <v>38</v>
      </c>
      <c r="AB1092" s="2" t="s">
        <v>38</v>
      </c>
      <c r="AC1092" s="2" t="s">
        <v>39</v>
      </c>
      <c r="AD1092" s="2" t="s">
        <v>38</v>
      </c>
      <c r="AE1092" s="2" t="s">
        <v>38</v>
      </c>
    </row>
    <row r="1093" spans="1:31" ht="409.5">
      <c r="A1093" s="2">
        <v>2629592</v>
      </c>
      <c r="B1093" s="2">
        <f>HYPERLINK("https://platform.v2.vetology.net/cases/2629592/screening-report/18?type=pdf&amp;v=v6&amp;scorecard=1&amp;secret_key=BX%25IJ%24%2F65ieZ%29f6", 2629592)</f>
        <v>2629592</v>
      </c>
      <c r="C1093" s="2">
        <f>HYPERLINK("https://platform.v2.vetology.net/report/v/final/"&amp;2629592, 2629592)</f>
        <v>2629592</v>
      </c>
      <c r="D1093" s="2" t="s">
        <v>3232</v>
      </c>
      <c r="E1093" s="2" t="s">
        <v>3233</v>
      </c>
      <c r="F1093" s="2"/>
      <c r="G1093" s="2" t="s">
        <v>141</v>
      </c>
      <c r="H1093" s="2" t="s">
        <v>3234</v>
      </c>
      <c r="I1093" s="2" t="s">
        <v>111</v>
      </c>
      <c r="J1093" s="2" t="s">
        <v>112</v>
      </c>
      <c r="K1093" s="2" t="s">
        <v>39</v>
      </c>
      <c r="L1093" s="2" t="s">
        <v>39</v>
      </c>
      <c r="M1093" s="2" t="s">
        <v>39</v>
      </c>
      <c r="N1093" s="2" t="s">
        <v>39</v>
      </c>
      <c r="O1093" s="2" t="s">
        <v>39</v>
      </c>
      <c r="P1093" s="2" t="s">
        <v>39</v>
      </c>
      <c r="Q1093" s="2" t="s">
        <v>39</v>
      </c>
      <c r="R1093" s="2" t="s">
        <v>39</v>
      </c>
      <c r="S1093" s="2" t="s">
        <v>39</v>
      </c>
      <c r="T1093" s="2" t="s">
        <v>39</v>
      </c>
      <c r="U1093" s="2" t="s">
        <v>39</v>
      </c>
      <c r="V1093" s="2" t="s">
        <v>39</v>
      </c>
      <c r="W1093" s="2" t="s">
        <v>39</v>
      </c>
      <c r="X1093" s="2" t="s">
        <v>39</v>
      </c>
      <c r="Y1093" s="2" t="s">
        <v>39</v>
      </c>
      <c r="Z1093" s="2" t="s">
        <v>39</v>
      </c>
      <c r="AA1093" s="2" t="s">
        <v>39</v>
      </c>
      <c r="AB1093" s="2" t="s">
        <v>39</v>
      </c>
      <c r="AC1093" s="2" t="s">
        <v>39</v>
      </c>
      <c r="AD1093" s="2" t="s">
        <v>38</v>
      </c>
      <c r="AE1093" s="2" t="s">
        <v>38</v>
      </c>
    </row>
    <row r="1094" spans="1:31" ht="409.5">
      <c r="A1094" s="2">
        <v>2629555</v>
      </c>
      <c r="B1094" s="2">
        <f>HYPERLINK("https://platform.v2.vetology.net/cases/2629555/screening-report/18?type=pdf&amp;v=v6&amp;scorecard=1&amp;secret_key=BX%25IJ%24%2F65ieZ%29f6", 2629555)</f>
        <v>2629555</v>
      </c>
      <c r="C1094" s="2">
        <f>HYPERLINK("https://platform.v2.vetology.net/report/v/final/"&amp;2629555, 2629555)</f>
        <v>2629555</v>
      </c>
      <c r="D1094" s="2" t="s">
        <v>3235</v>
      </c>
      <c r="E1094" s="2" t="s">
        <v>3236</v>
      </c>
      <c r="F1094" s="2" t="s">
        <v>3237</v>
      </c>
      <c r="G1094" s="2" t="s">
        <v>63</v>
      </c>
      <c r="H1094" s="2" t="s">
        <v>94</v>
      </c>
      <c r="I1094" s="2" t="s">
        <v>89</v>
      </c>
      <c r="J1094" s="2" t="s">
        <v>66</v>
      </c>
      <c r="K1094" s="2" t="s">
        <v>38</v>
      </c>
      <c r="L1094" s="2" t="s">
        <v>38</v>
      </c>
      <c r="M1094" s="2" t="s">
        <v>39</v>
      </c>
      <c r="N1094" s="2" t="s">
        <v>38</v>
      </c>
      <c r="O1094" s="2" t="s">
        <v>38</v>
      </c>
      <c r="P1094" s="2" t="s">
        <v>39</v>
      </c>
      <c r="Q1094" s="2" t="s">
        <v>38</v>
      </c>
      <c r="R1094" s="2" t="s">
        <v>38</v>
      </c>
      <c r="S1094" s="2" t="s">
        <v>38</v>
      </c>
      <c r="T1094" s="2" t="s">
        <v>39</v>
      </c>
      <c r="U1094" s="2" t="s">
        <v>38</v>
      </c>
      <c r="V1094" s="2" t="s">
        <v>39</v>
      </c>
      <c r="W1094" s="2" t="s">
        <v>38</v>
      </c>
      <c r="X1094" s="2" t="s">
        <v>39</v>
      </c>
      <c r="Y1094" s="2" t="s">
        <v>38</v>
      </c>
      <c r="Z1094" s="2" t="s">
        <v>38</v>
      </c>
      <c r="AA1094" s="2" t="s">
        <v>38</v>
      </c>
      <c r="AB1094" s="2" t="s">
        <v>39</v>
      </c>
      <c r="AC1094" s="2" t="s">
        <v>38</v>
      </c>
      <c r="AD1094" s="2" t="s">
        <v>38</v>
      </c>
      <c r="AE1094" s="2" t="s">
        <v>39</v>
      </c>
    </row>
    <row r="1095" spans="1:31" ht="409.5">
      <c r="A1095" s="2">
        <v>2629040</v>
      </c>
      <c r="B1095" s="2">
        <f>HYPERLINK("https://platform.v2.vetology.net/cases/2629040/screening-report/18?type=pdf&amp;v=v6&amp;scorecard=1&amp;secret_key=BX%25IJ%24%2F65ieZ%29f6", 2629040)</f>
        <v>2629040</v>
      </c>
      <c r="C1095" s="2">
        <f>HYPERLINK("https://platform.v2.vetology.net/report/v/final/"&amp;2629040, 2629040)</f>
        <v>2629040</v>
      </c>
      <c r="D1095" s="2" t="s">
        <v>3238</v>
      </c>
      <c r="E1095" s="2" t="s">
        <v>3239</v>
      </c>
      <c r="F1095" s="2" t="s">
        <v>1444</v>
      </c>
      <c r="G1095" s="2" t="s">
        <v>464</v>
      </c>
      <c r="H1095" s="2" t="s">
        <v>78</v>
      </c>
      <c r="I1095" s="2" t="s">
        <v>199</v>
      </c>
      <c r="J1095" s="2"/>
      <c r="K1095" s="2" t="s">
        <v>38</v>
      </c>
      <c r="L1095" s="2" t="s">
        <v>39</v>
      </c>
      <c r="M1095" s="2" t="s">
        <v>39</v>
      </c>
      <c r="N1095" s="2" t="s">
        <v>38</v>
      </c>
      <c r="O1095" s="2" t="s">
        <v>39</v>
      </c>
      <c r="P1095" s="2" t="s">
        <v>38</v>
      </c>
      <c r="Q1095" s="2" t="s">
        <v>38</v>
      </c>
      <c r="R1095" s="2" t="s">
        <v>38</v>
      </c>
      <c r="S1095" s="2" t="s">
        <v>38</v>
      </c>
      <c r="T1095" s="2" t="s">
        <v>39</v>
      </c>
      <c r="U1095" s="2" t="s">
        <v>38</v>
      </c>
      <c r="V1095" s="2" t="s">
        <v>38</v>
      </c>
      <c r="W1095" s="2" t="s">
        <v>38</v>
      </c>
      <c r="X1095" s="2" t="s">
        <v>38</v>
      </c>
      <c r="Y1095" s="2" t="s">
        <v>38</v>
      </c>
      <c r="Z1095" s="2" t="s">
        <v>38</v>
      </c>
      <c r="AA1095" s="2" t="s">
        <v>38</v>
      </c>
      <c r="AB1095" s="2" t="s">
        <v>38</v>
      </c>
      <c r="AC1095" s="2" t="s">
        <v>38</v>
      </c>
      <c r="AD1095" s="2" t="s">
        <v>38</v>
      </c>
      <c r="AE1095" s="2" t="s">
        <v>38</v>
      </c>
    </row>
    <row r="1096" spans="1:31" ht="409.5">
      <c r="A1096" s="2">
        <v>2628989</v>
      </c>
      <c r="B1096" s="2">
        <f>HYPERLINK("https://platform.v2.vetology.net/cases/2628989/screening-report/18?type=pdf&amp;v=v6&amp;scorecard=1&amp;secret_key=BX%25IJ%24%2F65ieZ%29f6", 2628989)</f>
        <v>2628989</v>
      </c>
      <c r="C1096" s="2">
        <f>HYPERLINK("https://platform.v2.vetology.net/report/v/final/"&amp;2628989, 2628989)</f>
        <v>2628989</v>
      </c>
      <c r="D1096" s="2" t="s">
        <v>3240</v>
      </c>
      <c r="E1096" s="2" t="s">
        <v>3241</v>
      </c>
      <c r="F1096" s="2" t="s">
        <v>3242</v>
      </c>
      <c r="G1096" s="2" t="s">
        <v>82</v>
      </c>
      <c r="H1096" s="2" t="s">
        <v>3243</v>
      </c>
      <c r="I1096" s="2" t="s">
        <v>227</v>
      </c>
      <c r="J1096" s="2" t="s">
        <v>228</v>
      </c>
      <c r="K1096" s="2" t="s">
        <v>38</v>
      </c>
      <c r="L1096" s="2" t="s">
        <v>38</v>
      </c>
      <c r="M1096" s="2" t="s">
        <v>38</v>
      </c>
      <c r="N1096" s="2" t="s">
        <v>39</v>
      </c>
      <c r="O1096" s="2" t="s">
        <v>38</v>
      </c>
      <c r="P1096" s="2" t="s">
        <v>38</v>
      </c>
      <c r="Q1096" s="2" t="s">
        <v>38</v>
      </c>
      <c r="R1096" s="2" t="s">
        <v>38</v>
      </c>
      <c r="S1096" s="2" t="s">
        <v>38</v>
      </c>
      <c r="T1096" s="2" t="s">
        <v>38</v>
      </c>
      <c r="U1096" s="2" t="s">
        <v>38</v>
      </c>
      <c r="V1096" s="2" t="s">
        <v>38</v>
      </c>
      <c r="W1096" s="2" t="s">
        <v>38</v>
      </c>
      <c r="X1096" s="2" t="s">
        <v>38</v>
      </c>
      <c r="Y1096" s="2" t="s">
        <v>38</v>
      </c>
      <c r="Z1096" s="2" t="s">
        <v>39</v>
      </c>
      <c r="AA1096" s="2" t="s">
        <v>38</v>
      </c>
      <c r="AB1096" s="2" t="s">
        <v>39</v>
      </c>
      <c r="AC1096" s="2" t="s">
        <v>39</v>
      </c>
      <c r="AD1096" s="2" t="s">
        <v>38</v>
      </c>
      <c r="AE1096" s="2" t="s">
        <v>38</v>
      </c>
    </row>
    <row r="1097" spans="1:31" ht="409.5">
      <c r="A1097" s="2">
        <v>2628946</v>
      </c>
      <c r="B1097" s="2">
        <f>HYPERLINK("https://platform.v2.vetology.net/cases/2628946/screening-report/18?type=pdf&amp;v=v6&amp;scorecard=1&amp;secret_key=BX%25IJ%24%2F65ieZ%29f6", 2628946)</f>
        <v>2628946</v>
      </c>
      <c r="C1097" s="2">
        <f>HYPERLINK("https://platform.v2.vetology.net/report/v/final/"&amp;2628946, 2628946)</f>
        <v>2628946</v>
      </c>
      <c r="D1097" s="2" t="s">
        <v>3244</v>
      </c>
      <c r="E1097" s="2" t="s">
        <v>3245</v>
      </c>
      <c r="F1097" s="2" t="s">
        <v>3246</v>
      </c>
      <c r="G1097" s="2" t="s">
        <v>93</v>
      </c>
      <c r="H1097" s="2" t="s">
        <v>339</v>
      </c>
      <c r="I1097" s="2" t="s">
        <v>124</v>
      </c>
      <c r="J1097" s="2" t="s">
        <v>125</v>
      </c>
      <c r="K1097" s="2" t="s">
        <v>38</v>
      </c>
      <c r="L1097" s="2" t="s">
        <v>38</v>
      </c>
      <c r="M1097" s="2" t="s">
        <v>39</v>
      </c>
      <c r="N1097" s="2" t="s">
        <v>38</v>
      </c>
      <c r="O1097" s="2" t="s">
        <v>38</v>
      </c>
      <c r="P1097" s="2" t="s">
        <v>38</v>
      </c>
      <c r="Q1097" s="2" t="s">
        <v>38</v>
      </c>
      <c r="R1097" s="2" t="s">
        <v>38</v>
      </c>
      <c r="S1097" s="2" t="s">
        <v>38</v>
      </c>
      <c r="T1097" s="2" t="s">
        <v>38</v>
      </c>
      <c r="U1097" s="2" t="s">
        <v>38</v>
      </c>
      <c r="V1097" s="2" t="s">
        <v>38</v>
      </c>
      <c r="W1097" s="2" t="s">
        <v>38</v>
      </c>
      <c r="X1097" s="2" t="s">
        <v>38</v>
      </c>
      <c r="Y1097" s="2" t="s">
        <v>38</v>
      </c>
      <c r="Z1097" s="2" t="s">
        <v>38</v>
      </c>
      <c r="AA1097" s="2" t="s">
        <v>38</v>
      </c>
      <c r="AB1097" s="2" t="s">
        <v>38</v>
      </c>
      <c r="AC1097" s="2" t="s">
        <v>38</v>
      </c>
      <c r="AD1097" s="2" t="s">
        <v>38</v>
      </c>
      <c r="AE1097" s="2" t="s">
        <v>38</v>
      </c>
    </row>
    <row r="1098" spans="1:31" ht="409.5">
      <c r="A1098" s="2">
        <v>2628937</v>
      </c>
      <c r="B1098" s="2">
        <f>HYPERLINK("https://platform.v2.vetology.net/cases/2628937/screening-report/18?type=pdf&amp;v=v6&amp;scorecard=1&amp;secret_key=BX%25IJ%24%2F65ieZ%29f6", 2628937)</f>
        <v>2628937</v>
      </c>
      <c r="C1098" s="2">
        <f>HYPERLINK("https://platform.v2.vetology.net/report/v/final/"&amp;2628937, 2628937)</f>
        <v>2628937</v>
      </c>
      <c r="D1098" s="2" t="s">
        <v>3247</v>
      </c>
      <c r="E1098" s="2" t="s">
        <v>796</v>
      </c>
      <c r="F1098" s="2" t="s">
        <v>3248</v>
      </c>
      <c r="G1098" s="2" t="s">
        <v>135</v>
      </c>
      <c r="H1098" s="2" t="s">
        <v>43</v>
      </c>
      <c r="I1098" s="2" t="s">
        <v>44</v>
      </c>
      <c r="J1098" s="2" t="s">
        <v>106</v>
      </c>
      <c r="K1098" s="2" t="s">
        <v>38</v>
      </c>
      <c r="L1098" s="2" t="s">
        <v>39</v>
      </c>
      <c r="M1098" s="2" t="s">
        <v>38</v>
      </c>
      <c r="N1098" s="2" t="s">
        <v>38</v>
      </c>
      <c r="O1098" s="2" t="s">
        <v>38</v>
      </c>
      <c r="P1098" s="2" t="s">
        <v>39</v>
      </c>
      <c r="Q1098" s="2" t="s">
        <v>38</v>
      </c>
      <c r="R1098" s="2" t="s">
        <v>38</v>
      </c>
      <c r="S1098" s="2" t="s">
        <v>38</v>
      </c>
      <c r="T1098" s="2" t="s">
        <v>38</v>
      </c>
      <c r="U1098" s="2" t="s">
        <v>38</v>
      </c>
      <c r="V1098" s="2" t="s">
        <v>38</v>
      </c>
      <c r="W1098" s="2" t="s">
        <v>38</v>
      </c>
      <c r="X1098" s="2" t="s">
        <v>38</v>
      </c>
      <c r="Y1098" s="2" t="s">
        <v>38</v>
      </c>
      <c r="Z1098" s="2" t="s">
        <v>38</v>
      </c>
      <c r="AA1098" s="2" t="s">
        <v>38</v>
      </c>
      <c r="AB1098" s="2" t="s">
        <v>38</v>
      </c>
      <c r="AC1098" s="2" t="s">
        <v>38</v>
      </c>
      <c r="AD1098" s="2" t="s">
        <v>38</v>
      </c>
      <c r="AE1098" s="2" t="s">
        <v>38</v>
      </c>
    </row>
    <row r="1099" spans="1:31" ht="409.5">
      <c r="A1099" s="2">
        <v>2628933</v>
      </c>
      <c r="B1099" s="2">
        <f>HYPERLINK("https://platform.v2.vetology.net/cases/2628933/screening-report/18?type=pdf&amp;v=v6&amp;scorecard=1&amp;secret_key=BX%25IJ%24%2F65ieZ%29f6", 2628933)</f>
        <v>2628933</v>
      </c>
      <c r="C1099" s="2">
        <f>HYPERLINK("https://platform.v2.vetology.net/report/v/final/"&amp;2628933, 2628933)</f>
        <v>2628933</v>
      </c>
      <c r="D1099" s="2" t="s">
        <v>3249</v>
      </c>
      <c r="E1099" s="2" t="s">
        <v>3250</v>
      </c>
      <c r="F1099" s="2" t="s">
        <v>3251</v>
      </c>
      <c r="G1099" s="2" t="s">
        <v>34</v>
      </c>
      <c r="H1099" s="2" t="s">
        <v>3252</v>
      </c>
      <c r="I1099" s="2" t="s">
        <v>158</v>
      </c>
      <c r="J1099" s="2" t="s">
        <v>50</v>
      </c>
      <c r="K1099" s="2" t="s">
        <v>38</v>
      </c>
      <c r="L1099" s="2" t="s">
        <v>38</v>
      </c>
      <c r="M1099" s="2" t="s">
        <v>38</v>
      </c>
      <c r="N1099" s="2" t="s">
        <v>39</v>
      </c>
      <c r="O1099" s="2" t="s">
        <v>38</v>
      </c>
      <c r="P1099" s="2" t="s">
        <v>38</v>
      </c>
      <c r="Q1099" s="2" t="s">
        <v>38</v>
      </c>
      <c r="R1099" s="2" t="s">
        <v>38</v>
      </c>
      <c r="S1099" s="2" t="s">
        <v>38</v>
      </c>
      <c r="T1099" s="2" t="s">
        <v>38</v>
      </c>
      <c r="U1099" s="2" t="s">
        <v>38</v>
      </c>
      <c r="V1099" s="2" t="s">
        <v>38</v>
      </c>
      <c r="W1099" s="2" t="s">
        <v>38</v>
      </c>
      <c r="X1099" s="2" t="s">
        <v>38</v>
      </c>
      <c r="Y1099" s="2" t="s">
        <v>38</v>
      </c>
      <c r="Z1099" s="2" t="s">
        <v>39</v>
      </c>
      <c r="AA1099" s="2" t="s">
        <v>38</v>
      </c>
      <c r="AB1099" s="2" t="s">
        <v>38</v>
      </c>
      <c r="AC1099" s="2" t="s">
        <v>38</v>
      </c>
      <c r="AD1099" s="2" t="s">
        <v>38</v>
      </c>
      <c r="AE1099" s="2" t="s">
        <v>39</v>
      </c>
    </row>
    <row r="1100" spans="1:31" ht="409.5">
      <c r="A1100" s="2">
        <v>2628812</v>
      </c>
      <c r="B1100" s="2">
        <f>HYPERLINK("https://platform.v2.vetology.net/cases/2628812/screening-report/18?type=pdf&amp;v=v6&amp;scorecard=1&amp;secret_key=BX%25IJ%24%2F65ieZ%29f6", 2628812)</f>
        <v>2628812</v>
      </c>
      <c r="C1100" s="2">
        <f>HYPERLINK("https://platform.v2.vetology.net/report/v/final/"&amp;2628812, 2628812)</f>
        <v>2628812</v>
      </c>
      <c r="D1100" s="2" t="s">
        <v>3253</v>
      </c>
      <c r="E1100" s="2" t="s">
        <v>1679</v>
      </c>
      <c r="F1100" s="2" t="s">
        <v>81</v>
      </c>
      <c r="G1100" s="2" t="s">
        <v>82</v>
      </c>
      <c r="H1100" s="2" t="s">
        <v>54</v>
      </c>
      <c r="I1100" s="2" t="s">
        <v>44</v>
      </c>
      <c r="J1100" s="2"/>
      <c r="K1100" s="2" t="s">
        <v>38</v>
      </c>
      <c r="L1100" s="2" t="s">
        <v>38</v>
      </c>
      <c r="M1100" s="2" t="s">
        <v>38</v>
      </c>
      <c r="N1100" s="2" t="s">
        <v>38</v>
      </c>
      <c r="O1100" s="2" t="s">
        <v>38</v>
      </c>
      <c r="P1100" s="2" t="s">
        <v>38</v>
      </c>
      <c r="Q1100" s="2" t="s">
        <v>38</v>
      </c>
      <c r="R1100" s="2" t="s">
        <v>38</v>
      </c>
      <c r="S1100" s="2" t="s">
        <v>38</v>
      </c>
      <c r="T1100" s="2" t="s">
        <v>38</v>
      </c>
      <c r="U1100" s="2" t="s">
        <v>38</v>
      </c>
      <c r="V1100" s="2" t="s">
        <v>38</v>
      </c>
      <c r="W1100" s="2" t="s">
        <v>38</v>
      </c>
      <c r="X1100" s="2" t="s">
        <v>38</v>
      </c>
      <c r="Y1100" s="2" t="s">
        <v>38</v>
      </c>
      <c r="Z1100" s="2" t="s">
        <v>38</v>
      </c>
      <c r="AA1100" s="2" t="s">
        <v>38</v>
      </c>
      <c r="AB1100" s="2" t="s">
        <v>38</v>
      </c>
      <c r="AC1100" s="2" t="s">
        <v>38</v>
      </c>
      <c r="AD1100" s="2" t="s">
        <v>38</v>
      </c>
      <c r="AE1100" s="2" t="s">
        <v>38</v>
      </c>
    </row>
    <row r="1101" spans="1:31" ht="409.5">
      <c r="A1101" s="2">
        <v>2628579</v>
      </c>
      <c r="B1101" s="2">
        <f>HYPERLINK("https://platform.v2.vetology.net/cases/2628579/screening-report/18?type=pdf&amp;v=v6&amp;scorecard=1&amp;secret_key=BX%25IJ%24%2F65ieZ%29f6", 2628579)</f>
        <v>2628579</v>
      </c>
      <c r="C1101" s="2">
        <f>HYPERLINK("https://platform.v2.vetology.net/report/v/final/"&amp;2628579, 2628579)</f>
        <v>2628579</v>
      </c>
      <c r="D1101" s="2" t="s">
        <v>3254</v>
      </c>
      <c r="E1101" s="2" t="s">
        <v>3255</v>
      </c>
      <c r="F1101" s="2" t="s">
        <v>81</v>
      </c>
      <c r="G1101" s="2" t="s">
        <v>82</v>
      </c>
      <c r="H1101" s="2" t="s">
        <v>3256</v>
      </c>
      <c r="I1101" s="2" t="s">
        <v>89</v>
      </c>
      <c r="J1101" s="2" t="s">
        <v>66</v>
      </c>
      <c r="K1101" s="2" t="s">
        <v>38</v>
      </c>
      <c r="L1101" s="2" t="s">
        <v>38</v>
      </c>
      <c r="M1101" s="2" t="s">
        <v>38</v>
      </c>
      <c r="N1101" s="2" t="s">
        <v>38</v>
      </c>
      <c r="O1101" s="2" t="s">
        <v>38</v>
      </c>
      <c r="P1101" s="2" t="s">
        <v>39</v>
      </c>
      <c r="Q1101" s="2" t="s">
        <v>38</v>
      </c>
      <c r="R1101" s="2" t="s">
        <v>38</v>
      </c>
      <c r="S1101" s="2" t="s">
        <v>38</v>
      </c>
      <c r="T1101" s="2" t="s">
        <v>38</v>
      </c>
      <c r="U1101" s="2" t="s">
        <v>38</v>
      </c>
      <c r="V1101" s="2" t="s">
        <v>38</v>
      </c>
      <c r="W1101" s="2" t="s">
        <v>38</v>
      </c>
      <c r="X1101" s="2" t="s">
        <v>38</v>
      </c>
      <c r="Y1101" s="2" t="s">
        <v>38</v>
      </c>
      <c r="Z1101" s="2" t="s">
        <v>38</v>
      </c>
      <c r="AA1101" s="2" t="s">
        <v>38</v>
      </c>
      <c r="AB1101" s="2" t="s">
        <v>39</v>
      </c>
      <c r="AC1101" s="2" t="s">
        <v>38</v>
      </c>
      <c r="AD1101" s="2" t="s">
        <v>38</v>
      </c>
      <c r="AE1101" s="2" t="s">
        <v>39</v>
      </c>
    </row>
    <row r="1102" spans="1:31" ht="409.5">
      <c r="A1102" s="2">
        <v>2628476</v>
      </c>
      <c r="B1102" s="2">
        <f>HYPERLINK("https://platform.v2.vetology.net/cases/2628476/screening-report/18?type=pdf&amp;v=v6&amp;scorecard=1&amp;secret_key=BX%25IJ%24%2F65ieZ%29f6", 2628476)</f>
        <v>2628476</v>
      </c>
      <c r="C1102" s="2">
        <f>HYPERLINK("https://platform.v2.vetology.net/report/v/final/"&amp;2628476, 2628476)</f>
        <v>2628476</v>
      </c>
      <c r="D1102" s="2" t="s">
        <v>3257</v>
      </c>
      <c r="E1102" s="2" t="s">
        <v>3258</v>
      </c>
      <c r="F1102" s="2" t="s">
        <v>81</v>
      </c>
      <c r="G1102" s="2" t="s">
        <v>268</v>
      </c>
      <c r="H1102" s="2" t="s">
        <v>1449</v>
      </c>
      <c r="I1102" s="2" t="s">
        <v>284</v>
      </c>
      <c r="J1102" s="2" t="s">
        <v>285</v>
      </c>
      <c r="K1102" s="2" t="s">
        <v>38</v>
      </c>
      <c r="L1102" s="2" t="s">
        <v>38</v>
      </c>
      <c r="M1102" s="2" t="s">
        <v>38</v>
      </c>
      <c r="N1102" s="2" t="s">
        <v>38</v>
      </c>
      <c r="O1102" s="2" t="s">
        <v>38</v>
      </c>
      <c r="P1102" s="2" t="s">
        <v>38</v>
      </c>
      <c r="Q1102" s="2" t="s">
        <v>38</v>
      </c>
      <c r="R1102" s="2" t="s">
        <v>38</v>
      </c>
      <c r="S1102" s="2" t="s">
        <v>38</v>
      </c>
      <c r="T1102" s="2" t="s">
        <v>39</v>
      </c>
      <c r="U1102" s="2" t="s">
        <v>38</v>
      </c>
      <c r="V1102" s="2" t="s">
        <v>39</v>
      </c>
      <c r="W1102" s="2" t="s">
        <v>38</v>
      </c>
      <c r="X1102" s="2" t="s">
        <v>38</v>
      </c>
      <c r="Y1102" s="2" t="s">
        <v>38</v>
      </c>
      <c r="Z1102" s="2" t="s">
        <v>38</v>
      </c>
      <c r="AA1102" s="2" t="s">
        <v>38</v>
      </c>
      <c r="AB1102" s="2" t="s">
        <v>38</v>
      </c>
      <c r="AC1102" s="2" t="s">
        <v>38</v>
      </c>
      <c r="AD1102" s="2" t="s">
        <v>38</v>
      </c>
      <c r="AE1102" s="2" t="s">
        <v>38</v>
      </c>
    </row>
    <row r="1103" spans="1:31" ht="409.5">
      <c r="A1103" s="2">
        <v>2628203</v>
      </c>
      <c r="B1103" s="2">
        <f>HYPERLINK("https://platform.v2.vetology.net/cases/2628203/screening-report/18?type=pdf&amp;v=v6&amp;scorecard=1&amp;secret_key=BX%25IJ%24%2F65ieZ%29f6", 2628203)</f>
        <v>2628203</v>
      </c>
      <c r="C1103" s="2">
        <f>HYPERLINK("https://platform.v2.vetology.net/report/v/final/"&amp;2628203, 2628203)</f>
        <v>2628203</v>
      </c>
      <c r="D1103" s="2" t="s">
        <v>414</v>
      </c>
      <c r="E1103" s="2" t="s">
        <v>415</v>
      </c>
      <c r="F1103" s="2" t="s">
        <v>3259</v>
      </c>
      <c r="G1103" s="2" t="s">
        <v>135</v>
      </c>
      <c r="H1103" s="2" t="s">
        <v>822</v>
      </c>
      <c r="I1103" s="2" t="s">
        <v>36</v>
      </c>
      <c r="J1103" s="2" t="s">
        <v>37</v>
      </c>
      <c r="K1103" s="2" t="s">
        <v>38</v>
      </c>
      <c r="L1103" s="2" t="s">
        <v>38</v>
      </c>
      <c r="M1103" s="2" t="s">
        <v>38</v>
      </c>
      <c r="N1103" s="2" t="s">
        <v>38</v>
      </c>
      <c r="O1103" s="2" t="s">
        <v>38</v>
      </c>
      <c r="P1103" s="2" t="s">
        <v>38</v>
      </c>
      <c r="Q1103" s="2" t="s">
        <v>38</v>
      </c>
      <c r="R1103" s="2" t="s">
        <v>38</v>
      </c>
      <c r="S1103" s="2" t="s">
        <v>38</v>
      </c>
      <c r="T1103" s="2" t="s">
        <v>38</v>
      </c>
      <c r="U1103" s="2" t="s">
        <v>38</v>
      </c>
      <c r="V1103" s="2" t="s">
        <v>38</v>
      </c>
      <c r="W1103" s="2" t="s">
        <v>38</v>
      </c>
      <c r="X1103" s="2" t="s">
        <v>38</v>
      </c>
      <c r="Y1103" s="2" t="s">
        <v>38</v>
      </c>
      <c r="Z1103" s="2" t="s">
        <v>38</v>
      </c>
      <c r="AA1103" s="2" t="s">
        <v>38</v>
      </c>
      <c r="AB1103" s="2" t="s">
        <v>38</v>
      </c>
      <c r="AC1103" s="2" t="s">
        <v>38</v>
      </c>
      <c r="AD1103" s="2" t="s">
        <v>38</v>
      </c>
      <c r="AE1103" s="2" t="s">
        <v>39</v>
      </c>
    </row>
    <row r="1104" spans="1:31" ht="409.5">
      <c r="A1104" s="2">
        <v>2627792</v>
      </c>
      <c r="B1104" s="2">
        <f>HYPERLINK("https://platform.v2.vetology.net/cases/2627792/screening-report/18?type=pdf&amp;v=v6&amp;scorecard=1&amp;secret_key=BX%25IJ%24%2F65ieZ%29f6", 2627792)</f>
        <v>2627792</v>
      </c>
      <c r="C1104" s="2">
        <f>HYPERLINK("https://platform.v2.vetology.net/report/v/final/"&amp;2627792, 2627792)</f>
        <v>2627792</v>
      </c>
      <c r="D1104" s="2" t="s">
        <v>3260</v>
      </c>
      <c r="E1104" s="2" t="s">
        <v>398</v>
      </c>
      <c r="F1104" s="2" t="s">
        <v>3261</v>
      </c>
      <c r="G1104" s="2" t="s">
        <v>58</v>
      </c>
      <c r="H1104" s="2" t="s">
        <v>136</v>
      </c>
      <c r="I1104" s="2" t="s">
        <v>137</v>
      </c>
      <c r="J1104" s="2" t="s">
        <v>66</v>
      </c>
      <c r="K1104" s="2" t="s">
        <v>38</v>
      </c>
      <c r="L1104" s="2" t="s">
        <v>38</v>
      </c>
      <c r="M1104" s="2" t="s">
        <v>38</v>
      </c>
      <c r="N1104" s="2" t="s">
        <v>38</v>
      </c>
      <c r="O1104" s="2" t="s">
        <v>38</v>
      </c>
      <c r="P1104" s="2" t="s">
        <v>38</v>
      </c>
      <c r="Q1104" s="2" t="s">
        <v>38</v>
      </c>
      <c r="R1104" s="2" t="s">
        <v>38</v>
      </c>
      <c r="S1104" s="2" t="s">
        <v>38</v>
      </c>
      <c r="T1104" s="2" t="s">
        <v>38</v>
      </c>
      <c r="U1104" s="2" t="s">
        <v>38</v>
      </c>
      <c r="V1104" s="2" t="s">
        <v>38</v>
      </c>
      <c r="W1104" s="2" t="s">
        <v>38</v>
      </c>
      <c r="X1104" s="2" t="s">
        <v>38</v>
      </c>
      <c r="Y1104" s="2" t="s">
        <v>38</v>
      </c>
      <c r="Z1104" s="2" t="s">
        <v>38</v>
      </c>
      <c r="AA1104" s="2" t="s">
        <v>38</v>
      </c>
      <c r="AB1104" s="2" t="s">
        <v>38</v>
      </c>
      <c r="AC1104" s="2" t="s">
        <v>38</v>
      </c>
      <c r="AD1104" s="2" t="s">
        <v>38</v>
      </c>
      <c r="AE1104" s="2" t="s">
        <v>39</v>
      </c>
    </row>
    <row r="1105" spans="1:31" ht="409.5">
      <c r="A1105" s="2">
        <v>2627656</v>
      </c>
      <c r="B1105" s="2">
        <f>HYPERLINK("https://platform.v2.vetology.net/cases/2627656/screening-report/18?type=pdf&amp;v=v6&amp;scorecard=1&amp;secret_key=BX%25IJ%24%2F65ieZ%29f6", 2627656)</f>
        <v>2627656</v>
      </c>
      <c r="C1105" s="2">
        <f>HYPERLINK("https://platform.v2.vetology.net/report/v/final/"&amp;2627656, 2627656)</f>
        <v>2627656</v>
      </c>
      <c r="D1105" s="2" t="s">
        <v>3262</v>
      </c>
      <c r="E1105" s="2" t="s">
        <v>3263</v>
      </c>
      <c r="F1105" s="2" t="s">
        <v>3264</v>
      </c>
      <c r="G1105" s="2" t="s">
        <v>63</v>
      </c>
      <c r="H1105" s="2" t="s">
        <v>3265</v>
      </c>
      <c r="I1105" s="2" t="s">
        <v>214</v>
      </c>
      <c r="J1105" s="2" t="s">
        <v>50</v>
      </c>
      <c r="K1105" s="2" t="s">
        <v>38</v>
      </c>
      <c r="L1105" s="2" t="s">
        <v>38</v>
      </c>
      <c r="M1105" s="2" t="s">
        <v>39</v>
      </c>
      <c r="N1105" s="2" t="s">
        <v>38</v>
      </c>
      <c r="O1105" s="2" t="s">
        <v>38</v>
      </c>
      <c r="P1105" s="2" t="s">
        <v>38</v>
      </c>
      <c r="Q1105" s="2" t="s">
        <v>39</v>
      </c>
      <c r="R1105" s="2" t="s">
        <v>38</v>
      </c>
      <c r="S1105" s="2" t="s">
        <v>38</v>
      </c>
      <c r="T1105" s="2" t="s">
        <v>38</v>
      </c>
      <c r="U1105" s="2" t="s">
        <v>38</v>
      </c>
      <c r="V1105" s="2" t="s">
        <v>38</v>
      </c>
      <c r="W1105" s="2" t="s">
        <v>38</v>
      </c>
      <c r="X1105" s="2" t="s">
        <v>39</v>
      </c>
      <c r="Y1105" s="2" t="s">
        <v>38</v>
      </c>
      <c r="Z1105" s="2" t="s">
        <v>38</v>
      </c>
      <c r="AA1105" s="2" t="s">
        <v>38</v>
      </c>
      <c r="AB1105" s="2" t="s">
        <v>39</v>
      </c>
      <c r="AC1105" s="2" t="s">
        <v>38</v>
      </c>
      <c r="AD1105" s="2" t="s">
        <v>38</v>
      </c>
      <c r="AE1105" s="2" t="s">
        <v>38</v>
      </c>
    </row>
    <row r="1106" spans="1:31" ht="409.5">
      <c r="A1106" s="2">
        <v>2627601</v>
      </c>
      <c r="B1106" s="2">
        <f>HYPERLINK("https://platform.v2.vetology.net/cases/2627601/screening-report/18?type=pdf&amp;v=v6&amp;scorecard=1&amp;secret_key=BX%25IJ%24%2F65ieZ%29f6", 2627601)</f>
        <v>2627601</v>
      </c>
      <c r="C1106" s="2">
        <f>HYPERLINK("https://platform.v2.vetology.net/report/v/final/"&amp;2627601, 2627601)</f>
        <v>2627601</v>
      </c>
      <c r="D1106" s="2" t="s">
        <v>3266</v>
      </c>
      <c r="E1106" s="2" t="s">
        <v>3267</v>
      </c>
      <c r="F1106" s="2" t="s">
        <v>3268</v>
      </c>
      <c r="G1106" s="2" t="s">
        <v>3269</v>
      </c>
      <c r="H1106" s="2" t="s">
        <v>94</v>
      </c>
      <c r="I1106" s="2" t="s">
        <v>89</v>
      </c>
      <c r="J1106" s="2" t="s">
        <v>66</v>
      </c>
      <c r="K1106" s="2" t="s">
        <v>38</v>
      </c>
      <c r="L1106" s="2" t="s">
        <v>38</v>
      </c>
      <c r="M1106" s="2" t="s">
        <v>39</v>
      </c>
      <c r="N1106" s="2" t="s">
        <v>38</v>
      </c>
      <c r="O1106" s="2" t="s">
        <v>38</v>
      </c>
      <c r="P1106" s="2" t="s">
        <v>38</v>
      </c>
      <c r="Q1106" s="2" t="s">
        <v>38</v>
      </c>
      <c r="R1106" s="2" t="s">
        <v>38</v>
      </c>
      <c r="S1106" s="2" t="s">
        <v>38</v>
      </c>
      <c r="T1106" s="2" t="s">
        <v>38</v>
      </c>
      <c r="U1106" s="2" t="s">
        <v>38</v>
      </c>
      <c r="V1106" s="2" t="s">
        <v>38</v>
      </c>
      <c r="W1106" s="2" t="s">
        <v>38</v>
      </c>
      <c r="X1106" s="2" t="s">
        <v>38</v>
      </c>
      <c r="Y1106" s="2" t="s">
        <v>38</v>
      </c>
      <c r="Z1106" s="2" t="s">
        <v>38</v>
      </c>
      <c r="AA1106" s="2" t="s">
        <v>38</v>
      </c>
      <c r="AB1106" s="2" t="s">
        <v>38</v>
      </c>
      <c r="AC1106" s="2" t="s">
        <v>38</v>
      </c>
      <c r="AD1106" s="2" t="s">
        <v>38</v>
      </c>
      <c r="AE1106" s="2" t="s">
        <v>38</v>
      </c>
    </row>
    <row r="1107" spans="1:31" ht="409.5">
      <c r="A1107" s="2">
        <v>2627527</v>
      </c>
      <c r="B1107" s="2">
        <f>HYPERLINK("https://platform.v2.vetology.net/cases/2627527/screening-report/18?type=pdf&amp;v=v6&amp;scorecard=1&amp;secret_key=BX%25IJ%24%2F65ieZ%29f6", 2627527)</f>
        <v>2627527</v>
      </c>
      <c r="C1107" s="2">
        <f>HYPERLINK("https://platform.v2.vetology.net/report/v/final/"&amp;2627527, 2627527)</f>
        <v>2627527</v>
      </c>
      <c r="D1107" s="2" t="s">
        <v>3270</v>
      </c>
      <c r="E1107" s="2" t="s">
        <v>3271</v>
      </c>
      <c r="F1107" s="2" t="s">
        <v>3272</v>
      </c>
      <c r="G1107" s="2" t="s">
        <v>3269</v>
      </c>
      <c r="H1107" s="2" t="s">
        <v>1416</v>
      </c>
      <c r="I1107" s="2" t="s">
        <v>284</v>
      </c>
      <c r="J1107" s="2" t="s">
        <v>285</v>
      </c>
      <c r="K1107" s="2" t="s">
        <v>38</v>
      </c>
      <c r="L1107" s="2" t="s">
        <v>38</v>
      </c>
      <c r="M1107" s="2" t="s">
        <v>39</v>
      </c>
      <c r="N1107" s="2" t="s">
        <v>38</v>
      </c>
      <c r="O1107" s="2" t="s">
        <v>38</v>
      </c>
      <c r="P1107" s="2" t="s">
        <v>38</v>
      </c>
      <c r="Q1107" s="2" t="s">
        <v>38</v>
      </c>
      <c r="R1107" s="2" t="s">
        <v>38</v>
      </c>
      <c r="S1107" s="2" t="s">
        <v>38</v>
      </c>
      <c r="T1107" s="2" t="s">
        <v>39</v>
      </c>
      <c r="U1107" s="2" t="s">
        <v>38</v>
      </c>
      <c r="V1107" s="2" t="s">
        <v>38</v>
      </c>
      <c r="W1107" s="2" t="s">
        <v>38</v>
      </c>
      <c r="X1107" s="2" t="s">
        <v>39</v>
      </c>
      <c r="Y1107" s="2" t="s">
        <v>38</v>
      </c>
      <c r="Z1107" s="2" t="s">
        <v>38</v>
      </c>
      <c r="AA1107" s="2" t="s">
        <v>38</v>
      </c>
      <c r="AB1107" s="2" t="s">
        <v>38</v>
      </c>
      <c r="AC1107" s="2" t="s">
        <v>38</v>
      </c>
      <c r="AD1107" s="2" t="s">
        <v>38</v>
      </c>
      <c r="AE1107" s="2" t="s">
        <v>38</v>
      </c>
    </row>
    <row r="1108" spans="1:31" ht="409.5">
      <c r="A1108" s="2">
        <v>2627516</v>
      </c>
      <c r="B1108" s="2">
        <f>HYPERLINK("https://platform.v2.vetology.net/cases/2627516/screening-report/18?type=pdf&amp;v=v6&amp;scorecard=1&amp;secret_key=BX%25IJ%24%2F65ieZ%29f6", 2627516)</f>
        <v>2627516</v>
      </c>
      <c r="C1108" s="2">
        <f>HYPERLINK("https://platform.v2.vetology.net/report/v/final/"&amp;2627516, 2627516)</f>
        <v>2627516</v>
      </c>
      <c r="D1108" s="2" t="s">
        <v>3273</v>
      </c>
      <c r="E1108" s="2" t="s">
        <v>3274</v>
      </c>
      <c r="F1108" s="2" t="s">
        <v>81</v>
      </c>
      <c r="G1108" s="2" t="s">
        <v>268</v>
      </c>
      <c r="H1108" s="2" t="s">
        <v>688</v>
      </c>
      <c r="I1108" s="2" t="s">
        <v>689</v>
      </c>
      <c r="J1108" s="2" t="s">
        <v>690</v>
      </c>
      <c r="K1108" s="2" t="s">
        <v>38</v>
      </c>
      <c r="L1108" s="2" t="s">
        <v>39</v>
      </c>
      <c r="M1108" s="2" t="s">
        <v>38</v>
      </c>
      <c r="N1108" s="2" t="s">
        <v>38</v>
      </c>
      <c r="O1108" s="2" t="s">
        <v>38</v>
      </c>
      <c r="P1108" s="2" t="s">
        <v>39</v>
      </c>
      <c r="Q1108" s="2" t="s">
        <v>38</v>
      </c>
      <c r="R1108" s="2" t="s">
        <v>38</v>
      </c>
      <c r="S1108" s="2" t="s">
        <v>38</v>
      </c>
      <c r="T1108" s="2" t="s">
        <v>39</v>
      </c>
      <c r="U1108" s="2" t="s">
        <v>39</v>
      </c>
      <c r="V1108" s="2" t="s">
        <v>38</v>
      </c>
      <c r="W1108" s="2" t="s">
        <v>38</v>
      </c>
      <c r="X1108" s="2" t="s">
        <v>38</v>
      </c>
      <c r="Y1108" s="2" t="s">
        <v>38</v>
      </c>
      <c r="Z1108" s="2" t="s">
        <v>38</v>
      </c>
      <c r="AA1108" s="2" t="s">
        <v>38</v>
      </c>
      <c r="AB1108" s="2" t="s">
        <v>39</v>
      </c>
      <c r="AC1108" s="2" t="s">
        <v>38</v>
      </c>
      <c r="AD1108" s="2" t="s">
        <v>38</v>
      </c>
      <c r="AE1108" s="2" t="s">
        <v>38</v>
      </c>
    </row>
    <row r="1109" spans="1:31" ht="409.5">
      <c r="A1109" s="2">
        <v>2626572</v>
      </c>
      <c r="B1109" s="2">
        <f>HYPERLINK("https://platform.v2.vetology.net/cases/2626572/screening-report/18?type=pdf&amp;v=v6&amp;scorecard=1&amp;secret_key=BX%25IJ%24%2F65ieZ%29f6", 2626572)</f>
        <v>2626572</v>
      </c>
      <c r="C1109" s="2">
        <f>HYPERLINK("https://platform.v2.vetology.net/report/v/final/"&amp;2626572, 2626572)</f>
        <v>2626572</v>
      </c>
      <c r="D1109" s="2" t="s">
        <v>3275</v>
      </c>
      <c r="E1109" s="2" t="s">
        <v>3276</v>
      </c>
      <c r="F1109" s="2" t="s">
        <v>3277</v>
      </c>
      <c r="G1109" s="2" t="s">
        <v>135</v>
      </c>
      <c r="H1109" s="2" t="s">
        <v>3278</v>
      </c>
      <c r="I1109" s="2" t="s">
        <v>124</v>
      </c>
      <c r="J1109" s="2" t="s">
        <v>125</v>
      </c>
      <c r="K1109" s="2" t="s">
        <v>38</v>
      </c>
      <c r="L1109" s="2" t="s">
        <v>38</v>
      </c>
      <c r="M1109" s="2" t="s">
        <v>39</v>
      </c>
      <c r="N1109" s="2" t="s">
        <v>38</v>
      </c>
      <c r="O1109" s="2" t="s">
        <v>38</v>
      </c>
      <c r="P1109" s="2" t="s">
        <v>38</v>
      </c>
      <c r="Q1109" s="2" t="s">
        <v>38</v>
      </c>
      <c r="R1109" s="2" t="s">
        <v>38</v>
      </c>
      <c r="S1109" s="2" t="s">
        <v>38</v>
      </c>
      <c r="T1109" s="2" t="s">
        <v>39</v>
      </c>
      <c r="U1109" s="2" t="s">
        <v>38</v>
      </c>
      <c r="V1109" s="2" t="s">
        <v>38</v>
      </c>
      <c r="W1109" s="2" t="s">
        <v>38</v>
      </c>
      <c r="X1109" s="2" t="s">
        <v>39</v>
      </c>
      <c r="Y1109" s="2" t="s">
        <v>38</v>
      </c>
      <c r="Z1109" s="2" t="s">
        <v>38</v>
      </c>
      <c r="AA1109" s="2" t="s">
        <v>38</v>
      </c>
      <c r="AB1109" s="2" t="s">
        <v>38</v>
      </c>
      <c r="AC1109" s="2" t="s">
        <v>38</v>
      </c>
      <c r="AD1109" s="2" t="s">
        <v>38</v>
      </c>
      <c r="AE1109" s="2" t="s">
        <v>38</v>
      </c>
    </row>
    <row r="1110" spans="1:31" ht="409.5">
      <c r="A1110" s="2">
        <v>2626465</v>
      </c>
      <c r="B1110" s="2">
        <f>HYPERLINK("https://platform.v2.vetology.net/cases/2626465/screening-report/18?type=pdf&amp;v=v6&amp;scorecard=1&amp;secret_key=BX%25IJ%24%2F65ieZ%29f6", 2626465)</f>
        <v>2626465</v>
      </c>
      <c r="C1110" s="2">
        <f>HYPERLINK("https://platform.v2.vetology.net/report/v/final/"&amp;2626465, 2626465)</f>
        <v>2626465</v>
      </c>
      <c r="D1110" s="2" t="s">
        <v>3279</v>
      </c>
      <c r="E1110" s="2" t="s">
        <v>3280</v>
      </c>
      <c r="F1110" s="2" t="s">
        <v>3281</v>
      </c>
      <c r="G1110" s="2" t="s">
        <v>150</v>
      </c>
      <c r="H1110" s="2" t="s">
        <v>1180</v>
      </c>
      <c r="I1110" s="2" t="s">
        <v>158</v>
      </c>
      <c r="J1110" s="2" t="s">
        <v>50</v>
      </c>
      <c r="K1110" s="2" t="s">
        <v>38</v>
      </c>
      <c r="L1110" s="2" t="s">
        <v>39</v>
      </c>
      <c r="M1110" s="2" t="s">
        <v>38</v>
      </c>
      <c r="N1110" s="2" t="s">
        <v>38</v>
      </c>
      <c r="O1110" s="2" t="s">
        <v>38</v>
      </c>
      <c r="P1110" s="2" t="s">
        <v>38</v>
      </c>
      <c r="Q1110" s="2" t="s">
        <v>38</v>
      </c>
      <c r="R1110" s="2" t="s">
        <v>38</v>
      </c>
      <c r="S1110" s="2" t="s">
        <v>38</v>
      </c>
      <c r="T1110" s="2" t="s">
        <v>39</v>
      </c>
      <c r="U1110" s="2" t="s">
        <v>38</v>
      </c>
      <c r="V1110" s="2" t="s">
        <v>38</v>
      </c>
      <c r="W1110" s="2" t="s">
        <v>38</v>
      </c>
      <c r="X1110" s="2" t="s">
        <v>38</v>
      </c>
      <c r="Y1110" s="2" t="s">
        <v>38</v>
      </c>
      <c r="Z1110" s="2" t="s">
        <v>38</v>
      </c>
      <c r="AA1110" s="2" t="s">
        <v>38</v>
      </c>
      <c r="AB1110" s="2" t="s">
        <v>39</v>
      </c>
      <c r="AC1110" s="2" t="s">
        <v>38</v>
      </c>
      <c r="AD1110" s="2" t="s">
        <v>38</v>
      </c>
      <c r="AE1110" s="2" t="s">
        <v>38</v>
      </c>
    </row>
    <row r="1111" spans="1:31" ht="409.5">
      <c r="A1111" s="2">
        <v>2626253</v>
      </c>
      <c r="B1111" s="2">
        <f>HYPERLINK("https://platform.v2.vetology.net/cases/2626253/screening-report/18?type=pdf&amp;v=v6&amp;scorecard=1&amp;secret_key=BX%25IJ%24%2F65ieZ%29f6", 2626253)</f>
        <v>2626253</v>
      </c>
      <c r="C1111" s="2">
        <f>HYPERLINK("https://platform.v2.vetology.net/report/v/final/"&amp;2626253, 2626253)</f>
        <v>2626253</v>
      </c>
      <c r="D1111" s="2" t="s">
        <v>1256</v>
      </c>
      <c r="E1111" s="2" t="s">
        <v>3282</v>
      </c>
      <c r="F1111" s="2" t="s">
        <v>3283</v>
      </c>
      <c r="G1111" s="2" t="s">
        <v>135</v>
      </c>
      <c r="H1111" s="2" t="s">
        <v>3284</v>
      </c>
      <c r="I1111" s="2" t="s">
        <v>264</v>
      </c>
      <c r="J1111" s="2" t="s">
        <v>265</v>
      </c>
      <c r="K1111" s="2" t="s">
        <v>38</v>
      </c>
      <c r="L1111" s="2" t="s">
        <v>39</v>
      </c>
      <c r="M1111" s="2" t="s">
        <v>39</v>
      </c>
      <c r="N1111" s="2" t="s">
        <v>38</v>
      </c>
      <c r="O1111" s="2" t="s">
        <v>39</v>
      </c>
      <c r="P1111" s="2" t="s">
        <v>39</v>
      </c>
      <c r="Q1111" s="2" t="s">
        <v>38</v>
      </c>
      <c r="R1111" s="2" t="s">
        <v>38</v>
      </c>
      <c r="S1111" s="2" t="s">
        <v>39</v>
      </c>
      <c r="T1111" s="2" t="s">
        <v>39</v>
      </c>
      <c r="U1111" s="2" t="s">
        <v>39</v>
      </c>
      <c r="V1111" s="2" t="s">
        <v>39</v>
      </c>
      <c r="W1111" s="2" t="s">
        <v>38</v>
      </c>
      <c r="X1111" s="2" t="s">
        <v>39</v>
      </c>
      <c r="Y1111" s="2" t="s">
        <v>38</v>
      </c>
      <c r="Z1111" s="2" t="s">
        <v>38</v>
      </c>
      <c r="AA1111" s="2" t="s">
        <v>38</v>
      </c>
      <c r="AB1111" s="2" t="s">
        <v>38</v>
      </c>
      <c r="AC1111" s="2" t="s">
        <v>38</v>
      </c>
      <c r="AD1111" s="2" t="s">
        <v>38</v>
      </c>
      <c r="AE1111" s="2" t="s">
        <v>38</v>
      </c>
    </row>
    <row r="1112" spans="1:31" ht="409.5">
      <c r="A1112" s="2">
        <v>2626115</v>
      </c>
      <c r="B1112" s="2">
        <f>HYPERLINK("https://platform.v2.vetology.net/cases/2626115/screening-report/18?type=pdf&amp;v=v6&amp;scorecard=1&amp;secret_key=BX%25IJ%24%2F65ieZ%29f6", 2626115)</f>
        <v>2626115</v>
      </c>
      <c r="C1112" s="2">
        <f>HYPERLINK("https://platform.v2.vetology.net/report/v/final/"&amp;2626115, 2626115)</f>
        <v>2626115</v>
      </c>
      <c r="D1112" s="2" t="s">
        <v>3285</v>
      </c>
      <c r="E1112" s="2" t="s">
        <v>3286</v>
      </c>
      <c r="F1112" s="2" t="s">
        <v>1901</v>
      </c>
      <c r="G1112" s="2" t="s">
        <v>150</v>
      </c>
      <c r="H1112" s="2" t="s">
        <v>183</v>
      </c>
      <c r="I1112" s="2" t="s">
        <v>184</v>
      </c>
      <c r="J1112" s="2" t="s">
        <v>185</v>
      </c>
      <c r="K1112" s="2" t="s">
        <v>38</v>
      </c>
      <c r="L1112" s="2" t="s">
        <v>39</v>
      </c>
      <c r="M1112" s="2" t="s">
        <v>38</v>
      </c>
      <c r="N1112" s="2" t="s">
        <v>38</v>
      </c>
      <c r="O1112" s="2" t="s">
        <v>38</v>
      </c>
      <c r="P1112" s="2" t="s">
        <v>38</v>
      </c>
      <c r="Q1112" s="2" t="s">
        <v>38</v>
      </c>
      <c r="R1112" s="2" t="s">
        <v>38</v>
      </c>
      <c r="S1112" s="2" t="s">
        <v>38</v>
      </c>
      <c r="T1112" s="2" t="s">
        <v>38</v>
      </c>
      <c r="U1112" s="2" t="s">
        <v>38</v>
      </c>
      <c r="V1112" s="2" t="s">
        <v>38</v>
      </c>
      <c r="W1112" s="2" t="s">
        <v>38</v>
      </c>
      <c r="X1112" s="2" t="s">
        <v>39</v>
      </c>
      <c r="Y1112" s="2" t="s">
        <v>38</v>
      </c>
      <c r="Z1112" s="2" t="s">
        <v>38</v>
      </c>
      <c r="AA1112" s="2" t="s">
        <v>38</v>
      </c>
      <c r="AB1112" s="2" t="s">
        <v>38</v>
      </c>
      <c r="AC1112" s="2" t="s">
        <v>38</v>
      </c>
      <c r="AD1112" s="2" t="s">
        <v>38</v>
      </c>
      <c r="AE1112" s="2" t="s">
        <v>38</v>
      </c>
    </row>
    <row r="1113" spans="1:31" ht="409.5">
      <c r="A1113" s="2">
        <v>2626081</v>
      </c>
      <c r="B1113" s="2">
        <f>HYPERLINK("https://platform.v2.vetology.net/cases/2626081/screening-report/18?type=pdf&amp;v=v6&amp;scorecard=1&amp;secret_key=BX%25IJ%24%2F65ieZ%29f6", 2626081)</f>
        <v>2626081</v>
      </c>
      <c r="C1113" s="2">
        <f>HYPERLINK("https://platform.v2.vetology.net/report/v/final/"&amp;2626081, 2626081)</f>
        <v>2626081</v>
      </c>
      <c r="D1113" s="2" t="s">
        <v>3287</v>
      </c>
      <c r="E1113" s="2" t="s">
        <v>3288</v>
      </c>
      <c r="F1113" s="2" t="s">
        <v>3289</v>
      </c>
      <c r="G1113" s="2" t="s">
        <v>135</v>
      </c>
      <c r="H1113" s="2" t="s">
        <v>78</v>
      </c>
      <c r="I1113" s="2" t="s">
        <v>44</v>
      </c>
      <c r="J1113" s="2"/>
      <c r="K1113" s="2" t="s">
        <v>38</v>
      </c>
      <c r="L1113" s="2" t="s">
        <v>38</v>
      </c>
      <c r="M1113" s="2" t="s">
        <v>38</v>
      </c>
      <c r="N1113" s="2" t="s">
        <v>38</v>
      </c>
      <c r="O1113" s="2" t="s">
        <v>38</v>
      </c>
      <c r="P1113" s="2" t="s">
        <v>38</v>
      </c>
      <c r="Q1113" s="2" t="s">
        <v>38</v>
      </c>
      <c r="R1113" s="2" t="s">
        <v>38</v>
      </c>
      <c r="S1113" s="2" t="s">
        <v>38</v>
      </c>
      <c r="T1113" s="2" t="s">
        <v>38</v>
      </c>
      <c r="U1113" s="2" t="s">
        <v>38</v>
      </c>
      <c r="V1113" s="2" t="s">
        <v>38</v>
      </c>
      <c r="W1113" s="2" t="s">
        <v>38</v>
      </c>
      <c r="X1113" s="2" t="s">
        <v>38</v>
      </c>
      <c r="Y1113" s="2" t="s">
        <v>38</v>
      </c>
      <c r="Z1113" s="2" t="s">
        <v>38</v>
      </c>
      <c r="AA1113" s="2" t="s">
        <v>38</v>
      </c>
      <c r="AB1113" s="2" t="s">
        <v>38</v>
      </c>
      <c r="AC1113" s="2" t="s">
        <v>38</v>
      </c>
      <c r="AD1113" s="2" t="s">
        <v>38</v>
      </c>
      <c r="AE1113" s="2" t="s">
        <v>38</v>
      </c>
    </row>
    <row r="1114" spans="1:31" ht="409.5">
      <c r="A1114" s="2">
        <v>2625913</v>
      </c>
      <c r="B1114" s="2">
        <f>HYPERLINK("https://platform.v2.vetology.net/cases/2625913/screening-report/18?type=pdf&amp;v=v6&amp;scorecard=1&amp;secret_key=BX%25IJ%24%2F65ieZ%29f6", 2625913)</f>
        <v>2625913</v>
      </c>
      <c r="C1114" s="2">
        <f>HYPERLINK("https://platform.v2.vetology.net/report/v/final/"&amp;2625913, 2625913)</f>
        <v>2625913</v>
      </c>
      <c r="D1114" s="2" t="s">
        <v>3290</v>
      </c>
      <c r="E1114" s="2" t="s">
        <v>3291</v>
      </c>
      <c r="F1114" s="2" t="s">
        <v>3292</v>
      </c>
      <c r="G1114" s="2" t="s">
        <v>34</v>
      </c>
      <c r="H1114" s="2" t="s">
        <v>54</v>
      </c>
      <c r="I1114" s="2" t="s">
        <v>44</v>
      </c>
      <c r="J1114" s="2"/>
      <c r="K1114" s="2" t="s">
        <v>38</v>
      </c>
      <c r="L1114" s="2" t="s">
        <v>38</v>
      </c>
      <c r="M1114" s="2" t="s">
        <v>38</v>
      </c>
      <c r="N1114" s="2" t="s">
        <v>38</v>
      </c>
      <c r="O1114" s="2" t="s">
        <v>38</v>
      </c>
      <c r="P1114" s="2" t="s">
        <v>38</v>
      </c>
      <c r="Q1114" s="2" t="s">
        <v>38</v>
      </c>
      <c r="R1114" s="2" t="s">
        <v>38</v>
      </c>
      <c r="S1114" s="2" t="s">
        <v>38</v>
      </c>
      <c r="T1114" s="2" t="s">
        <v>38</v>
      </c>
      <c r="U1114" s="2" t="s">
        <v>38</v>
      </c>
      <c r="V1114" s="2" t="s">
        <v>38</v>
      </c>
      <c r="W1114" s="2" t="s">
        <v>38</v>
      </c>
      <c r="X1114" s="2" t="s">
        <v>38</v>
      </c>
      <c r="Y1114" s="2" t="s">
        <v>38</v>
      </c>
      <c r="Z1114" s="2" t="s">
        <v>38</v>
      </c>
      <c r="AA1114" s="2" t="s">
        <v>38</v>
      </c>
      <c r="AB1114" s="2" t="s">
        <v>39</v>
      </c>
      <c r="AC1114" s="2" t="s">
        <v>38</v>
      </c>
      <c r="AD1114" s="2" t="s">
        <v>38</v>
      </c>
      <c r="AE1114" s="2" t="s">
        <v>39</v>
      </c>
    </row>
    <row r="1115" spans="1:31" ht="409.5">
      <c r="A1115" s="2">
        <v>2625910</v>
      </c>
      <c r="B1115" s="2">
        <f>HYPERLINK("https://platform.v2.vetology.net/cases/2625910/screening-report/18?type=pdf&amp;v=v6&amp;scorecard=1&amp;secret_key=BX%25IJ%24%2F65ieZ%29f6", 2625910)</f>
        <v>2625910</v>
      </c>
      <c r="C1115" s="2">
        <f>HYPERLINK("https://platform.v2.vetology.net/report/v/final/"&amp;2625910, 2625910)</f>
        <v>2625910</v>
      </c>
      <c r="D1115" s="2" t="s">
        <v>3293</v>
      </c>
      <c r="E1115" s="2" t="s">
        <v>3294</v>
      </c>
      <c r="F1115" s="2" t="s">
        <v>2571</v>
      </c>
      <c r="G1115" s="2" t="s">
        <v>150</v>
      </c>
      <c r="H1115" s="2" t="s">
        <v>851</v>
      </c>
      <c r="I1115" s="2" t="s">
        <v>214</v>
      </c>
      <c r="J1115" s="2" t="s">
        <v>50</v>
      </c>
      <c r="K1115" s="2" t="s">
        <v>38</v>
      </c>
      <c r="L1115" s="2" t="s">
        <v>39</v>
      </c>
      <c r="M1115" s="2" t="s">
        <v>38</v>
      </c>
      <c r="N1115" s="2" t="s">
        <v>38</v>
      </c>
      <c r="O1115" s="2" t="s">
        <v>38</v>
      </c>
      <c r="P1115" s="2" t="s">
        <v>39</v>
      </c>
      <c r="Q1115" s="2" t="s">
        <v>38</v>
      </c>
      <c r="R1115" s="2" t="s">
        <v>38</v>
      </c>
      <c r="S1115" s="2" t="s">
        <v>38</v>
      </c>
      <c r="T1115" s="2" t="s">
        <v>38</v>
      </c>
      <c r="U1115" s="2" t="s">
        <v>38</v>
      </c>
      <c r="V1115" s="2" t="s">
        <v>38</v>
      </c>
      <c r="W1115" s="2" t="s">
        <v>38</v>
      </c>
      <c r="X1115" s="2" t="s">
        <v>38</v>
      </c>
      <c r="Y1115" s="2" t="s">
        <v>38</v>
      </c>
      <c r="Z1115" s="2" t="s">
        <v>38</v>
      </c>
      <c r="AA1115" s="2" t="s">
        <v>38</v>
      </c>
      <c r="AB1115" s="2" t="s">
        <v>39</v>
      </c>
      <c r="AC1115" s="2" t="s">
        <v>39</v>
      </c>
      <c r="AD1115" s="2" t="s">
        <v>38</v>
      </c>
      <c r="AE1115" s="2" t="s">
        <v>38</v>
      </c>
    </row>
    <row r="1116" spans="1:31" ht="409.5">
      <c r="A1116" s="2">
        <v>2625484</v>
      </c>
      <c r="B1116" s="2">
        <f>HYPERLINK("https://platform.v2.vetology.net/cases/2625484/screening-report/18?type=pdf&amp;v=v6&amp;scorecard=1&amp;secret_key=BX%25IJ%24%2F65ieZ%29f6", 2625484)</f>
        <v>2625484</v>
      </c>
      <c r="C1116" s="2">
        <f>HYPERLINK("https://platform.v2.vetology.net/report/v/final/"&amp;2625484, 2625484)</f>
        <v>2625484</v>
      </c>
      <c r="D1116" s="2" t="s">
        <v>3295</v>
      </c>
      <c r="E1116" s="2" t="s">
        <v>3296</v>
      </c>
      <c r="F1116" s="2" t="s">
        <v>81</v>
      </c>
      <c r="G1116" s="2" t="s">
        <v>150</v>
      </c>
      <c r="H1116" s="2" t="s">
        <v>978</v>
      </c>
      <c r="I1116" s="2" t="s">
        <v>284</v>
      </c>
      <c r="J1116" s="2" t="s">
        <v>285</v>
      </c>
      <c r="K1116" s="2" t="s">
        <v>38</v>
      </c>
      <c r="L1116" s="2" t="s">
        <v>38</v>
      </c>
      <c r="M1116" s="2" t="s">
        <v>38</v>
      </c>
      <c r="N1116" s="2" t="s">
        <v>38</v>
      </c>
      <c r="O1116" s="2" t="s">
        <v>38</v>
      </c>
      <c r="P1116" s="2" t="s">
        <v>38</v>
      </c>
      <c r="Q1116" s="2" t="s">
        <v>38</v>
      </c>
      <c r="R1116" s="2" t="s">
        <v>38</v>
      </c>
      <c r="S1116" s="2" t="s">
        <v>38</v>
      </c>
      <c r="T1116" s="2" t="s">
        <v>39</v>
      </c>
      <c r="U1116" s="2" t="s">
        <v>38</v>
      </c>
      <c r="V1116" s="2" t="s">
        <v>39</v>
      </c>
      <c r="W1116" s="2" t="s">
        <v>38</v>
      </c>
      <c r="X1116" s="2" t="s">
        <v>39</v>
      </c>
      <c r="Y1116" s="2" t="s">
        <v>38</v>
      </c>
      <c r="Z1116" s="2" t="s">
        <v>38</v>
      </c>
      <c r="AA1116" s="2" t="s">
        <v>38</v>
      </c>
      <c r="AB1116" s="2" t="s">
        <v>39</v>
      </c>
      <c r="AC1116" s="2" t="s">
        <v>38</v>
      </c>
      <c r="AD1116" s="2" t="s">
        <v>38</v>
      </c>
      <c r="AE1116" s="2" t="s">
        <v>38</v>
      </c>
    </row>
    <row r="1117" spans="1:31" ht="409.5">
      <c r="A1117" s="2">
        <v>2625308</v>
      </c>
      <c r="B1117" s="2">
        <f>HYPERLINK("https://platform.v2.vetology.net/cases/2625308/screening-report/18?type=pdf&amp;v=v6&amp;scorecard=1&amp;secret_key=BX%25IJ%24%2F65ieZ%29f6", 2625308)</f>
        <v>2625308</v>
      </c>
      <c r="C1117" s="2">
        <f>HYPERLINK("https://platform.v2.vetology.net/report/v/final/"&amp;2625308, 2625308)</f>
        <v>2625308</v>
      </c>
      <c r="D1117" s="2" t="s">
        <v>849</v>
      </c>
      <c r="E1117" s="2" t="s">
        <v>850</v>
      </c>
      <c r="F1117" s="2"/>
      <c r="G1117" s="2" t="s">
        <v>150</v>
      </c>
      <c r="H1117" s="2" t="s">
        <v>54</v>
      </c>
      <c r="I1117" s="2" t="s">
        <v>44</v>
      </c>
      <c r="J1117" s="2"/>
      <c r="K1117" s="2" t="s">
        <v>38</v>
      </c>
      <c r="L1117" s="2" t="s">
        <v>39</v>
      </c>
      <c r="M1117" s="2" t="s">
        <v>39</v>
      </c>
      <c r="N1117" s="2" t="s">
        <v>38</v>
      </c>
      <c r="O1117" s="2" t="s">
        <v>38</v>
      </c>
      <c r="P1117" s="2" t="s">
        <v>38</v>
      </c>
      <c r="Q1117" s="2" t="s">
        <v>38</v>
      </c>
      <c r="R1117" s="2" t="s">
        <v>38</v>
      </c>
      <c r="S1117" s="2" t="s">
        <v>38</v>
      </c>
      <c r="T1117" s="2" t="s">
        <v>39</v>
      </c>
      <c r="U1117" s="2" t="s">
        <v>38</v>
      </c>
      <c r="V1117" s="2" t="s">
        <v>39</v>
      </c>
      <c r="W1117" s="2" t="s">
        <v>38</v>
      </c>
      <c r="X1117" s="2" t="s">
        <v>39</v>
      </c>
      <c r="Y1117" s="2" t="s">
        <v>38</v>
      </c>
      <c r="Z1117" s="2" t="s">
        <v>38</v>
      </c>
      <c r="AA1117" s="2" t="s">
        <v>38</v>
      </c>
      <c r="AB1117" s="2" t="s">
        <v>39</v>
      </c>
      <c r="AC1117" s="2" t="s">
        <v>38</v>
      </c>
      <c r="AD1117" s="2" t="s">
        <v>38</v>
      </c>
      <c r="AE1117" s="2" t="s">
        <v>38</v>
      </c>
    </row>
    <row r="1118" spans="1:31" ht="409.5">
      <c r="A1118" s="2">
        <v>2625296</v>
      </c>
      <c r="B1118" s="2">
        <f>HYPERLINK("https://platform.v2.vetology.net/cases/2625296/screening-report/18?type=pdf&amp;v=v6&amp;scorecard=1&amp;secret_key=BX%25IJ%24%2F65ieZ%29f6", 2625296)</f>
        <v>2625296</v>
      </c>
      <c r="C1118" s="2">
        <f>HYPERLINK("https://platform.v2.vetology.net/report/v/final/"&amp;2625296, 2625296)</f>
        <v>2625296</v>
      </c>
      <c r="D1118" s="2" t="s">
        <v>3297</v>
      </c>
      <c r="E1118" s="2" t="s">
        <v>3298</v>
      </c>
      <c r="F1118" s="2" t="s">
        <v>1751</v>
      </c>
      <c r="G1118" s="2" t="s">
        <v>135</v>
      </c>
      <c r="H1118" s="2" t="s">
        <v>3299</v>
      </c>
      <c r="I1118" s="2" t="s">
        <v>966</v>
      </c>
      <c r="J1118" s="2" t="s">
        <v>66</v>
      </c>
      <c r="K1118" s="2" t="s">
        <v>38</v>
      </c>
      <c r="L1118" s="2" t="s">
        <v>39</v>
      </c>
      <c r="M1118" s="2" t="s">
        <v>38</v>
      </c>
      <c r="N1118" s="2" t="s">
        <v>38</v>
      </c>
      <c r="O1118" s="2" t="s">
        <v>39</v>
      </c>
      <c r="P1118" s="2" t="s">
        <v>38</v>
      </c>
      <c r="Q1118" s="2" t="s">
        <v>39</v>
      </c>
      <c r="R1118" s="2" t="s">
        <v>38</v>
      </c>
      <c r="S1118" s="2" t="s">
        <v>39</v>
      </c>
      <c r="T1118" s="2" t="s">
        <v>39</v>
      </c>
      <c r="U1118" s="2" t="s">
        <v>38</v>
      </c>
      <c r="V1118" s="2" t="s">
        <v>38</v>
      </c>
      <c r="W1118" s="2" t="s">
        <v>38</v>
      </c>
      <c r="X1118" s="2" t="s">
        <v>39</v>
      </c>
      <c r="Y1118" s="2" t="s">
        <v>38</v>
      </c>
      <c r="Z1118" s="2" t="s">
        <v>38</v>
      </c>
      <c r="AA1118" s="2" t="s">
        <v>38</v>
      </c>
      <c r="AB1118" s="2" t="s">
        <v>38</v>
      </c>
      <c r="AC1118" s="2" t="s">
        <v>39</v>
      </c>
      <c r="AD1118" s="2" t="s">
        <v>38</v>
      </c>
      <c r="AE1118" s="2" t="s">
        <v>38</v>
      </c>
    </row>
    <row r="1119" spans="1:31" ht="409.5">
      <c r="A1119" s="2">
        <v>2625172</v>
      </c>
      <c r="B1119" s="2">
        <f>HYPERLINK("https://platform.v2.vetology.net/cases/2625172/screening-report/18?type=pdf&amp;v=v6&amp;scorecard=1&amp;secret_key=BX%25IJ%24%2F65ieZ%29f6", 2625172)</f>
        <v>2625172</v>
      </c>
      <c r="C1119" s="2">
        <f>HYPERLINK("https://platform.v2.vetology.net/report/v/final/"&amp;2625172, 2625172)</f>
        <v>2625172</v>
      </c>
      <c r="D1119" s="2" t="s">
        <v>3300</v>
      </c>
      <c r="E1119" s="2" t="s">
        <v>3301</v>
      </c>
      <c r="F1119" s="2" t="s">
        <v>149</v>
      </c>
      <c r="G1119" s="2" t="s">
        <v>150</v>
      </c>
      <c r="H1119" s="2" t="s">
        <v>1947</v>
      </c>
      <c r="I1119" s="2" t="s">
        <v>49</v>
      </c>
      <c r="J1119" s="2" t="s">
        <v>50</v>
      </c>
      <c r="K1119" s="2" t="s">
        <v>39</v>
      </c>
      <c r="L1119" s="2" t="s">
        <v>39</v>
      </c>
      <c r="M1119" s="2" t="s">
        <v>39</v>
      </c>
      <c r="N1119" s="2" t="s">
        <v>38</v>
      </c>
      <c r="O1119" s="2" t="s">
        <v>39</v>
      </c>
      <c r="P1119" s="2" t="s">
        <v>39</v>
      </c>
      <c r="Q1119" s="2" t="s">
        <v>38</v>
      </c>
      <c r="R1119" s="2" t="s">
        <v>38</v>
      </c>
      <c r="S1119" s="2" t="s">
        <v>39</v>
      </c>
      <c r="T1119" s="2" t="s">
        <v>39</v>
      </c>
      <c r="U1119" s="2" t="s">
        <v>39</v>
      </c>
      <c r="V1119" s="2" t="s">
        <v>39</v>
      </c>
      <c r="W1119" s="2" t="s">
        <v>38</v>
      </c>
      <c r="X1119" s="2" t="s">
        <v>39</v>
      </c>
      <c r="Y1119" s="2" t="s">
        <v>38</v>
      </c>
      <c r="Z1119" s="2" t="s">
        <v>39</v>
      </c>
      <c r="AA1119" s="2" t="s">
        <v>38</v>
      </c>
      <c r="AB1119" s="2" t="s">
        <v>39</v>
      </c>
      <c r="AC1119" s="2" t="s">
        <v>39</v>
      </c>
      <c r="AD1119" s="2" t="s">
        <v>38</v>
      </c>
      <c r="AE1119" s="2" t="s">
        <v>38</v>
      </c>
    </row>
    <row r="1120" spans="1:31" ht="409.5">
      <c r="A1120" s="2">
        <v>2625017</v>
      </c>
      <c r="B1120" s="2">
        <f>HYPERLINK("https://platform.v2.vetology.net/cases/2625017/screening-report/18?type=pdf&amp;v=v6&amp;scorecard=1&amp;secret_key=BX%25IJ%24%2F65ieZ%29f6", 2625017)</f>
        <v>2625017</v>
      </c>
      <c r="C1120" s="2">
        <f>HYPERLINK("https://platform.v2.vetology.net/report/v/final/"&amp;2625017, 2625017)</f>
        <v>2625017</v>
      </c>
      <c r="D1120" s="2" t="s">
        <v>229</v>
      </c>
      <c r="E1120" s="2" t="s">
        <v>148</v>
      </c>
      <c r="F1120" s="2" t="s">
        <v>3302</v>
      </c>
      <c r="G1120" s="2" t="s">
        <v>150</v>
      </c>
      <c r="H1120" s="2" t="s">
        <v>607</v>
      </c>
      <c r="I1120" s="2" t="s">
        <v>137</v>
      </c>
      <c r="J1120" s="2" t="s">
        <v>66</v>
      </c>
      <c r="K1120" s="2" t="s">
        <v>38</v>
      </c>
      <c r="L1120" s="2" t="s">
        <v>39</v>
      </c>
      <c r="M1120" s="2" t="s">
        <v>39</v>
      </c>
      <c r="N1120" s="2" t="s">
        <v>38</v>
      </c>
      <c r="O1120" s="2" t="s">
        <v>38</v>
      </c>
      <c r="P1120" s="2" t="s">
        <v>38</v>
      </c>
      <c r="Q1120" s="2" t="s">
        <v>38</v>
      </c>
      <c r="R1120" s="2" t="s">
        <v>38</v>
      </c>
      <c r="S1120" s="2" t="s">
        <v>38</v>
      </c>
      <c r="T1120" s="2" t="s">
        <v>38</v>
      </c>
      <c r="U1120" s="2" t="s">
        <v>38</v>
      </c>
      <c r="V1120" s="2" t="s">
        <v>38</v>
      </c>
      <c r="W1120" s="2" t="s">
        <v>38</v>
      </c>
      <c r="X1120" s="2" t="s">
        <v>39</v>
      </c>
      <c r="Y1120" s="2" t="s">
        <v>38</v>
      </c>
      <c r="Z1120" s="2" t="s">
        <v>38</v>
      </c>
      <c r="AA1120" s="2" t="s">
        <v>38</v>
      </c>
      <c r="AB1120" s="2" t="s">
        <v>39</v>
      </c>
      <c r="AC1120" s="2" t="s">
        <v>39</v>
      </c>
      <c r="AD1120" s="2" t="s">
        <v>38</v>
      </c>
      <c r="AE1120" s="2" t="s">
        <v>38</v>
      </c>
    </row>
    <row r="1121" spans="1:31" ht="409.5">
      <c r="A1121" s="2">
        <v>2624681</v>
      </c>
      <c r="B1121" s="2">
        <f>HYPERLINK("https://platform.v2.vetology.net/cases/2624681/screening-report/18?type=pdf&amp;v=v6&amp;scorecard=1&amp;secret_key=BX%25IJ%24%2F65ieZ%29f6", 2624681)</f>
        <v>2624681</v>
      </c>
      <c r="C1121" s="2">
        <f>HYPERLINK("https://platform.v2.vetology.net/report/v/final/"&amp;2624681, 2624681)</f>
        <v>2624681</v>
      </c>
      <c r="D1121" s="2" t="s">
        <v>3303</v>
      </c>
      <c r="E1121" s="2" t="s">
        <v>3304</v>
      </c>
      <c r="F1121" s="2" t="s">
        <v>3305</v>
      </c>
      <c r="G1121" s="2" t="s">
        <v>464</v>
      </c>
      <c r="H1121" s="2" t="s">
        <v>189</v>
      </c>
      <c r="I1121" s="2" t="s">
        <v>190</v>
      </c>
      <c r="J1121" s="2" t="s">
        <v>112</v>
      </c>
      <c r="K1121" s="2" t="s">
        <v>39</v>
      </c>
      <c r="L1121" s="2" t="s">
        <v>39</v>
      </c>
      <c r="M1121" s="2" t="s">
        <v>39</v>
      </c>
      <c r="N1121" s="2" t="s">
        <v>39</v>
      </c>
      <c r="O1121" s="2" t="s">
        <v>39</v>
      </c>
      <c r="P1121" s="2" t="s">
        <v>39</v>
      </c>
      <c r="Q1121" s="2" t="s">
        <v>39</v>
      </c>
      <c r="R1121" s="2" t="s">
        <v>39</v>
      </c>
      <c r="S1121" s="2" t="s">
        <v>39</v>
      </c>
      <c r="T1121" s="2" t="s">
        <v>39</v>
      </c>
      <c r="U1121" s="2" t="s">
        <v>39</v>
      </c>
      <c r="V1121" s="2" t="s">
        <v>39</v>
      </c>
      <c r="W1121" s="2" t="s">
        <v>39</v>
      </c>
      <c r="X1121" s="2" t="s">
        <v>39</v>
      </c>
      <c r="Y1121" s="2" t="s">
        <v>39</v>
      </c>
      <c r="Z1121" s="2" t="s">
        <v>39</v>
      </c>
      <c r="AA1121" s="2" t="s">
        <v>39</v>
      </c>
      <c r="AB1121" s="2" t="s">
        <v>39</v>
      </c>
      <c r="AC1121" s="2" t="s">
        <v>39</v>
      </c>
      <c r="AD1121" s="2" t="s">
        <v>39</v>
      </c>
      <c r="AE1121" s="2" t="s">
        <v>39</v>
      </c>
    </row>
    <row r="1122" spans="1:31" ht="409.5">
      <c r="A1122" s="2">
        <v>2624289</v>
      </c>
      <c r="B1122" s="2">
        <f>HYPERLINK("https://platform.v2.vetology.net/cases/2624289/screening-report/18?type=pdf&amp;v=v6&amp;scorecard=1&amp;secret_key=BX%25IJ%24%2F65ieZ%29f6", 2624289)</f>
        <v>2624289</v>
      </c>
      <c r="C1122" s="2">
        <f>HYPERLINK("https://platform.v2.vetology.net/report/v/final/"&amp;2624289, 2624289)</f>
        <v>2624289</v>
      </c>
      <c r="D1122" s="2" t="s">
        <v>3306</v>
      </c>
      <c r="E1122" s="2" t="s">
        <v>796</v>
      </c>
      <c r="F1122" s="2" t="s">
        <v>3307</v>
      </c>
      <c r="G1122" s="2" t="s">
        <v>135</v>
      </c>
      <c r="H1122" s="2" t="s">
        <v>3308</v>
      </c>
      <c r="I1122" s="2" t="s">
        <v>407</v>
      </c>
      <c r="J1122" s="2" t="s">
        <v>66</v>
      </c>
      <c r="K1122" s="2" t="s">
        <v>38</v>
      </c>
      <c r="L1122" s="2" t="s">
        <v>38</v>
      </c>
      <c r="M1122" s="2" t="s">
        <v>39</v>
      </c>
      <c r="N1122" s="2" t="s">
        <v>38</v>
      </c>
      <c r="O1122" s="2" t="s">
        <v>39</v>
      </c>
      <c r="P1122" s="2" t="s">
        <v>39</v>
      </c>
      <c r="Q1122" s="2" t="s">
        <v>38</v>
      </c>
      <c r="R1122" s="2" t="s">
        <v>38</v>
      </c>
      <c r="S1122" s="2" t="s">
        <v>39</v>
      </c>
      <c r="T1122" s="2" t="s">
        <v>38</v>
      </c>
      <c r="U1122" s="2" t="s">
        <v>38</v>
      </c>
      <c r="V1122" s="2" t="s">
        <v>38</v>
      </c>
      <c r="W1122" s="2" t="s">
        <v>38</v>
      </c>
      <c r="X1122" s="2" t="s">
        <v>38</v>
      </c>
      <c r="Y1122" s="2" t="s">
        <v>38</v>
      </c>
      <c r="Z1122" s="2" t="s">
        <v>38</v>
      </c>
      <c r="AA1122" s="2" t="s">
        <v>38</v>
      </c>
      <c r="AB1122" s="2" t="s">
        <v>39</v>
      </c>
      <c r="AC1122" s="2" t="s">
        <v>39</v>
      </c>
      <c r="AD1122" s="2" t="s">
        <v>38</v>
      </c>
      <c r="AE1122" s="2" t="s">
        <v>39</v>
      </c>
    </row>
    <row r="1123" spans="1:31" ht="409.5">
      <c r="A1123" s="2">
        <v>2624155</v>
      </c>
      <c r="B1123" s="2">
        <f>HYPERLINK("https://platform.v2.vetology.net/cases/2624155/screening-report/18?type=pdf&amp;v=v6&amp;scorecard=1&amp;secret_key=BX%25IJ%24%2F65ieZ%29f6", 2624155)</f>
        <v>2624155</v>
      </c>
      <c r="C1123" s="2">
        <f>HYPERLINK("https://platform.v2.vetology.net/report/v/final/"&amp;2624155, 2624155)</f>
        <v>2624155</v>
      </c>
      <c r="D1123" s="2" t="s">
        <v>3309</v>
      </c>
      <c r="E1123" s="2" t="s">
        <v>3310</v>
      </c>
      <c r="F1123" s="2" t="s">
        <v>3311</v>
      </c>
      <c r="G1123" s="2" t="s">
        <v>575</v>
      </c>
      <c r="H1123" s="2" t="s">
        <v>3312</v>
      </c>
      <c r="I1123" s="2" t="s">
        <v>119</v>
      </c>
      <c r="J1123" s="2" t="s">
        <v>112</v>
      </c>
      <c r="K1123" s="2" t="s">
        <v>38</v>
      </c>
      <c r="L1123" s="2" t="s">
        <v>39</v>
      </c>
      <c r="M1123" s="2" t="s">
        <v>39</v>
      </c>
      <c r="N1123" s="2" t="s">
        <v>39</v>
      </c>
      <c r="O1123" s="2" t="s">
        <v>39</v>
      </c>
      <c r="P1123" s="2" t="s">
        <v>39</v>
      </c>
      <c r="Q1123" s="2" t="s">
        <v>39</v>
      </c>
      <c r="R1123" s="2" t="s">
        <v>39</v>
      </c>
      <c r="S1123" s="2" t="s">
        <v>39</v>
      </c>
      <c r="T1123" s="2" t="s">
        <v>39</v>
      </c>
      <c r="U1123" s="2" t="s">
        <v>39</v>
      </c>
      <c r="V1123" s="2" t="s">
        <v>39</v>
      </c>
      <c r="W1123" s="2" t="s">
        <v>39</v>
      </c>
      <c r="X1123" s="2" t="s">
        <v>39</v>
      </c>
      <c r="Y1123" s="2" t="s">
        <v>39</v>
      </c>
      <c r="Z1123" s="2" t="s">
        <v>39</v>
      </c>
      <c r="AA1123" s="2" t="s">
        <v>39</v>
      </c>
      <c r="AB1123" s="2" t="s">
        <v>39</v>
      </c>
      <c r="AC1123" s="2" t="s">
        <v>39</v>
      </c>
      <c r="AD1123" s="2" t="s">
        <v>38</v>
      </c>
      <c r="AE1123" s="2" t="s">
        <v>39</v>
      </c>
    </row>
    <row r="1124" spans="1:31" ht="409.5">
      <c r="A1124" s="2">
        <v>2624131</v>
      </c>
      <c r="B1124" s="2">
        <f>HYPERLINK("https://platform.v2.vetology.net/cases/2624131/screening-report/18?type=pdf&amp;v=v6&amp;scorecard=1&amp;secret_key=BX%25IJ%24%2F65ieZ%29f6", 2624131)</f>
        <v>2624131</v>
      </c>
      <c r="C1124" s="2">
        <f>HYPERLINK("https://platform.v2.vetology.net/report/v/final/"&amp;2624131, 2624131)</f>
        <v>2624131</v>
      </c>
      <c r="D1124" s="2" t="s">
        <v>3313</v>
      </c>
      <c r="E1124" s="2" t="s">
        <v>3314</v>
      </c>
      <c r="F1124" s="2" t="s">
        <v>3315</v>
      </c>
      <c r="G1124" s="2" t="s">
        <v>93</v>
      </c>
      <c r="H1124" s="2" t="s">
        <v>54</v>
      </c>
      <c r="I1124" s="2" t="s">
        <v>44</v>
      </c>
      <c r="J1124" s="2"/>
      <c r="K1124" s="2" t="s">
        <v>38</v>
      </c>
      <c r="L1124" s="2" t="s">
        <v>38</v>
      </c>
      <c r="M1124" s="2" t="s">
        <v>39</v>
      </c>
      <c r="N1124" s="2" t="s">
        <v>38</v>
      </c>
      <c r="O1124" s="2" t="s">
        <v>38</v>
      </c>
      <c r="P1124" s="2" t="s">
        <v>38</v>
      </c>
      <c r="Q1124" s="2" t="s">
        <v>38</v>
      </c>
      <c r="R1124" s="2" t="s">
        <v>38</v>
      </c>
      <c r="S1124" s="2" t="s">
        <v>38</v>
      </c>
      <c r="T1124" s="2" t="s">
        <v>38</v>
      </c>
      <c r="U1124" s="2" t="s">
        <v>38</v>
      </c>
      <c r="V1124" s="2" t="s">
        <v>38</v>
      </c>
      <c r="W1124" s="2" t="s">
        <v>38</v>
      </c>
      <c r="X1124" s="2" t="s">
        <v>38</v>
      </c>
      <c r="Y1124" s="2" t="s">
        <v>38</v>
      </c>
      <c r="Z1124" s="2" t="s">
        <v>38</v>
      </c>
      <c r="AA1124" s="2" t="s">
        <v>38</v>
      </c>
      <c r="AB1124" s="2" t="s">
        <v>38</v>
      </c>
      <c r="AC1124" s="2" t="s">
        <v>38</v>
      </c>
      <c r="AD1124" s="2" t="s">
        <v>38</v>
      </c>
      <c r="AE1124" s="2" t="s">
        <v>38</v>
      </c>
    </row>
    <row r="1125" spans="1:31" ht="409.5">
      <c r="A1125" s="2">
        <v>2623927</v>
      </c>
      <c r="B1125" s="2">
        <f>HYPERLINK("https://platform.v2.vetology.net/cases/2623927/screening-report/18?type=pdf&amp;v=v6&amp;scorecard=1&amp;secret_key=BX%25IJ%24%2F65ieZ%29f6", 2623927)</f>
        <v>2623927</v>
      </c>
      <c r="C1125" s="2">
        <f>HYPERLINK("https://platform.v2.vetology.net/report/v/final/"&amp;2623927, 2623927)</f>
        <v>2623927</v>
      </c>
      <c r="D1125" s="2" t="s">
        <v>3316</v>
      </c>
      <c r="E1125" s="2" t="s">
        <v>3317</v>
      </c>
      <c r="F1125" s="2" t="s">
        <v>3318</v>
      </c>
      <c r="G1125" s="2" t="s">
        <v>70</v>
      </c>
      <c r="H1125" s="2" t="s">
        <v>860</v>
      </c>
      <c r="I1125" s="2" t="s">
        <v>145</v>
      </c>
      <c r="J1125" s="2" t="s">
        <v>146</v>
      </c>
      <c r="K1125" s="2" t="s">
        <v>38</v>
      </c>
      <c r="L1125" s="2" t="s">
        <v>38</v>
      </c>
      <c r="M1125" s="2" t="s">
        <v>38</v>
      </c>
      <c r="N1125" s="2" t="s">
        <v>38</v>
      </c>
      <c r="O1125" s="2" t="s">
        <v>38</v>
      </c>
      <c r="P1125" s="2" t="s">
        <v>38</v>
      </c>
      <c r="Q1125" s="2" t="s">
        <v>39</v>
      </c>
      <c r="R1125" s="2" t="s">
        <v>38</v>
      </c>
      <c r="S1125" s="2" t="s">
        <v>38</v>
      </c>
      <c r="T1125" s="2" t="s">
        <v>38</v>
      </c>
      <c r="U1125" s="2" t="s">
        <v>38</v>
      </c>
      <c r="V1125" s="2" t="s">
        <v>38</v>
      </c>
      <c r="W1125" s="2" t="s">
        <v>38</v>
      </c>
      <c r="X1125" s="2" t="s">
        <v>38</v>
      </c>
      <c r="Y1125" s="2" t="s">
        <v>38</v>
      </c>
      <c r="Z1125" s="2" t="s">
        <v>38</v>
      </c>
      <c r="AA1125" s="2" t="s">
        <v>38</v>
      </c>
      <c r="AB1125" s="2" t="s">
        <v>39</v>
      </c>
      <c r="AC1125" s="2" t="s">
        <v>39</v>
      </c>
      <c r="AD1125" s="2" t="s">
        <v>38</v>
      </c>
      <c r="AE1125" s="2" t="s">
        <v>38</v>
      </c>
    </row>
    <row r="1126" spans="1:31" ht="409.5">
      <c r="A1126" s="2">
        <v>2623912</v>
      </c>
      <c r="B1126" s="2">
        <f>HYPERLINK("https://platform.v2.vetology.net/cases/2623912/screening-report/18?type=pdf&amp;v=v6&amp;scorecard=1&amp;secret_key=BX%25IJ%24%2F65ieZ%29f6", 2623912)</f>
        <v>2623912</v>
      </c>
      <c r="C1126" s="2">
        <f>HYPERLINK("https://platform.v2.vetology.net/report/v/final/"&amp;2623912, 2623912)</f>
        <v>2623912</v>
      </c>
      <c r="D1126" s="2" t="s">
        <v>3319</v>
      </c>
      <c r="E1126" s="2" t="s">
        <v>3320</v>
      </c>
      <c r="F1126" s="2" t="s">
        <v>3321</v>
      </c>
      <c r="G1126" s="2" t="s">
        <v>464</v>
      </c>
      <c r="H1126" s="2" t="s">
        <v>54</v>
      </c>
      <c r="I1126" s="2" t="s">
        <v>199</v>
      </c>
      <c r="J1126" s="2"/>
      <c r="K1126" s="2" t="s">
        <v>38</v>
      </c>
      <c r="L1126" s="2" t="s">
        <v>39</v>
      </c>
      <c r="M1126" s="2" t="s">
        <v>39</v>
      </c>
      <c r="N1126" s="2" t="s">
        <v>38</v>
      </c>
      <c r="O1126" s="2" t="s">
        <v>38</v>
      </c>
      <c r="P1126" s="2" t="s">
        <v>38</v>
      </c>
      <c r="Q1126" s="2" t="s">
        <v>39</v>
      </c>
      <c r="R1126" s="2" t="s">
        <v>38</v>
      </c>
      <c r="S1126" s="2" t="s">
        <v>38</v>
      </c>
      <c r="T1126" s="2" t="s">
        <v>38</v>
      </c>
      <c r="U1126" s="2" t="s">
        <v>38</v>
      </c>
      <c r="V1126" s="2" t="s">
        <v>38</v>
      </c>
      <c r="W1126" s="2" t="s">
        <v>38</v>
      </c>
      <c r="X1126" s="2" t="s">
        <v>38</v>
      </c>
      <c r="Y1126" s="2" t="s">
        <v>38</v>
      </c>
      <c r="Z1126" s="2" t="s">
        <v>38</v>
      </c>
      <c r="AA1126" s="2" t="s">
        <v>38</v>
      </c>
      <c r="AB1126" s="2" t="s">
        <v>39</v>
      </c>
      <c r="AC1126" s="2" t="s">
        <v>38</v>
      </c>
      <c r="AD1126" s="2" t="s">
        <v>38</v>
      </c>
      <c r="AE1126" s="2" t="s">
        <v>38</v>
      </c>
    </row>
    <row r="1127" spans="1:31" ht="409.5">
      <c r="A1127" s="2">
        <v>2623514</v>
      </c>
      <c r="B1127" s="2">
        <f>HYPERLINK("https://platform.v2.vetology.net/cases/2623514/screening-report/18?type=pdf&amp;v=v6&amp;scorecard=1&amp;secret_key=BX%25IJ%24%2F65ieZ%29f6", 2623514)</f>
        <v>2623514</v>
      </c>
      <c r="C1127" s="2">
        <f>HYPERLINK("https://platform.v2.vetology.net/report/v/final/"&amp;2623514, 2623514)</f>
        <v>2623514</v>
      </c>
      <c r="D1127" s="2" t="s">
        <v>3322</v>
      </c>
      <c r="E1127" s="2" t="s">
        <v>3323</v>
      </c>
      <c r="F1127" s="2" t="s">
        <v>3324</v>
      </c>
      <c r="G1127" s="2" t="s">
        <v>464</v>
      </c>
      <c r="H1127" s="2" t="s">
        <v>54</v>
      </c>
      <c r="I1127" s="2" t="s">
        <v>44</v>
      </c>
      <c r="J1127" s="2" t="s">
        <v>106</v>
      </c>
      <c r="K1127" s="2" t="s">
        <v>38</v>
      </c>
      <c r="L1127" s="2" t="s">
        <v>39</v>
      </c>
      <c r="M1127" s="2" t="s">
        <v>38</v>
      </c>
      <c r="N1127" s="2" t="s">
        <v>38</v>
      </c>
      <c r="O1127" s="2" t="s">
        <v>38</v>
      </c>
      <c r="P1127" s="2" t="s">
        <v>39</v>
      </c>
      <c r="Q1127" s="2" t="s">
        <v>38</v>
      </c>
      <c r="R1127" s="2" t="s">
        <v>38</v>
      </c>
      <c r="S1127" s="2" t="s">
        <v>38</v>
      </c>
      <c r="T1127" s="2" t="s">
        <v>38</v>
      </c>
      <c r="U1127" s="2" t="s">
        <v>38</v>
      </c>
      <c r="V1127" s="2" t="s">
        <v>38</v>
      </c>
      <c r="W1127" s="2" t="s">
        <v>38</v>
      </c>
      <c r="X1127" s="2" t="s">
        <v>38</v>
      </c>
      <c r="Y1127" s="2" t="s">
        <v>38</v>
      </c>
      <c r="Z1127" s="2" t="s">
        <v>38</v>
      </c>
      <c r="AA1127" s="2" t="s">
        <v>38</v>
      </c>
      <c r="AB1127" s="2" t="s">
        <v>38</v>
      </c>
      <c r="AC1127" s="2" t="s">
        <v>38</v>
      </c>
      <c r="AD1127" s="2" t="s">
        <v>38</v>
      </c>
      <c r="AE1127" s="2" t="s">
        <v>38</v>
      </c>
    </row>
    <row r="1128" spans="1:31" ht="409.5">
      <c r="A1128" s="2">
        <v>2623455</v>
      </c>
      <c r="B1128" s="2">
        <f>HYPERLINK("https://platform.v2.vetology.net/cases/2623455/screening-report/18?type=pdf&amp;v=v6&amp;scorecard=1&amp;secret_key=BX%25IJ%24%2F65ieZ%29f6", 2623455)</f>
        <v>2623455</v>
      </c>
      <c r="C1128" s="2">
        <f>HYPERLINK("https://platform.v2.vetology.net/report/v/final/"&amp;2623455, 2623455)</f>
        <v>2623455</v>
      </c>
      <c r="D1128" s="2" t="s">
        <v>3325</v>
      </c>
      <c r="E1128" s="2" t="s">
        <v>3326</v>
      </c>
      <c r="F1128" s="2" t="s">
        <v>3327</v>
      </c>
      <c r="G1128" s="2" t="s">
        <v>464</v>
      </c>
      <c r="H1128" s="2" t="s">
        <v>3328</v>
      </c>
      <c r="I1128" s="2" t="s">
        <v>3329</v>
      </c>
      <c r="J1128" s="2" t="s">
        <v>710</v>
      </c>
      <c r="K1128" s="2" t="s">
        <v>38</v>
      </c>
      <c r="L1128" s="2" t="s">
        <v>38</v>
      </c>
      <c r="M1128" s="2" t="s">
        <v>39</v>
      </c>
      <c r="N1128" s="2" t="s">
        <v>39</v>
      </c>
      <c r="O1128" s="2" t="s">
        <v>39</v>
      </c>
      <c r="P1128" s="2" t="s">
        <v>39</v>
      </c>
      <c r="Q1128" s="2" t="s">
        <v>38</v>
      </c>
      <c r="R1128" s="2" t="s">
        <v>38</v>
      </c>
      <c r="S1128" s="2" t="s">
        <v>39</v>
      </c>
      <c r="T1128" s="2" t="s">
        <v>39</v>
      </c>
      <c r="U1128" s="2" t="s">
        <v>38</v>
      </c>
      <c r="V1128" s="2" t="s">
        <v>39</v>
      </c>
      <c r="W1128" s="2" t="s">
        <v>38</v>
      </c>
      <c r="X1128" s="2" t="s">
        <v>39</v>
      </c>
      <c r="Y1128" s="2" t="s">
        <v>38</v>
      </c>
      <c r="Z1128" s="2" t="s">
        <v>39</v>
      </c>
      <c r="AA1128" s="2" t="s">
        <v>39</v>
      </c>
      <c r="AB1128" s="2" t="s">
        <v>39</v>
      </c>
      <c r="AC1128" s="2" t="s">
        <v>39</v>
      </c>
      <c r="AD1128" s="2" t="s">
        <v>38</v>
      </c>
      <c r="AE1128" s="2" t="s">
        <v>39</v>
      </c>
    </row>
    <row r="1129" spans="1:31" ht="409.5">
      <c r="A1129" s="2">
        <v>2623311</v>
      </c>
      <c r="B1129" s="2">
        <f>HYPERLINK("https://platform.v2.vetology.net/cases/2623311/screening-report/18?type=pdf&amp;v=v6&amp;scorecard=1&amp;secret_key=BX%25IJ%24%2F65ieZ%29f6", 2623311)</f>
        <v>2623311</v>
      </c>
      <c r="C1129" s="2">
        <f>HYPERLINK("https://platform.v2.vetology.net/report/v/final/"&amp;2623311, 2623311)</f>
        <v>2623311</v>
      </c>
      <c r="D1129" s="2" t="s">
        <v>3330</v>
      </c>
      <c r="E1129" s="2" t="s">
        <v>911</v>
      </c>
      <c r="F1129" s="2"/>
      <c r="G1129" s="2" t="s">
        <v>150</v>
      </c>
      <c r="H1129" s="2" t="s">
        <v>43</v>
      </c>
      <c r="I1129" s="2" t="s">
        <v>44</v>
      </c>
      <c r="J1129" s="2"/>
      <c r="K1129" s="2" t="s">
        <v>38</v>
      </c>
      <c r="L1129" s="2" t="s">
        <v>39</v>
      </c>
      <c r="M1129" s="2" t="s">
        <v>38</v>
      </c>
      <c r="N1129" s="2" t="s">
        <v>38</v>
      </c>
      <c r="O1129" s="2" t="s">
        <v>38</v>
      </c>
      <c r="P1129" s="2" t="s">
        <v>39</v>
      </c>
      <c r="Q1129" s="2" t="s">
        <v>38</v>
      </c>
      <c r="R1129" s="2" t="s">
        <v>38</v>
      </c>
      <c r="S1129" s="2" t="s">
        <v>38</v>
      </c>
      <c r="T1129" s="2" t="s">
        <v>38</v>
      </c>
      <c r="U1129" s="2" t="s">
        <v>38</v>
      </c>
      <c r="V1129" s="2" t="s">
        <v>38</v>
      </c>
      <c r="W1129" s="2" t="s">
        <v>38</v>
      </c>
      <c r="X1129" s="2" t="s">
        <v>38</v>
      </c>
      <c r="Y1129" s="2" t="s">
        <v>38</v>
      </c>
      <c r="Z1129" s="2" t="s">
        <v>38</v>
      </c>
      <c r="AA1129" s="2" t="s">
        <v>38</v>
      </c>
      <c r="AB1129" s="2" t="s">
        <v>38</v>
      </c>
      <c r="AC1129" s="2" t="s">
        <v>38</v>
      </c>
      <c r="AD1129" s="2" t="s">
        <v>38</v>
      </c>
      <c r="AE1129" s="2" t="s">
        <v>38</v>
      </c>
    </row>
    <row r="1130" spans="1:31" ht="409.5">
      <c r="A1130" s="2">
        <v>2623243</v>
      </c>
      <c r="B1130" s="2">
        <f>HYPERLINK("https://platform.v2.vetology.net/cases/2623243/screening-report/18?type=pdf&amp;v=v6&amp;scorecard=1&amp;secret_key=BX%25IJ%24%2F65ieZ%29f6", 2623243)</f>
        <v>2623243</v>
      </c>
      <c r="C1130" s="2">
        <f>HYPERLINK("https://platform.v2.vetology.net/report/v/final/"&amp;2623243, 2623243)</f>
        <v>2623243</v>
      </c>
      <c r="D1130" s="2" t="s">
        <v>3331</v>
      </c>
      <c r="E1130" s="2" t="s">
        <v>3332</v>
      </c>
      <c r="F1130" s="2" t="s">
        <v>81</v>
      </c>
      <c r="G1130" s="2" t="s">
        <v>268</v>
      </c>
      <c r="H1130" s="2" t="s">
        <v>786</v>
      </c>
      <c r="I1130" s="2" t="s">
        <v>36</v>
      </c>
      <c r="J1130" s="2" t="s">
        <v>37</v>
      </c>
      <c r="K1130" s="2" t="s">
        <v>38</v>
      </c>
      <c r="L1130" s="2" t="s">
        <v>38</v>
      </c>
      <c r="M1130" s="2" t="s">
        <v>38</v>
      </c>
      <c r="N1130" s="2" t="s">
        <v>38</v>
      </c>
      <c r="O1130" s="2" t="s">
        <v>38</v>
      </c>
      <c r="P1130" s="2" t="s">
        <v>38</v>
      </c>
      <c r="Q1130" s="2" t="s">
        <v>38</v>
      </c>
      <c r="R1130" s="2" t="s">
        <v>38</v>
      </c>
      <c r="S1130" s="2" t="s">
        <v>38</v>
      </c>
      <c r="T1130" s="2" t="s">
        <v>39</v>
      </c>
      <c r="U1130" s="2" t="s">
        <v>38</v>
      </c>
      <c r="V1130" s="2" t="s">
        <v>39</v>
      </c>
      <c r="W1130" s="2" t="s">
        <v>38</v>
      </c>
      <c r="X1130" s="2" t="s">
        <v>39</v>
      </c>
      <c r="Y1130" s="2" t="s">
        <v>38</v>
      </c>
      <c r="Z1130" s="2" t="s">
        <v>38</v>
      </c>
      <c r="AA1130" s="2" t="s">
        <v>38</v>
      </c>
      <c r="AB1130" s="2" t="s">
        <v>38</v>
      </c>
      <c r="AC1130" s="2" t="s">
        <v>38</v>
      </c>
      <c r="AD1130" s="2" t="s">
        <v>38</v>
      </c>
      <c r="AE1130" s="2" t="s">
        <v>38</v>
      </c>
    </row>
    <row r="1131" spans="1:31" ht="409.5">
      <c r="A1131" s="2">
        <v>2623201</v>
      </c>
      <c r="B1131" s="2">
        <f>HYPERLINK("https://platform.v2.vetology.net/cases/2623201/screening-report/18?type=pdf&amp;v=v6&amp;scorecard=1&amp;secret_key=BX%25IJ%24%2F65ieZ%29f6", 2623201)</f>
        <v>2623201</v>
      </c>
      <c r="C1131" s="2">
        <f>HYPERLINK("https://platform.v2.vetology.net/report/v/final/"&amp;2623201, 2623201)</f>
        <v>2623201</v>
      </c>
      <c r="D1131" s="2" t="s">
        <v>3333</v>
      </c>
      <c r="E1131" s="2" t="s">
        <v>3334</v>
      </c>
      <c r="F1131" s="2" t="s">
        <v>3335</v>
      </c>
      <c r="G1131" s="2" t="s">
        <v>82</v>
      </c>
      <c r="H1131" s="2" t="s">
        <v>54</v>
      </c>
      <c r="I1131" s="2" t="s">
        <v>44</v>
      </c>
      <c r="J1131" s="2"/>
      <c r="K1131" s="2" t="s">
        <v>38</v>
      </c>
      <c r="L1131" s="2" t="s">
        <v>39</v>
      </c>
      <c r="M1131" s="2" t="s">
        <v>39</v>
      </c>
      <c r="N1131" s="2" t="s">
        <v>38</v>
      </c>
      <c r="O1131" s="2" t="s">
        <v>38</v>
      </c>
      <c r="P1131" s="2" t="s">
        <v>38</v>
      </c>
      <c r="Q1131" s="2" t="s">
        <v>38</v>
      </c>
      <c r="R1131" s="2" t="s">
        <v>38</v>
      </c>
      <c r="S1131" s="2" t="s">
        <v>38</v>
      </c>
      <c r="T1131" s="2" t="s">
        <v>38</v>
      </c>
      <c r="U1131" s="2" t="s">
        <v>38</v>
      </c>
      <c r="V1131" s="2" t="s">
        <v>38</v>
      </c>
      <c r="W1131" s="2" t="s">
        <v>38</v>
      </c>
      <c r="X1131" s="2" t="s">
        <v>38</v>
      </c>
      <c r="Y1131" s="2" t="s">
        <v>38</v>
      </c>
      <c r="Z1131" s="2" t="s">
        <v>38</v>
      </c>
      <c r="AA1131" s="2" t="s">
        <v>38</v>
      </c>
      <c r="AB1131" s="2" t="s">
        <v>39</v>
      </c>
      <c r="AC1131" s="2" t="s">
        <v>38</v>
      </c>
      <c r="AD1131" s="2" t="s">
        <v>38</v>
      </c>
      <c r="AE1131" s="2" t="s">
        <v>38</v>
      </c>
    </row>
    <row r="1132" spans="1:31" ht="409.5">
      <c r="A1132" s="2">
        <v>2623169</v>
      </c>
      <c r="B1132" s="2">
        <f>HYPERLINK("https://platform.v2.vetology.net/cases/2623169/screening-report/18?type=pdf&amp;v=v6&amp;scorecard=1&amp;secret_key=BX%25IJ%24%2F65ieZ%29f6", 2623169)</f>
        <v>2623169</v>
      </c>
      <c r="C1132" s="2">
        <f>HYPERLINK("https://platform.v2.vetology.net/report/v/final/"&amp;2623169, 2623169)</f>
        <v>2623169</v>
      </c>
      <c r="D1132" s="2" t="s">
        <v>3336</v>
      </c>
      <c r="E1132" s="2" t="s">
        <v>3337</v>
      </c>
      <c r="F1132" s="2" t="s">
        <v>3338</v>
      </c>
      <c r="G1132" s="2" t="s">
        <v>63</v>
      </c>
      <c r="H1132" s="2" t="s">
        <v>360</v>
      </c>
      <c r="I1132" s="2" t="s">
        <v>284</v>
      </c>
      <c r="J1132" s="2" t="s">
        <v>285</v>
      </c>
      <c r="K1132" s="2" t="s">
        <v>38</v>
      </c>
      <c r="L1132" s="2" t="s">
        <v>38</v>
      </c>
      <c r="M1132" s="2" t="s">
        <v>38</v>
      </c>
      <c r="N1132" s="2" t="s">
        <v>38</v>
      </c>
      <c r="O1132" s="2" t="s">
        <v>38</v>
      </c>
      <c r="P1132" s="2" t="s">
        <v>38</v>
      </c>
      <c r="Q1132" s="2" t="s">
        <v>38</v>
      </c>
      <c r="R1132" s="2" t="s">
        <v>38</v>
      </c>
      <c r="S1132" s="2" t="s">
        <v>38</v>
      </c>
      <c r="T1132" s="2" t="s">
        <v>38</v>
      </c>
      <c r="U1132" s="2" t="s">
        <v>38</v>
      </c>
      <c r="V1132" s="2" t="s">
        <v>39</v>
      </c>
      <c r="W1132" s="2" t="s">
        <v>38</v>
      </c>
      <c r="X1132" s="2" t="s">
        <v>39</v>
      </c>
      <c r="Y1132" s="2" t="s">
        <v>38</v>
      </c>
      <c r="Z1132" s="2" t="s">
        <v>38</v>
      </c>
      <c r="AA1132" s="2" t="s">
        <v>38</v>
      </c>
      <c r="AB1132" s="2" t="s">
        <v>38</v>
      </c>
      <c r="AC1132" s="2" t="s">
        <v>38</v>
      </c>
      <c r="AD1132" s="2" t="s">
        <v>38</v>
      </c>
      <c r="AE1132" s="2" t="s">
        <v>38</v>
      </c>
    </row>
    <row r="1133" spans="1:31" ht="409.5">
      <c r="A1133" s="2">
        <v>2622843</v>
      </c>
      <c r="B1133" s="2">
        <f>HYPERLINK("https://platform.v2.vetology.net/cases/2622843/screening-report/18?type=pdf&amp;v=v6&amp;scorecard=1&amp;secret_key=BX%25IJ%24%2F65ieZ%29f6", 2622843)</f>
        <v>2622843</v>
      </c>
      <c r="C1133" s="2">
        <f>HYPERLINK("https://platform.v2.vetology.net/report/v/final/"&amp;2622843, 2622843)</f>
        <v>2622843</v>
      </c>
      <c r="D1133" s="2" t="s">
        <v>3339</v>
      </c>
      <c r="E1133" s="2" t="s">
        <v>3340</v>
      </c>
      <c r="F1133" s="2" t="s">
        <v>3341</v>
      </c>
      <c r="G1133" s="2" t="s">
        <v>575</v>
      </c>
      <c r="H1133" s="2" t="s">
        <v>1180</v>
      </c>
      <c r="I1133" s="2" t="s">
        <v>158</v>
      </c>
      <c r="J1133" s="2" t="s">
        <v>50</v>
      </c>
      <c r="K1133" s="2" t="s">
        <v>38</v>
      </c>
      <c r="L1133" s="2" t="s">
        <v>38</v>
      </c>
      <c r="M1133" s="2" t="s">
        <v>38</v>
      </c>
      <c r="N1133" s="2" t="s">
        <v>38</v>
      </c>
      <c r="O1133" s="2" t="s">
        <v>38</v>
      </c>
      <c r="P1133" s="2" t="s">
        <v>38</v>
      </c>
      <c r="Q1133" s="2" t="s">
        <v>38</v>
      </c>
      <c r="R1133" s="2" t="s">
        <v>38</v>
      </c>
      <c r="S1133" s="2" t="s">
        <v>38</v>
      </c>
      <c r="T1133" s="2" t="s">
        <v>38</v>
      </c>
      <c r="U1133" s="2" t="s">
        <v>38</v>
      </c>
      <c r="V1133" s="2" t="s">
        <v>39</v>
      </c>
      <c r="W1133" s="2" t="s">
        <v>38</v>
      </c>
      <c r="X1133" s="2" t="s">
        <v>38</v>
      </c>
      <c r="Y1133" s="2" t="s">
        <v>38</v>
      </c>
      <c r="Z1133" s="2" t="s">
        <v>38</v>
      </c>
      <c r="AA1133" s="2" t="s">
        <v>38</v>
      </c>
      <c r="AB1133" s="2" t="s">
        <v>39</v>
      </c>
      <c r="AC1133" s="2" t="s">
        <v>38</v>
      </c>
      <c r="AD1133" s="2" t="s">
        <v>38</v>
      </c>
      <c r="AE1133" s="2" t="s">
        <v>38</v>
      </c>
    </row>
    <row r="1134" spans="1:31" ht="409.5">
      <c r="A1134" s="2">
        <v>2622746</v>
      </c>
      <c r="B1134" s="2">
        <f>HYPERLINK("https://platform.v2.vetology.net/cases/2622746/screening-report/18?type=pdf&amp;v=v6&amp;scorecard=1&amp;secret_key=BX%25IJ%24%2F65ieZ%29f6", 2622746)</f>
        <v>2622746</v>
      </c>
      <c r="C1134" s="2">
        <f>HYPERLINK("https://platform.v2.vetology.net/report/v/final/"&amp;2622746, 2622746)</f>
        <v>2622746</v>
      </c>
      <c r="D1134" s="2" t="s">
        <v>3342</v>
      </c>
      <c r="E1134" s="2" t="s">
        <v>1093</v>
      </c>
      <c r="F1134" s="2" t="s">
        <v>3343</v>
      </c>
      <c r="G1134" s="2" t="s">
        <v>135</v>
      </c>
      <c r="H1134" s="2" t="s">
        <v>78</v>
      </c>
      <c r="I1134" s="2" t="s">
        <v>44</v>
      </c>
      <c r="J1134" s="2" t="s">
        <v>106</v>
      </c>
      <c r="K1134" s="2" t="s">
        <v>38</v>
      </c>
      <c r="L1134" s="2" t="s">
        <v>38</v>
      </c>
      <c r="M1134" s="2" t="s">
        <v>38</v>
      </c>
      <c r="N1134" s="2" t="s">
        <v>38</v>
      </c>
      <c r="O1134" s="2" t="s">
        <v>38</v>
      </c>
      <c r="P1134" s="2" t="s">
        <v>38</v>
      </c>
      <c r="Q1134" s="2" t="s">
        <v>38</v>
      </c>
      <c r="R1134" s="2" t="s">
        <v>38</v>
      </c>
      <c r="S1134" s="2" t="s">
        <v>38</v>
      </c>
      <c r="T1134" s="2" t="s">
        <v>38</v>
      </c>
      <c r="U1134" s="2" t="s">
        <v>38</v>
      </c>
      <c r="V1134" s="2" t="s">
        <v>38</v>
      </c>
      <c r="W1134" s="2" t="s">
        <v>38</v>
      </c>
      <c r="X1134" s="2" t="s">
        <v>38</v>
      </c>
      <c r="Y1134" s="2" t="s">
        <v>38</v>
      </c>
      <c r="Z1134" s="2" t="s">
        <v>38</v>
      </c>
      <c r="AA1134" s="2" t="s">
        <v>38</v>
      </c>
      <c r="AB1134" s="2" t="s">
        <v>38</v>
      </c>
      <c r="AC1134" s="2" t="s">
        <v>38</v>
      </c>
      <c r="AD1134" s="2" t="s">
        <v>38</v>
      </c>
      <c r="AE1134" s="2" t="s">
        <v>38</v>
      </c>
    </row>
    <row r="1135" spans="1:31" ht="409.5">
      <c r="A1135" s="2">
        <v>2622735</v>
      </c>
      <c r="B1135" s="2">
        <f>HYPERLINK("https://platform.v2.vetology.net/cases/2622735/screening-report/18?type=pdf&amp;v=v6&amp;scorecard=1&amp;secret_key=BX%25IJ%24%2F65ieZ%29f6", 2622735)</f>
        <v>2622735</v>
      </c>
      <c r="C1135" s="2">
        <f>HYPERLINK("https://platform.v2.vetology.net/report/v/final/"&amp;2622735, 2622735)</f>
        <v>2622735</v>
      </c>
      <c r="D1135" s="2" t="s">
        <v>3344</v>
      </c>
      <c r="E1135" s="2" t="s">
        <v>3345</v>
      </c>
      <c r="F1135" s="2" t="s">
        <v>81</v>
      </c>
      <c r="G1135" s="2" t="s">
        <v>268</v>
      </c>
      <c r="H1135" s="2" t="s">
        <v>822</v>
      </c>
      <c r="I1135" s="2" t="s">
        <v>36</v>
      </c>
      <c r="J1135" s="2" t="s">
        <v>37</v>
      </c>
      <c r="K1135" s="2" t="s">
        <v>38</v>
      </c>
      <c r="L1135" s="2" t="s">
        <v>38</v>
      </c>
      <c r="M1135" s="2" t="s">
        <v>38</v>
      </c>
      <c r="N1135" s="2" t="s">
        <v>38</v>
      </c>
      <c r="O1135" s="2" t="s">
        <v>38</v>
      </c>
      <c r="P1135" s="2" t="s">
        <v>38</v>
      </c>
      <c r="Q1135" s="2" t="s">
        <v>38</v>
      </c>
      <c r="R1135" s="2" t="s">
        <v>38</v>
      </c>
      <c r="S1135" s="2" t="s">
        <v>38</v>
      </c>
      <c r="T1135" s="2" t="s">
        <v>38</v>
      </c>
      <c r="U1135" s="2" t="s">
        <v>38</v>
      </c>
      <c r="V1135" s="2" t="s">
        <v>38</v>
      </c>
      <c r="W1135" s="2" t="s">
        <v>38</v>
      </c>
      <c r="X1135" s="2" t="s">
        <v>38</v>
      </c>
      <c r="Y1135" s="2" t="s">
        <v>38</v>
      </c>
      <c r="Z1135" s="2" t="s">
        <v>38</v>
      </c>
      <c r="AA1135" s="2" t="s">
        <v>38</v>
      </c>
      <c r="AB1135" s="2" t="s">
        <v>38</v>
      </c>
      <c r="AC1135" s="2" t="s">
        <v>38</v>
      </c>
      <c r="AD1135" s="2" t="s">
        <v>38</v>
      </c>
      <c r="AE1135" s="2" t="s">
        <v>38</v>
      </c>
    </row>
    <row r="1136" spans="1:31" ht="409.5">
      <c r="A1136" s="2">
        <v>2622725</v>
      </c>
      <c r="B1136" s="2">
        <f>HYPERLINK("https://platform.v2.vetology.net/cases/2622725/screening-report/18?type=pdf&amp;v=v6&amp;scorecard=1&amp;secret_key=BX%25IJ%24%2F65ieZ%29f6", 2622725)</f>
        <v>2622725</v>
      </c>
      <c r="C1136" s="2">
        <f>HYPERLINK("https://platform.v2.vetology.net/report/v/final/"&amp;2622725, 2622725)</f>
        <v>2622725</v>
      </c>
      <c r="D1136" s="2" t="s">
        <v>3346</v>
      </c>
      <c r="E1136" s="2" t="s">
        <v>3347</v>
      </c>
      <c r="F1136" s="2" t="s">
        <v>3348</v>
      </c>
      <c r="G1136" s="2" t="s">
        <v>93</v>
      </c>
      <c r="H1136" s="2" t="s">
        <v>3349</v>
      </c>
      <c r="I1136" s="2" t="s">
        <v>1102</v>
      </c>
      <c r="J1136" s="2" t="s">
        <v>307</v>
      </c>
      <c r="K1136" s="2" t="s">
        <v>38</v>
      </c>
      <c r="L1136" s="2" t="s">
        <v>39</v>
      </c>
      <c r="M1136" s="2" t="s">
        <v>38</v>
      </c>
      <c r="N1136" s="2" t="s">
        <v>39</v>
      </c>
      <c r="O1136" s="2" t="s">
        <v>38</v>
      </c>
      <c r="P1136" s="2" t="s">
        <v>39</v>
      </c>
      <c r="Q1136" s="2" t="s">
        <v>38</v>
      </c>
      <c r="R1136" s="2" t="s">
        <v>38</v>
      </c>
      <c r="S1136" s="2" t="s">
        <v>38</v>
      </c>
      <c r="T1136" s="2" t="s">
        <v>38</v>
      </c>
      <c r="U1136" s="2" t="s">
        <v>38</v>
      </c>
      <c r="V1136" s="2" t="s">
        <v>38</v>
      </c>
      <c r="W1136" s="2" t="s">
        <v>38</v>
      </c>
      <c r="X1136" s="2" t="s">
        <v>38</v>
      </c>
      <c r="Y1136" s="2" t="s">
        <v>38</v>
      </c>
      <c r="Z1136" s="2" t="s">
        <v>38</v>
      </c>
      <c r="AA1136" s="2" t="s">
        <v>38</v>
      </c>
      <c r="AB1136" s="2" t="s">
        <v>38</v>
      </c>
      <c r="AC1136" s="2" t="s">
        <v>38</v>
      </c>
      <c r="AD1136" s="2" t="s">
        <v>38</v>
      </c>
      <c r="AE1136" s="2" t="s">
        <v>38</v>
      </c>
    </row>
    <row r="1137" spans="1:31" ht="409.5">
      <c r="A1137" s="2">
        <v>2622639</v>
      </c>
      <c r="B1137" s="2">
        <f>HYPERLINK("https://platform.v2.vetology.net/cases/2622639/screening-report/18?type=pdf&amp;v=v6&amp;scorecard=1&amp;secret_key=BX%25IJ%24%2F65ieZ%29f6", 2622639)</f>
        <v>2622639</v>
      </c>
      <c r="C1137" s="2">
        <f>HYPERLINK("https://platform.v2.vetology.net/report/v/final/"&amp;2622639, 2622639)</f>
        <v>2622639</v>
      </c>
      <c r="D1137" s="2" t="s">
        <v>3350</v>
      </c>
      <c r="E1137" s="2" t="s">
        <v>3351</v>
      </c>
      <c r="F1137" s="2" t="s">
        <v>3352</v>
      </c>
      <c r="G1137" s="2" t="s">
        <v>212</v>
      </c>
      <c r="H1137" s="2" t="s">
        <v>1505</v>
      </c>
      <c r="I1137" s="2" t="s">
        <v>214</v>
      </c>
      <c r="J1137" s="2" t="s">
        <v>50</v>
      </c>
      <c r="K1137" s="2" t="s">
        <v>38</v>
      </c>
      <c r="L1137" s="2" t="s">
        <v>38</v>
      </c>
      <c r="M1137" s="2" t="s">
        <v>38</v>
      </c>
      <c r="N1137" s="2" t="s">
        <v>38</v>
      </c>
      <c r="O1137" s="2" t="s">
        <v>38</v>
      </c>
      <c r="P1137" s="2" t="s">
        <v>38</v>
      </c>
      <c r="Q1137" s="2" t="s">
        <v>38</v>
      </c>
      <c r="R1137" s="2" t="s">
        <v>38</v>
      </c>
      <c r="S1137" s="2" t="s">
        <v>38</v>
      </c>
      <c r="T1137" s="2" t="s">
        <v>38</v>
      </c>
      <c r="U1137" s="2" t="s">
        <v>38</v>
      </c>
      <c r="V1137" s="2" t="s">
        <v>39</v>
      </c>
      <c r="W1137" s="2" t="s">
        <v>38</v>
      </c>
      <c r="X1137" s="2" t="s">
        <v>39</v>
      </c>
      <c r="Y1137" s="2" t="s">
        <v>38</v>
      </c>
      <c r="Z1137" s="2" t="s">
        <v>38</v>
      </c>
      <c r="AA1137" s="2" t="s">
        <v>38</v>
      </c>
      <c r="AB1137" s="2" t="s">
        <v>38</v>
      </c>
      <c r="AC1137" s="2" t="s">
        <v>38</v>
      </c>
      <c r="AD1137" s="2" t="s">
        <v>38</v>
      </c>
      <c r="AE1137" s="2" t="s">
        <v>38</v>
      </c>
    </row>
    <row r="1138" spans="1:31" ht="409.5">
      <c r="A1138" s="2">
        <v>2622624</v>
      </c>
      <c r="B1138" s="2">
        <f>HYPERLINK("https://platform.v2.vetology.net/cases/2622624/screening-report/18?type=pdf&amp;v=v6&amp;scorecard=1&amp;secret_key=BX%25IJ%24%2F65ieZ%29f6", 2622624)</f>
        <v>2622624</v>
      </c>
      <c r="C1138" s="2">
        <f>HYPERLINK("https://platform.v2.vetology.net/report/v/final/"&amp;2622624, 2622624)</f>
        <v>2622624</v>
      </c>
      <c r="D1138" s="2" t="s">
        <v>3353</v>
      </c>
      <c r="E1138" s="2" t="s">
        <v>3354</v>
      </c>
      <c r="F1138" s="2" t="s">
        <v>3355</v>
      </c>
      <c r="G1138" s="2" t="s">
        <v>93</v>
      </c>
      <c r="H1138" s="2" t="s">
        <v>2320</v>
      </c>
      <c r="I1138" s="2" t="s">
        <v>137</v>
      </c>
      <c r="J1138" s="2" t="s">
        <v>66</v>
      </c>
      <c r="K1138" s="2" t="s">
        <v>38</v>
      </c>
      <c r="L1138" s="2" t="s">
        <v>39</v>
      </c>
      <c r="M1138" s="2" t="s">
        <v>38</v>
      </c>
      <c r="N1138" s="2" t="s">
        <v>38</v>
      </c>
      <c r="O1138" s="2" t="s">
        <v>38</v>
      </c>
      <c r="P1138" s="2" t="s">
        <v>38</v>
      </c>
      <c r="Q1138" s="2" t="s">
        <v>38</v>
      </c>
      <c r="R1138" s="2" t="s">
        <v>38</v>
      </c>
      <c r="S1138" s="2" t="s">
        <v>38</v>
      </c>
      <c r="T1138" s="2" t="s">
        <v>38</v>
      </c>
      <c r="U1138" s="2" t="s">
        <v>38</v>
      </c>
      <c r="V1138" s="2" t="s">
        <v>38</v>
      </c>
      <c r="W1138" s="2" t="s">
        <v>38</v>
      </c>
      <c r="X1138" s="2" t="s">
        <v>38</v>
      </c>
      <c r="Y1138" s="2" t="s">
        <v>38</v>
      </c>
      <c r="Z1138" s="2" t="s">
        <v>38</v>
      </c>
      <c r="AA1138" s="2" t="s">
        <v>38</v>
      </c>
      <c r="AB1138" s="2" t="s">
        <v>38</v>
      </c>
      <c r="AC1138" s="2" t="s">
        <v>38</v>
      </c>
      <c r="AD1138" s="2" t="s">
        <v>38</v>
      </c>
      <c r="AE1138" s="2" t="s">
        <v>39</v>
      </c>
    </row>
    <row r="1139" spans="1:31" ht="409.5">
      <c r="A1139" s="2">
        <v>2622262</v>
      </c>
      <c r="B1139" s="2">
        <f>HYPERLINK("https://platform.v2.vetology.net/cases/2622262/screening-report/18?type=pdf&amp;v=v6&amp;scorecard=1&amp;secret_key=BX%25IJ%24%2F65ieZ%29f6", 2622262)</f>
        <v>2622262</v>
      </c>
      <c r="C1139" s="2">
        <f>HYPERLINK("https://platform.v2.vetology.net/report/v/final/"&amp;2622262, 2622262)</f>
        <v>2622262</v>
      </c>
      <c r="D1139" s="2" t="s">
        <v>3356</v>
      </c>
      <c r="E1139" s="2" t="s">
        <v>3357</v>
      </c>
      <c r="F1139" s="2" t="s">
        <v>81</v>
      </c>
      <c r="G1139" s="2" t="s">
        <v>268</v>
      </c>
      <c r="H1139" s="2" t="s">
        <v>78</v>
      </c>
      <c r="I1139" s="2" t="s">
        <v>44</v>
      </c>
      <c r="J1139" s="2" t="s">
        <v>106</v>
      </c>
      <c r="K1139" s="2" t="s">
        <v>38</v>
      </c>
      <c r="L1139" s="2" t="s">
        <v>38</v>
      </c>
      <c r="M1139" s="2" t="s">
        <v>38</v>
      </c>
      <c r="N1139" s="2" t="s">
        <v>38</v>
      </c>
      <c r="O1139" s="2" t="s">
        <v>38</v>
      </c>
      <c r="P1139" s="2" t="s">
        <v>38</v>
      </c>
      <c r="Q1139" s="2" t="s">
        <v>38</v>
      </c>
      <c r="R1139" s="2" t="s">
        <v>38</v>
      </c>
      <c r="S1139" s="2" t="s">
        <v>38</v>
      </c>
      <c r="T1139" s="2" t="s">
        <v>39</v>
      </c>
      <c r="U1139" s="2" t="s">
        <v>38</v>
      </c>
      <c r="V1139" s="2" t="s">
        <v>39</v>
      </c>
      <c r="W1139" s="2" t="s">
        <v>38</v>
      </c>
      <c r="X1139" s="2" t="s">
        <v>39</v>
      </c>
      <c r="Y1139" s="2" t="s">
        <v>38</v>
      </c>
      <c r="Z1139" s="2" t="s">
        <v>38</v>
      </c>
      <c r="AA1139" s="2" t="s">
        <v>38</v>
      </c>
      <c r="AB1139" s="2" t="s">
        <v>38</v>
      </c>
      <c r="AC1139" s="2" t="s">
        <v>38</v>
      </c>
      <c r="AD1139" s="2" t="s">
        <v>38</v>
      </c>
      <c r="AE1139" s="2" t="s">
        <v>38</v>
      </c>
    </row>
    <row r="1140" spans="1:31" ht="409.5">
      <c r="A1140" s="2">
        <v>2622055</v>
      </c>
      <c r="B1140" s="2">
        <f>HYPERLINK("https://platform.v2.vetology.net/cases/2622055/screening-report/18?type=pdf&amp;v=v6&amp;scorecard=1&amp;secret_key=BX%25IJ%24%2F65ieZ%29f6", 2622055)</f>
        <v>2622055</v>
      </c>
      <c r="C1140" s="2">
        <f>HYPERLINK("https://platform.v2.vetology.net/report/v/final/"&amp;2622055, 2622055)</f>
        <v>2622055</v>
      </c>
      <c r="D1140" s="2" t="s">
        <v>3358</v>
      </c>
      <c r="E1140" s="2" t="s">
        <v>3359</v>
      </c>
      <c r="F1140" s="2" t="s">
        <v>81</v>
      </c>
      <c r="G1140" s="2" t="s">
        <v>268</v>
      </c>
      <c r="H1140" s="2" t="s">
        <v>129</v>
      </c>
      <c r="I1140" s="2" t="s">
        <v>44</v>
      </c>
      <c r="J1140" s="2"/>
      <c r="K1140" s="2" t="s">
        <v>38</v>
      </c>
      <c r="L1140" s="2" t="s">
        <v>39</v>
      </c>
      <c r="M1140" s="2" t="s">
        <v>39</v>
      </c>
      <c r="N1140" s="2" t="s">
        <v>38</v>
      </c>
      <c r="O1140" s="2" t="s">
        <v>38</v>
      </c>
      <c r="P1140" s="2" t="s">
        <v>38</v>
      </c>
      <c r="Q1140" s="2" t="s">
        <v>38</v>
      </c>
      <c r="R1140" s="2" t="s">
        <v>38</v>
      </c>
      <c r="S1140" s="2" t="s">
        <v>39</v>
      </c>
      <c r="T1140" s="2" t="s">
        <v>39</v>
      </c>
      <c r="U1140" s="2" t="s">
        <v>38</v>
      </c>
      <c r="V1140" s="2" t="s">
        <v>39</v>
      </c>
      <c r="W1140" s="2" t="s">
        <v>38</v>
      </c>
      <c r="X1140" s="2" t="s">
        <v>39</v>
      </c>
      <c r="Y1140" s="2" t="s">
        <v>38</v>
      </c>
      <c r="Z1140" s="2" t="s">
        <v>39</v>
      </c>
      <c r="AA1140" s="2" t="s">
        <v>38</v>
      </c>
      <c r="AB1140" s="2" t="s">
        <v>38</v>
      </c>
      <c r="AC1140" s="2" t="s">
        <v>38</v>
      </c>
      <c r="AD1140" s="2" t="s">
        <v>38</v>
      </c>
      <c r="AE1140" s="2" t="s">
        <v>38</v>
      </c>
    </row>
    <row r="1141" spans="1:31" ht="409.5">
      <c r="A1141" s="2">
        <v>2621976</v>
      </c>
      <c r="B1141" s="2">
        <f>HYPERLINK("https://platform.v2.vetology.net/cases/2621976/screening-report/18?type=pdf&amp;v=v6&amp;scorecard=1&amp;secret_key=BX%25IJ%24%2F65ieZ%29f6", 2621976)</f>
        <v>2621976</v>
      </c>
      <c r="C1141" s="2">
        <f>HYPERLINK("https://platform.v2.vetology.net/report/v/final/"&amp;2621976, 2621976)</f>
        <v>2621976</v>
      </c>
      <c r="D1141" s="2" t="s">
        <v>3360</v>
      </c>
      <c r="E1141" s="2" t="s">
        <v>3361</v>
      </c>
      <c r="F1141" s="2" t="s">
        <v>3362</v>
      </c>
      <c r="G1141" s="2" t="s">
        <v>63</v>
      </c>
      <c r="H1141" s="2" t="s">
        <v>54</v>
      </c>
      <c r="I1141" s="2" t="s">
        <v>44</v>
      </c>
      <c r="J1141" s="2" t="s">
        <v>106</v>
      </c>
      <c r="K1141" s="2" t="s">
        <v>38</v>
      </c>
      <c r="L1141" s="2" t="s">
        <v>38</v>
      </c>
      <c r="M1141" s="2" t="s">
        <v>38</v>
      </c>
      <c r="N1141" s="2" t="s">
        <v>38</v>
      </c>
      <c r="O1141" s="2" t="s">
        <v>38</v>
      </c>
      <c r="P1141" s="2" t="s">
        <v>38</v>
      </c>
      <c r="Q1141" s="2" t="s">
        <v>38</v>
      </c>
      <c r="R1141" s="2" t="s">
        <v>38</v>
      </c>
      <c r="S1141" s="2" t="s">
        <v>38</v>
      </c>
      <c r="T1141" s="2" t="s">
        <v>38</v>
      </c>
      <c r="U1141" s="2" t="s">
        <v>38</v>
      </c>
      <c r="V1141" s="2" t="s">
        <v>38</v>
      </c>
      <c r="W1141" s="2" t="s">
        <v>38</v>
      </c>
      <c r="X1141" s="2" t="s">
        <v>38</v>
      </c>
      <c r="Y1141" s="2" t="s">
        <v>38</v>
      </c>
      <c r="Z1141" s="2" t="s">
        <v>38</v>
      </c>
      <c r="AA1141" s="2" t="s">
        <v>38</v>
      </c>
      <c r="AB1141" s="2" t="s">
        <v>39</v>
      </c>
      <c r="AC1141" s="2" t="s">
        <v>39</v>
      </c>
      <c r="AD1141" s="2" t="s">
        <v>38</v>
      </c>
      <c r="AE1141" s="2" t="s">
        <v>38</v>
      </c>
    </row>
    <row r="1142" spans="1:31" ht="409.5">
      <c r="A1142" s="2">
        <v>2621586</v>
      </c>
      <c r="B1142" s="2">
        <f>HYPERLINK("https://platform.v2.vetology.net/cases/2621586/screening-report/18?type=pdf&amp;v=v6&amp;scorecard=1&amp;secret_key=BX%25IJ%24%2F65ieZ%29f6", 2621586)</f>
        <v>2621586</v>
      </c>
      <c r="C1142" s="2">
        <f>HYPERLINK("https://platform.v2.vetology.net/report/v/final/"&amp;2621586, 2621586)</f>
        <v>2621586</v>
      </c>
      <c r="D1142" s="2" t="s">
        <v>3363</v>
      </c>
      <c r="E1142" s="2" t="s">
        <v>3364</v>
      </c>
      <c r="F1142" s="2" t="s">
        <v>3365</v>
      </c>
      <c r="G1142" s="2" t="s">
        <v>93</v>
      </c>
      <c r="H1142" s="2" t="s">
        <v>3366</v>
      </c>
      <c r="I1142" s="2" t="s">
        <v>382</v>
      </c>
      <c r="J1142" s="2" t="s">
        <v>66</v>
      </c>
      <c r="K1142" s="2" t="s">
        <v>39</v>
      </c>
      <c r="L1142" s="2" t="s">
        <v>39</v>
      </c>
      <c r="M1142" s="2" t="s">
        <v>38</v>
      </c>
      <c r="N1142" s="2" t="s">
        <v>39</v>
      </c>
      <c r="O1142" s="2" t="s">
        <v>38</v>
      </c>
      <c r="P1142" s="2" t="s">
        <v>38</v>
      </c>
      <c r="Q1142" s="2" t="s">
        <v>38</v>
      </c>
      <c r="R1142" s="2" t="s">
        <v>38</v>
      </c>
      <c r="S1142" s="2" t="s">
        <v>39</v>
      </c>
      <c r="T1142" s="2" t="s">
        <v>38</v>
      </c>
      <c r="U1142" s="2" t="s">
        <v>39</v>
      </c>
      <c r="V1142" s="2" t="s">
        <v>38</v>
      </c>
      <c r="W1142" s="2" t="s">
        <v>38</v>
      </c>
      <c r="X1142" s="2" t="s">
        <v>39</v>
      </c>
      <c r="Y1142" s="2" t="s">
        <v>38</v>
      </c>
      <c r="Z1142" s="2" t="s">
        <v>39</v>
      </c>
      <c r="AA1142" s="2" t="s">
        <v>38</v>
      </c>
      <c r="AB1142" s="2" t="s">
        <v>39</v>
      </c>
      <c r="AC1142" s="2" t="s">
        <v>39</v>
      </c>
      <c r="AD1142" s="2" t="s">
        <v>38</v>
      </c>
      <c r="AE1142" s="2" t="s">
        <v>38</v>
      </c>
    </row>
    <row r="1143" spans="1:31" ht="409.5">
      <c r="A1143" s="2">
        <v>2621482</v>
      </c>
      <c r="B1143" s="2">
        <f>HYPERLINK("https://platform.v2.vetology.net/cases/2621482/screening-report/18?type=pdf&amp;v=v6&amp;scorecard=1&amp;secret_key=BX%25IJ%24%2F65ieZ%29f6", 2621482)</f>
        <v>2621482</v>
      </c>
      <c r="C1143" s="2">
        <f>HYPERLINK("https://platform.v2.vetology.net/report/v/final/"&amp;2621482, 2621482)</f>
        <v>2621482</v>
      </c>
      <c r="D1143" s="2" t="s">
        <v>3367</v>
      </c>
      <c r="E1143" s="2" t="s">
        <v>3368</v>
      </c>
      <c r="F1143" s="2" t="s">
        <v>81</v>
      </c>
      <c r="G1143" s="2" t="s">
        <v>82</v>
      </c>
      <c r="H1143" s="2" t="s">
        <v>3369</v>
      </c>
      <c r="I1143" s="2" t="s">
        <v>152</v>
      </c>
      <c r="J1143" s="2" t="s">
        <v>153</v>
      </c>
      <c r="K1143" s="2" t="s">
        <v>38</v>
      </c>
      <c r="L1143" s="2" t="s">
        <v>39</v>
      </c>
      <c r="M1143" s="2" t="s">
        <v>38</v>
      </c>
      <c r="N1143" s="2" t="s">
        <v>38</v>
      </c>
      <c r="O1143" s="2" t="s">
        <v>38</v>
      </c>
      <c r="P1143" s="2" t="s">
        <v>38</v>
      </c>
      <c r="Q1143" s="2" t="s">
        <v>38</v>
      </c>
      <c r="R1143" s="2" t="s">
        <v>38</v>
      </c>
      <c r="S1143" s="2" t="s">
        <v>39</v>
      </c>
      <c r="T1143" s="2" t="s">
        <v>38</v>
      </c>
      <c r="U1143" s="2" t="s">
        <v>38</v>
      </c>
      <c r="V1143" s="2" t="s">
        <v>38</v>
      </c>
      <c r="W1143" s="2" t="s">
        <v>38</v>
      </c>
      <c r="X1143" s="2" t="s">
        <v>38</v>
      </c>
      <c r="Y1143" s="2" t="s">
        <v>38</v>
      </c>
      <c r="Z1143" s="2" t="s">
        <v>38</v>
      </c>
      <c r="AA1143" s="2" t="s">
        <v>38</v>
      </c>
      <c r="AB1143" s="2" t="s">
        <v>38</v>
      </c>
      <c r="AC1143" s="2" t="s">
        <v>38</v>
      </c>
      <c r="AD1143" s="2" t="s">
        <v>38</v>
      </c>
      <c r="AE1143" s="2" t="s">
        <v>38</v>
      </c>
    </row>
    <row r="1144" spans="1:31" ht="409.5">
      <c r="A1144" s="2">
        <v>2621329</v>
      </c>
      <c r="B1144" s="2">
        <f>HYPERLINK("https://platform.v2.vetology.net/cases/2621329/screening-report/18?type=pdf&amp;v=v6&amp;scorecard=1&amp;secret_key=BX%25IJ%24%2F65ieZ%29f6", 2621329)</f>
        <v>2621329</v>
      </c>
      <c r="C1144" s="2">
        <f>HYPERLINK("https://platform.v2.vetology.net/report/v/final/"&amp;2621329, 2621329)</f>
        <v>2621329</v>
      </c>
      <c r="D1144" s="2" t="s">
        <v>3370</v>
      </c>
      <c r="E1144" s="2" t="s">
        <v>3371</v>
      </c>
      <c r="F1144" s="2" t="s">
        <v>81</v>
      </c>
      <c r="G1144" s="2" t="s">
        <v>82</v>
      </c>
      <c r="H1144" s="2" t="s">
        <v>162</v>
      </c>
      <c r="I1144" s="2" t="s">
        <v>124</v>
      </c>
      <c r="J1144" s="2" t="s">
        <v>125</v>
      </c>
      <c r="K1144" s="2" t="s">
        <v>38</v>
      </c>
      <c r="L1144" s="2" t="s">
        <v>38</v>
      </c>
      <c r="M1144" s="2" t="s">
        <v>39</v>
      </c>
      <c r="N1144" s="2" t="s">
        <v>38</v>
      </c>
      <c r="O1144" s="2" t="s">
        <v>38</v>
      </c>
      <c r="P1144" s="2" t="s">
        <v>38</v>
      </c>
      <c r="Q1144" s="2" t="s">
        <v>38</v>
      </c>
      <c r="R1144" s="2" t="s">
        <v>38</v>
      </c>
      <c r="S1144" s="2" t="s">
        <v>39</v>
      </c>
      <c r="T1144" s="2" t="s">
        <v>38</v>
      </c>
      <c r="U1144" s="2" t="s">
        <v>38</v>
      </c>
      <c r="V1144" s="2" t="s">
        <v>38</v>
      </c>
      <c r="W1144" s="2" t="s">
        <v>38</v>
      </c>
      <c r="X1144" s="2" t="s">
        <v>38</v>
      </c>
      <c r="Y1144" s="2" t="s">
        <v>38</v>
      </c>
      <c r="Z1144" s="2" t="s">
        <v>38</v>
      </c>
      <c r="AA1144" s="2" t="s">
        <v>38</v>
      </c>
      <c r="AB1144" s="2" t="s">
        <v>38</v>
      </c>
      <c r="AC1144" s="2" t="s">
        <v>38</v>
      </c>
      <c r="AD1144" s="2" t="s">
        <v>38</v>
      </c>
      <c r="AE1144" s="2" t="s">
        <v>38</v>
      </c>
    </row>
    <row r="1145" spans="1:31" ht="409.5">
      <c r="A1145" s="2">
        <v>2621267</v>
      </c>
      <c r="B1145" s="2">
        <f>HYPERLINK("https://platform.v2.vetology.net/cases/2621267/screening-report/18?type=pdf&amp;v=v6&amp;scorecard=1&amp;secret_key=BX%25IJ%24%2F65ieZ%29f6", 2621267)</f>
        <v>2621267</v>
      </c>
      <c r="C1145" s="2">
        <f>HYPERLINK("https://platform.v2.vetology.net/report/v/final/"&amp;2621267, 2621267)</f>
        <v>2621267</v>
      </c>
      <c r="D1145" s="2" t="s">
        <v>3372</v>
      </c>
      <c r="E1145" s="2" t="s">
        <v>3373</v>
      </c>
      <c r="F1145" s="2" t="s">
        <v>3374</v>
      </c>
      <c r="G1145" s="2" t="s">
        <v>58</v>
      </c>
      <c r="H1145" s="2" t="s">
        <v>3375</v>
      </c>
      <c r="I1145" s="2" t="s">
        <v>65</v>
      </c>
      <c r="J1145" s="2" t="s">
        <v>66</v>
      </c>
      <c r="K1145" s="2" t="s">
        <v>38</v>
      </c>
      <c r="L1145" s="2" t="s">
        <v>39</v>
      </c>
      <c r="M1145" s="2" t="s">
        <v>39</v>
      </c>
      <c r="N1145" s="2" t="s">
        <v>39</v>
      </c>
      <c r="O1145" s="2" t="s">
        <v>38</v>
      </c>
      <c r="P1145" s="2" t="s">
        <v>39</v>
      </c>
      <c r="Q1145" s="2" t="s">
        <v>38</v>
      </c>
      <c r="R1145" s="2" t="s">
        <v>38</v>
      </c>
      <c r="S1145" s="2" t="s">
        <v>38</v>
      </c>
      <c r="T1145" s="2" t="s">
        <v>38</v>
      </c>
      <c r="U1145" s="2" t="s">
        <v>38</v>
      </c>
      <c r="V1145" s="2" t="s">
        <v>38</v>
      </c>
      <c r="W1145" s="2" t="s">
        <v>38</v>
      </c>
      <c r="X1145" s="2" t="s">
        <v>38</v>
      </c>
      <c r="Y1145" s="2" t="s">
        <v>38</v>
      </c>
      <c r="Z1145" s="2" t="s">
        <v>38</v>
      </c>
      <c r="AA1145" s="2" t="s">
        <v>38</v>
      </c>
      <c r="AB1145" s="2" t="s">
        <v>39</v>
      </c>
      <c r="AC1145" s="2" t="s">
        <v>39</v>
      </c>
      <c r="AD1145" s="2" t="s">
        <v>38</v>
      </c>
      <c r="AE1145" s="2" t="s">
        <v>39</v>
      </c>
    </row>
    <row r="1146" spans="1:31" ht="409.5">
      <c r="A1146" s="2">
        <v>2621265</v>
      </c>
      <c r="B1146" s="2">
        <f>HYPERLINK("https://platform.v2.vetology.net/cases/2621265/screening-report/18?type=pdf&amp;v=v6&amp;scorecard=1&amp;secret_key=BX%25IJ%24%2F65ieZ%29f6", 2621265)</f>
        <v>2621265</v>
      </c>
      <c r="C1146" s="2">
        <f>HYPERLINK("https://platform.v2.vetology.net/report/v/final/"&amp;2621265, 2621265)</f>
        <v>2621265</v>
      </c>
      <c r="D1146" s="2" t="s">
        <v>3376</v>
      </c>
      <c r="E1146" s="2" t="s">
        <v>3377</v>
      </c>
      <c r="F1146" s="2" t="s">
        <v>3378</v>
      </c>
      <c r="G1146" s="2" t="s">
        <v>58</v>
      </c>
      <c r="H1146" s="2" t="s">
        <v>54</v>
      </c>
      <c r="I1146" s="2" t="s">
        <v>44</v>
      </c>
      <c r="J1146" s="2"/>
      <c r="K1146" s="2" t="s">
        <v>38</v>
      </c>
      <c r="L1146" s="2" t="s">
        <v>38</v>
      </c>
      <c r="M1146" s="2" t="s">
        <v>38</v>
      </c>
      <c r="N1146" s="2" t="s">
        <v>38</v>
      </c>
      <c r="O1146" s="2" t="s">
        <v>38</v>
      </c>
      <c r="P1146" s="2" t="s">
        <v>38</v>
      </c>
      <c r="Q1146" s="2" t="s">
        <v>38</v>
      </c>
      <c r="R1146" s="2" t="s">
        <v>38</v>
      </c>
      <c r="S1146" s="2" t="s">
        <v>38</v>
      </c>
      <c r="T1146" s="2" t="s">
        <v>39</v>
      </c>
      <c r="U1146" s="2" t="s">
        <v>38</v>
      </c>
      <c r="V1146" s="2" t="s">
        <v>38</v>
      </c>
      <c r="W1146" s="2" t="s">
        <v>38</v>
      </c>
      <c r="X1146" s="2" t="s">
        <v>38</v>
      </c>
      <c r="Y1146" s="2" t="s">
        <v>38</v>
      </c>
      <c r="Z1146" s="2" t="s">
        <v>38</v>
      </c>
      <c r="AA1146" s="2" t="s">
        <v>38</v>
      </c>
      <c r="AB1146" s="2" t="s">
        <v>38</v>
      </c>
      <c r="AC1146" s="2" t="s">
        <v>38</v>
      </c>
      <c r="AD1146" s="2" t="s">
        <v>38</v>
      </c>
      <c r="AE1146" s="2" t="s">
        <v>38</v>
      </c>
    </row>
    <row r="1147" spans="1:31" ht="409.5">
      <c r="A1147" s="2">
        <v>2621039</v>
      </c>
      <c r="B1147" s="2">
        <f>HYPERLINK("https://platform.v2.vetology.net/cases/2621039/screening-report/18?type=pdf&amp;v=v6&amp;scorecard=1&amp;secret_key=BX%25IJ%24%2F65ieZ%29f6", 2621039)</f>
        <v>2621039</v>
      </c>
      <c r="C1147" s="2">
        <f>HYPERLINK("https://platform.v2.vetology.net/report/v/final/"&amp;2621039, 2621039)</f>
        <v>2621039</v>
      </c>
      <c r="D1147" s="2" t="s">
        <v>3379</v>
      </c>
      <c r="E1147" s="2" t="s">
        <v>3380</v>
      </c>
      <c r="F1147" s="2" t="s">
        <v>3381</v>
      </c>
      <c r="G1147" s="2" t="s">
        <v>3269</v>
      </c>
      <c r="H1147" s="2" t="s">
        <v>2029</v>
      </c>
      <c r="I1147" s="2" t="s">
        <v>214</v>
      </c>
      <c r="J1147" s="2" t="s">
        <v>50</v>
      </c>
      <c r="K1147" s="2" t="s">
        <v>38</v>
      </c>
      <c r="L1147" s="2" t="s">
        <v>39</v>
      </c>
      <c r="M1147" s="2" t="s">
        <v>39</v>
      </c>
      <c r="N1147" s="2" t="s">
        <v>38</v>
      </c>
      <c r="O1147" s="2" t="s">
        <v>39</v>
      </c>
      <c r="P1147" s="2" t="s">
        <v>39</v>
      </c>
      <c r="Q1147" s="2" t="s">
        <v>38</v>
      </c>
      <c r="R1147" s="2" t="s">
        <v>38</v>
      </c>
      <c r="S1147" s="2" t="s">
        <v>38</v>
      </c>
      <c r="T1147" s="2" t="s">
        <v>39</v>
      </c>
      <c r="U1147" s="2" t="s">
        <v>38</v>
      </c>
      <c r="V1147" s="2" t="s">
        <v>39</v>
      </c>
      <c r="W1147" s="2" t="s">
        <v>38</v>
      </c>
      <c r="X1147" s="2" t="s">
        <v>39</v>
      </c>
      <c r="Y1147" s="2" t="s">
        <v>39</v>
      </c>
      <c r="Z1147" s="2" t="s">
        <v>38</v>
      </c>
      <c r="AA1147" s="2" t="s">
        <v>38</v>
      </c>
      <c r="AB1147" s="2" t="s">
        <v>39</v>
      </c>
      <c r="AC1147" s="2" t="s">
        <v>39</v>
      </c>
      <c r="AD1147" s="2" t="s">
        <v>38</v>
      </c>
      <c r="AE1147" s="2" t="s">
        <v>38</v>
      </c>
    </row>
    <row r="1148" spans="1:31" ht="409.5">
      <c r="A1148" s="2">
        <v>2621010</v>
      </c>
      <c r="B1148" s="2">
        <f>HYPERLINK("https://platform.v2.vetology.net/cases/2621010/screening-report/18?type=pdf&amp;v=v6&amp;scorecard=1&amp;secret_key=BX%25IJ%24%2F65ieZ%29f6", 2621010)</f>
        <v>2621010</v>
      </c>
      <c r="C1148" s="2">
        <f>HYPERLINK("https://platform.v2.vetology.net/report/v/final/"&amp;2621010, 2621010)</f>
        <v>2621010</v>
      </c>
      <c r="D1148" s="2" t="s">
        <v>3382</v>
      </c>
      <c r="E1148" s="2" t="s">
        <v>3383</v>
      </c>
      <c r="F1148" s="2" t="s">
        <v>3384</v>
      </c>
      <c r="G1148" s="2" t="s">
        <v>268</v>
      </c>
      <c r="H1148" s="2" t="s">
        <v>360</v>
      </c>
      <c r="I1148" s="2" t="s">
        <v>284</v>
      </c>
      <c r="J1148" s="2" t="s">
        <v>285</v>
      </c>
      <c r="K1148" s="2" t="s">
        <v>38</v>
      </c>
      <c r="L1148" s="2" t="s">
        <v>38</v>
      </c>
      <c r="M1148" s="2" t="s">
        <v>39</v>
      </c>
      <c r="N1148" s="2" t="s">
        <v>38</v>
      </c>
      <c r="O1148" s="2" t="s">
        <v>38</v>
      </c>
      <c r="P1148" s="2" t="s">
        <v>38</v>
      </c>
      <c r="Q1148" s="2" t="s">
        <v>38</v>
      </c>
      <c r="R1148" s="2" t="s">
        <v>38</v>
      </c>
      <c r="S1148" s="2" t="s">
        <v>38</v>
      </c>
      <c r="T1148" s="2" t="s">
        <v>38</v>
      </c>
      <c r="U1148" s="2" t="s">
        <v>38</v>
      </c>
      <c r="V1148" s="2" t="s">
        <v>38</v>
      </c>
      <c r="W1148" s="2" t="s">
        <v>38</v>
      </c>
      <c r="X1148" s="2" t="s">
        <v>38</v>
      </c>
      <c r="Y1148" s="2" t="s">
        <v>38</v>
      </c>
      <c r="Z1148" s="2" t="s">
        <v>38</v>
      </c>
      <c r="AA1148" s="2" t="s">
        <v>38</v>
      </c>
      <c r="AB1148" s="2" t="s">
        <v>38</v>
      </c>
      <c r="AC1148" s="2" t="s">
        <v>38</v>
      </c>
      <c r="AD1148" s="2" t="s">
        <v>38</v>
      </c>
      <c r="AE1148" s="2" t="s">
        <v>38</v>
      </c>
    </row>
    <row r="1149" spans="1:31" ht="409.5">
      <c r="A1149" s="2">
        <v>2621000</v>
      </c>
      <c r="B1149" s="2">
        <f>HYPERLINK("https://platform.v2.vetology.net/cases/2621000/screening-report/18?type=pdf&amp;v=v6&amp;scorecard=1&amp;secret_key=BX%25IJ%24%2F65ieZ%29f6", 2621000)</f>
        <v>2621000</v>
      </c>
      <c r="C1149" s="2">
        <f>HYPERLINK("https://platform.v2.vetology.net/report/v/final/"&amp;2621000, 2621000)</f>
        <v>2621000</v>
      </c>
      <c r="D1149" s="2" t="s">
        <v>3385</v>
      </c>
      <c r="E1149" s="2" t="s">
        <v>3386</v>
      </c>
      <c r="F1149" s="2"/>
      <c r="G1149" s="2" t="s">
        <v>141</v>
      </c>
      <c r="H1149" s="2" t="s">
        <v>978</v>
      </c>
      <c r="I1149" s="2" t="s">
        <v>284</v>
      </c>
      <c r="J1149" s="2" t="s">
        <v>285</v>
      </c>
      <c r="K1149" s="2" t="s">
        <v>38</v>
      </c>
      <c r="L1149" s="2" t="s">
        <v>39</v>
      </c>
      <c r="M1149" s="2" t="s">
        <v>38</v>
      </c>
      <c r="N1149" s="2" t="s">
        <v>38</v>
      </c>
      <c r="O1149" s="2" t="s">
        <v>38</v>
      </c>
      <c r="P1149" s="2" t="s">
        <v>38</v>
      </c>
      <c r="Q1149" s="2" t="s">
        <v>38</v>
      </c>
      <c r="R1149" s="2" t="s">
        <v>38</v>
      </c>
      <c r="S1149" s="2" t="s">
        <v>38</v>
      </c>
      <c r="T1149" s="2" t="s">
        <v>39</v>
      </c>
      <c r="U1149" s="2" t="s">
        <v>38</v>
      </c>
      <c r="V1149" s="2" t="s">
        <v>39</v>
      </c>
      <c r="W1149" s="2" t="s">
        <v>38</v>
      </c>
      <c r="X1149" s="2" t="s">
        <v>39</v>
      </c>
      <c r="Y1149" s="2" t="s">
        <v>38</v>
      </c>
      <c r="Z1149" s="2" t="s">
        <v>38</v>
      </c>
      <c r="AA1149" s="2" t="s">
        <v>38</v>
      </c>
      <c r="AB1149" s="2" t="s">
        <v>38</v>
      </c>
      <c r="AC1149" s="2" t="s">
        <v>38</v>
      </c>
      <c r="AD1149" s="2" t="s">
        <v>38</v>
      </c>
      <c r="AE1149" s="2" t="s">
        <v>38</v>
      </c>
    </row>
    <row r="1150" spans="1:31" ht="409.5">
      <c r="A1150" s="2">
        <v>2620899</v>
      </c>
      <c r="B1150" s="2">
        <f>HYPERLINK("https://platform.v2.vetology.net/cases/2620899/screening-report/18?type=pdf&amp;v=v6&amp;scorecard=1&amp;secret_key=BX%25IJ%24%2F65ieZ%29f6", 2620899)</f>
        <v>2620899</v>
      </c>
      <c r="C1150" s="2">
        <f>HYPERLINK("https://platform.v2.vetology.net/report/v/final/"&amp;2620899, 2620899)</f>
        <v>2620899</v>
      </c>
      <c r="D1150" s="2" t="s">
        <v>3387</v>
      </c>
      <c r="E1150" s="2" t="s">
        <v>3388</v>
      </c>
      <c r="F1150" s="2" t="s">
        <v>523</v>
      </c>
      <c r="G1150" s="2" t="s">
        <v>141</v>
      </c>
      <c r="H1150" s="2" t="s">
        <v>804</v>
      </c>
      <c r="I1150" s="2" t="s">
        <v>214</v>
      </c>
      <c r="J1150" s="2" t="s">
        <v>50</v>
      </c>
      <c r="K1150" s="2" t="s">
        <v>38</v>
      </c>
      <c r="L1150" s="2" t="s">
        <v>38</v>
      </c>
      <c r="M1150" s="2" t="s">
        <v>39</v>
      </c>
      <c r="N1150" s="2" t="s">
        <v>38</v>
      </c>
      <c r="O1150" s="2" t="s">
        <v>38</v>
      </c>
      <c r="P1150" s="2" t="s">
        <v>38</v>
      </c>
      <c r="Q1150" s="2" t="s">
        <v>38</v>
      </c>
      <c r="R1150" s="2" t="s">
        <v>38</v>
      </c>
      <c r="S1150" s="2" t="s">
        <v>39</v>
      </c>
      <c r="T1150" s="2" t="s">
        <v>39</v>
      </c>
      <c r="U1150" s="2" t="s">
        <v>38</v>
      </c>
      <c r="V1150" s="2" t="s">
        <v>39</v>
      </c>
      <c r="W1150" s="2" t="s">
        <v>38</v>
      </c>
      <c r="X1150" s="2" t="s">
        <v>39</v>
      </c>
      <c r="Y1150" s="2" t="s">
        <v>38</v>
      </c>
      <c r="Z1150" s="2" t="s">
        <v>38</v>
      </c>
      <c r="AA1150" s="2" t="s">
        <v>38</v>
      </c>
      <c r="AB1150" s="2" t="s">
        <v>39</v>
      </c>
      <c r="AC1150" s="2" t="s">
        <v>38</v>
      </c>
      <c r="AD1150" s="2" t="s">
        <v>38</v>
      </c>
      <c r="AE1150" s="2" t="s">
        <v>38</v>
      </c>
    </row>
    <row r="1151" spans="1:31" ht="409.5">
      <c r="A1151" s="2">
        <v>2620862</v>
      </c>
      <c r="B1151" s="2">
        <f>HYPERLINK("https://platform.v2.vetology.net/cases/2620862/screening-report/18?type=pdf&amp;v=v6&amp;scorecard=1&amp;secret_key=BX%25IJ%24%2F65ieZ%29f6", 2620862)</f>
        <v>2620862</v>
      </c>
      <c r="C1151" s="2">
        <f>HYPERLINK("https://platform.v2.vetology.net/report/v/final/"&amp;2620862, 2620862)</f>
        <v>2620862</v>
      </c>
      <c r="D1151" s="2" t="s">
        <v>3389</v>
      </c>
      <c r="E1151" s="2" t="s">
        <v>3390</v>
      </c>
      <c r="F1151" s="2" t="s">
        <v>81</v>
      </c>
      <c r="G1151" s="2" t="s">
        <v>82</v>
      </c>
      <c r="H1151" s="2" t="s">
        <v>779</v>
      </c>
      <c r="I1151" s="2" t="s">
        <v>89</v>
      </c>
      <c r="J1151" s="2" t="s">
        <v>66</v>
      </c>
      <c r="K1151" s="2" t="s">
        <v>38</v>
      </c>
      <c r="L1151" s="2" t="s">
        <v>38</v>
      </c>
      <c r="M1151" s="2" t="s">
        <v>38</v>
      </c>
      <c r="N1151" s="2" t="s">
        <v>38</v>
      </c>
      <c r="O1151" s="2" t="s">
        <v>38</v>
      </c>
      <c r="P1151" s="2" t="s">
        <v>38</v>
      </c>
      <c r="Q1151" s="2" t="s">
        <v>38</v>
      </c>
      <c r="R1151" s="2" t="s">
        <v>38</v>
      </c>
      <c r="S1151" s="2" t="s">
        <v>38</v>
      </c>
      <c r="T1151" s="2" t="s">
        <v>39</v>
      </c>
      <c r="U1151" s="2" t="s">
        <v>38</v>
      </c>
      <c r="V1151" s="2" t="s">
        <v>39</v>
      </c>
      <c r="W1151" s="2" t="s">
        <v>38</v>
      </c>
      <c r="X1151" s="2" t="s">
        <v>39</v>
      </c>
      <c r="Y1151" s="2" t="s">
        <v>38</v>
      </c>
      <c r="Z1151" s="2" t="s">
        <v>38</v>
      </c>
      <c r="AA1151" s="2" t="s">
        <v>38</v>
      </c>
      <c r="AB1151" s="2" t="s">
        <v>39</v>
      </c>
      <c r="AC1151" s="2" t="s">
        <v>38</v>
      </c>
      <c r="AD1151" s="2" t="s">
        <v>38</v>
      </c>
      <c r="AE1151" s="2" t="s">
        <v>39</v>
      </c>
    </row>
    <row r="1152" spans="1:31" ht="409.5">
      <c r="A1152" s="2">
        <v>2620694</v>
      </c>
      <c r="B1152" s="2">
        <f>HYPERLINK("https://platform.v2.vetology.net/cases/2620694/screening-report/18?type=pdf&amp;v=v6&amp;scorecard=1&amp;secret_key=BX%25IJ%24%2F65ieZ%29f6", 2620694)</f>
        <v>2620694</v>
      </c>
      <c r="C1152" s="2">
        <f>HYPERLINK("https://platform.v2.vetology.net/report/v/final/"&amp;2620694, 2620694)</f>
        <v>2620694</v>
      </c>
      <c r="D1152" s="2" t="s">
        <v>3391</v>
      </c>
      <c r="E1152" s="2" t="s">
        <v>3392</v>
      </c>
      <c r="F1152" s="2" t="s">
        <v>3393</v>
      </c>
      <c r="G1152" s="2" t="s">
        <v>58</v>
      </c>
      <c r="H1152" s="2" t="s">
        <v>2278</v>
      </c>
      <c r="I1152" s="2" t="s">
        <v>1728</v>
      </c>
      <c r="J1152" s="2" t="s">
        <v>208</v>
      </c>
      <c r="K1152" s="2" t="s">
        <v>38</v>
      </c>
      <c r="L1152" s="2" t="s">
        <v>39</v>
      </c>
      <c r="M1152" s="2" t="s">
        <v>39</v>
      </c>
      <c r="N1152" s="2" t="s">
        <v>39</v>
      </c>
      <c r="O1152" s="2" t="s">
        <v>38</v>
      </c>
      <c r="P1152" s="2" t="s">
        <v>39</v>
      </c>
      <c r="Q1152" s="2" t="s">
        <v>38</v>
      </c>
      <c r="R1152" s="2" t="s">
        <v>38</v>
      </c>
      <c r="S1152" s="2" t="s">
        <v>38</v>
      </c>
      <c r="T1152" s="2" t="s">
        <v>38</v>
      </c>
      <c r="U1152" s="2" t="s">
        <v>38</v>
      </c>
      <c r="V1152" s="2" t="s">
        <v>38</v>
      </c>
      <c r="W1152" s="2" t="s">
        <v>38</v>
      </c>
      <c r="X1152" s="2" t="s">
        <v>38</v>
      </c>
      <c r="Y1152" s="2" t="s">
        <v>38</v>
      </c>
      <c r="Z1152" s="2" t="s">
        <v>39</v>
      </c>
      <c r="AA1152" s="2" t="s">
        <v>38</v>
      </c>
      <c r="AB1152" s="2" t="s">
        <v>39</v>
      </c>
      <c r="AC1152" s="2" t="s">
        <v>39</v>
      </c>
      <c r="AD1152" s="2" t="s">
        <v>38</v>
      </c>
      <c r="AE1152" s="2" t="s">
        <v>38</v>
      </c>
    </row>
    <row r="1153" spans="1:31" ht="409.5">
      <c r="A1153" s="2">
        <v>2620679</v>
      </c>
      <c r="B1153" s="2">
        <f>HYPERLINK("https://platform.v2.vetology.net/cases/2620679/screening-report/18?type=pdf&amp;v=v6&amp;scorecard=1&amp;secret_key=BX%25IJ%24%2F65ieZ%29f6", 2620679)</f>
        <v>2620679</v>
      </c>
      <c r="C1153" s="2">
        <f>HYPERLINK("https://platform.v2.vetology.net/report/v/final/"&amp;2620679, 2620679)</f>
        <v>2620679</v>
      </c>
      <c r="D1153" s="2" t="s">
        <v>3394</v>
      </c>
      <c r="E1153" s="2" t="s">
        <v>3395</v>
      </c>
      <c r="F1153" s="2" t="s">
        <v>81</v>
      </c>
      <c r="G1153" s="2" t="s">
        <v>82</v>
      </c>
      <c r="H1153" s="2" t="s">
        <v>607</v>
      </c>
      <c r="I1153" s="2" t="s">
        <v>137</v>
      </c>
      <c r="J1153" s="2" t="s">
        <v>66</v>
      </c>
      <c r="K1153" s="2" t="s">
        <v>38</v>
      </c>
      <c r="L1153" s="2" t="s">
        <v>39</v>
      </c>
      <c r="M1153" s="2" t="s">
        <v>38</v>
      </c>
      <c r="N1153" s="2" t="s">
        <v>38</v>
      </c>
      <c r="O1153" s="2" t="s">
        <v>38</v>
      </c>
      <c r="P1153" s="2" t="s">
        <v>38</v>
      </c>
      <c r="Q1153" s="2" t="s">
        <v>38</v>
      </c>
      <c r="R1153" s="2" t="s">
        <v>38</v>
      </c>
      <c r="S1153" s="2" t="s">
        <v>38</v>
      </c>
      <c r="T1153" s="2" t="s">
        <v>39</v>
      </c>
      <c r="U1153" s="2" t="s">
        <v>38</v>
      </c>
      <c r="V1153" s="2" t="s">
        <v>39</v>
      </c>
      <c r="W1153" s="2" t="s">
        <v>38</v>
      </c>
      <c r="X1153" s="2" t="s">
        <v>39</v>
      </c>
      <c r="Y1153" s="2" t="s">
        <v>38</v>
      </c>
      <c r="Z1153" s="2" t="s">
        <v>38</v>
      </c>
      <c r="AA1153" s="2" t="s">
        <v>38</v>
      </c>
      <c r="AB1153" s="2" t="s">
        <v>38</v>
      </c>
      <c r="AC1153" s="2" t="s">
        <v>38</v>
      </c>
      <c r="AD1153" s="2" t="s">
        <v>38</v>
      </c>
      <c r="AE1153" s="2" t="s">
        <v>38</v>
      </c>
    </row>
    <row r="1154" spans="1:31" ht="409.5">
      <c r="A1154" s="2">
        <v>2620497</v>
      </c>
      <c r="B1154" s="2">
        <f>HYPERLINK("https://platform.v2.vetology.net/cases/2620497/screening-report/18?type=pdf&amp;v=v6&amp;scorecard=1&amp;secret_key=BX%25IJ%24%2F65ieZ%29f6", 2620497)</f>
        <v>2620497</v>
      </c>
      <c r="C1154" s="2">
        <f>HYPERLINK("https://platform.v2.vetology.net/report/v/final/"&amp;2620497, 2620497)</f>
        <v>2620497</v>
      </c>
      <c r="D1154" s="2" t="s">
        <v>3396</v>
      </c>
      <c r="E1154" s="2" t="s">
        <v>3397</v>
      </c>
      <c r="F1154" s="2" t="s">
        <v>3398</v>
      </c>
      <c r="G1154" s="2" t="s">
        <v>82</v>
      </c>
      <c r="H1154" s="2" t="s">
        <v>78</v>
      </c>
      <c r="I1154" s="2" t="s">
        <v>44</v>
      </c>
      <c r="J1154" s="2" t="s">
        <v>106</v>
      </c>
      <c r="K1154" s="2" t="s">
        <v>38</v>
      </c>
      <c r="L1154" s="2" t="s">
        <v>38</v>
      </c>
      <c r="M1154" s="2" t="s">
        <v>39</v>
      </c>
      <c r="N1154" s="2" t="s">
        <v>38</v>
      </c>
      <c r="O1154" s="2" t="s">
        <v>38</v>
      </c>
      <c r="P1154" s="2" t="s">
        <v>38</v>
      </c>
      <c r="Q1154" s="2" t="s">
        <v>38</v>
      </c>
      <c r="R1154" s="2" t="s">
        <v>38</v>
      </c>
      <c r="S1154" s="2" t="s">
        <v>39</v>
      </c>
      <c r="T1154" s="2" t="s">
        <v>38</v>
      </c>
      <c r="U1154" s="2" t="s">
        <v>38</v>
      </c>
      <c r="V1154" s="2" t="s">
        <v>38</v>
      </c>
      <c r="W1154" s="2" t="s">
        <v>38</v>
      </c>
      <c r="X1154" s="2" t="s">
        <v>38</v>
      </c>
      <c r="Y1154" s="2" t="s">
        <v>38</v>
      </c>
      <c r="Z1154" s="2" t="s">
        <v>38</v>
      </c>
      <c r="AA1154" s="2" t="s">
        <v>38</v>
      </c>
      <c r="AB1154" s="2" t="s">
        <v>38</v>
      </c>
      <c r="AC1154" s="2" t="s">
        <v>38</v>
      </c>
      <c r="AD1154" s="2" t="s">
        <v>38</v>
      </c>
      <c r="AE1154" s="2" t="s">
        <v>38</v>
      </c>
    </row>
    <row r="1155" spans="1:31" ht="409.5">
      <c r="A1155" s="2">
        <v>2620287</v>
      </c>
      <c r="B1155" s="2">
        <f>HYPERLINK("https://platform.v2.vetology.net/cases/2620287/screening-report/18?type=pdf&amp;v=v6&amp;scorecard=1&amp;secret_key=BX%25IJ%24%2F65ieZ%29f6", 2620287)</f>
        <v>2620287</v>
      </c>
      <c r="C1155" s="2">
        <f>HYPERLINK("https://platform.v2.vetology.net/report/v/final/"&amp;2620287, 2620287)</f>
        <v>2620287</v>
      </c>
      <c r="D1155" s="2" t="s">
        <v>3399</v>
      </c>
      <c r="E1155" s="2" t="s">
        <v>3400</v>
      </c>
      <c r="F1155" s="2" t="s">
        <v>1650</v>
      </c>
      <c r="G1155" s="2" t="s">
        <v>58</v>
      </c>
      <c r="H1155" s="2" t="s">
        <v>78</v>
      </c>
      <c r="I1155" s="2" t="s">
        <v>44</v>
      </c>
      <c r="J1155" s="2" t="s">
        <v>106</v>
      </c>
      <c r="K1155" s="2" t="s">
        <v>38</v>
      </c>
      <c r="L1155" s="2" t="s">
        <v>38</v>
      </c>
      <c r="M1155" s="2" t="s">
        <v>39</v>
      </c>
      <c r="N1155" s="2" t="s">
        <v>38</v>
      </c>
      <c r="O1155" s="2" t="s">
        <v>38</v>
      </c>
      <c r="P1155" s="2" t="s">
        <v>38</v>
      </c>
      <c r="Q1155" s="2" t="s">
        <v>38</v>
      </c>
      <c r="R1155" s="2" t="s">
        <v>38</v>
      </c>
      <c r="S1155" s="2" t="s">
        <v>38</v>
      </c>
      <c r="T1155" s="2" t="s">
        <v>38</v>
      </c>
      <c r="U1155" s="2" t="s">
        <v>38</v>
      </c>
      <c r="V1155" s="2" t="s">
        <v>38</v>
      </c>
      <c r="W1155" s="2" t="s">
        <v>38</v>
      </c>
      <c r="X1155" s="2" t="s">
        <v>38</v>
      </c>
      <c r="Y1155" s="2" t="s">
        <v>38</v>
      </c>
      <c r="Z1155" s="2" t="s">
        <v>38</v>
      </c>
      <c r="AA1155" s="2" t="s">
        <v>38</v>
      </c>
      <c r="AB1155" s="2" t="s">
        <v>38</v>
      </c>
      <c r="AC1155" s="2" t="s">
        <v>38</v>
      </c>
      <c r="AD1155" s="2" t="s">
        <v>38</v>
      </c>
      <c r="AE1155" s="2" t="s">
        <v>38</v>
      </c>
    </row>
    <row r="1156" spans="1:31" ht="409.5">
      <c r="A1156" s="2">
        <v>2620236</v>
      </c>
      <c r="B1156" s="2">
        <f>HYPERLINK("https://platform.v2.vetology.net/cases/2620236/screening-report/18?type=pdf&amp;v=v6&amp;scorecard=1&amp;secret_key=BX%25IJ%24%2F65ieZ%29f6", 2620236)</f>
        <v>2620236</v>
      </c>
      <c r="C1156" s="2">
        <f>HYPERLINK("https://platform.v2.vetology.net/report/v/final/"&amp;2620236, 2620236)</f>
        <v>2620236</v>
      </c>
      <c r="D1156" s="2" t="s">
        <v>3401</v>
      </c>
      <c r="E1156" s="2" t="s">
        <v>3402</v>
      </c>
      <c r="F1156" s="2" t="s">
        <v>81</v>
      </c>
      <c r="G1156" s="2" t="s">
        <v>82</v>
      </c>
      <c r="H1156" s="2" t="s">
        <v>3403</v>
      </c>
      <c r="I1156" s="2" t="s">
        <v>2373</v>
      </c>
      <c r="J1156" s="2" t="s">
        <v>2374</v>
      </c>
      <c r="K1156" s="2" t="s">
        <v>39</v>
      </c>
      <c r="L1156" s="2" t="s">
        <v>39</v>
      </c>
      <c r="M1156" s="2" t="s">
        <v>39</v>
      </c>
      <c r="N1156" s="2" t="s">
        <v>39</v>
      </c>
      <c r="O1156" s="2" t="s">
        <v>39</v>
      </c>
      <c r="P1156" s="2" t="s">
        <v>39</v>
      </c>
      <c r="Q1156" s="2" t="s">
        <v>39</v>
      </c>
      <c r="R1156" s="2" t="s">
        <v>39</v>
      </c>
      <c r="S1156" s="2" t="s">
        <v>39</v>
      </c>
      <c r="T1156" s="2" t="s">
        <v>39</v>
      </c>
      <c r="U1156" s="2" t="s">
        <v>39</v>
      </c>
      <c r="V1156" s="2" t="s">
        <v>39</v>
      </c>
      <c r="W1156" s="2" t="s">
        <v>39</v>
      </c>
      <c r="X1156" s="2" t="s">
        <v>39</v>
      </c>
      <c r="Y1156" s="2" t="s">
        <v>39</v>
      </c>
      <c r="Z1156" s="2" t="s">
        <v>39</v>
      </c>
      <c r="AA1156" s="2" t="s">
        <v>39</v>
      </c>
      <c r="AB1156" s="2" t="s">
        <v>39</v>
      </c>
      <c r="AC1156" s="2" t="s">
        <v>39</v>
      </c>
      <c r="AD1156" s="2" t="s">
        <v>39</v>
      </c>
      <c r="AE1156" s="2" t="s">
        <v>39</v>
      </c>
    </row>
    <row r="1157" spans="1:31" ht="409.5">
      <c r="A1157" s="2">
        <v>2620184</v>
      </c>
      <c r="B1157" s="2">
        <f>HYPERLINK("https://platform.v2.vetology.net/cases/2620184/screening-report/18?type=pdf&amp;v=v6&amp;scorecard=1&amp;secret_key=BX%25IJ%24%2F65ieZ%29f6", 2620184)</f>
        <v>2620184</v>
      </c>
      <c r="C1157" s="2">
        <f>HYPERLINK("https://platform.v2.vetology.net/report/v/final/"&amp;2620184, 2620184)</f>
        <v>2620184</v>
      </c>
      <c r="D1157" s="2" t="s">
        <v>3404</v>
      </c>
      <c r="E1157" s="2" t="s">
        <v>3405</v>
      </c>
      <c r="F1157" s="2" t="s">
        <v>3406</v>
      </c>
      <c r="G1157" s="2" t="s">
        <v>212</v>
      </c>
      <c r="H1157" s="2" t="s">
        <v>54</v>
      </c>
      <c r="I1157" s="2" t="s">
        <v>44</v>
      </c>
      <c r="J1157" s="2"/>
      <c r="K1157" s="2" t="s">
        <v>38</v>
      </c>
      <c r="L1157" s="2" t="s">
        <v>38</v>
      </c>
      <c r="M1157" s="2" t="s">
        <v>38</v>
      </c>
      <c r="N1157" s="2" t="s">
        <v>38</v>
      </c>
      <c r="O1157" s="2" t="s">
        <v>38</v>
      </c>
      <c r="P1157" s="2" t="s">
        <v>38</v>
      </c>
      <c r="Q1157" s="2" t="s">
        <v>38</v>
      </c>
      <c r="R1157" s="2" t="s">
        <v>38</v>
      </c>
      <c r="S1157" s="2" t="s">
        <v>38</v>
      </c>
      <c r="T1157" s="2" t="s">
        <v>38</v>
      </c>
      <c r="U1157" s="2" t="s">
        <v>38</v>
      </c>
      <c r="V1157" s="2" t="s">
        <v>38</v>
      </c>
      <c r="W1157" s="2" t="s">
        <v>38</v>
      </c>
      <c r="X1157" s="2" t="s">
        <v>38</v>
      </c>
      <c r="Y1157" s="2" t="s">
        <v>38</v>
      </c>
      <c r="Z1157" s="2" t="s">
        <v>38</v>
      </c>
      <c r="AA1157" s="2" t="s">
        <v>38</v>
      </c>
      <c r="AB1157" s="2" t="s">
        <v>39</v>
      </c>
      <c r="AC1157" s="2" t="s">
        <v>38</v>
      </c>
      <c r="AD1157" s="2" t="s">
        <v>38</v>
      </c>
      <c r="AE1157" s="2" t="s">
        <v>38</v>
      </c>
    </row>
    <row r="1158" spans="1:31" ht="409.5">
      <c r="A1158" s="2">
        <v>2620163</v>
      </c>
      <c r="B1158" s="2">
        <f>HYPERLINK("https://platform.v2.vetology.net/cases/2620163/screening-report/18?type=pdf&amp;v=v6&amp;scorecard=1&amp;secret_key=BX%25IJ%24%2F65ieZ%29f6", 2620163)</f>
        <v>2620163</v>
      </c>
      <c r="C1158" s="2">
        <f>HYPERLINK("https://platform.v2.vetology.net/report/v/final/"&amp;2620163, 2620163)</f>
        <v>2620163</v>
      </c>
      <c r="D1158" s="2" t="s">
        <v>3407</v>
      </c>
      <c r="E1158" s="2" t="s">
        <v>3408</v>
      </c>
      <c r="F1158" s="2" t="s">
        <v>3409</v>
      </c>
      <c r="G1158" s="2" t="s">
        <v>135</v>
      </c>
      <c r="H1158" s="2" t="s">
        <v>3410</v>
      </c>
      <c r="I1158" s="2" t="s">
        <v>214</v>
      </c>
      <c r="J1158" s="2" t="s">
        <v>50</v>
      </c>
      <c r="K1158" s="2" t="s">
        <v>38</v>
      </c>
      <c r="L1158" s="2" t="s">
        <v>39</v>
      </c>
      <c r="M1158" s="2" t="s">
        <v>39</v>
      </c>
      <c r="N1158" s="2" t="s">
        <v>38</v>
      </c>
      <c r="O1158" s="2" t="s">
        <v>39</v>
      </c>
      <c r="P1158" s="2" t="s">
        <v>38</v>
      </c>
      <c r="Q1158" s="2" t="s">
        <v>38</v>
      </c>
      <c r="R1158" s="2" t="s">
        <v>38</v>
      </c>
      <c r="S1158" s="2" t="s">
        <v>39</v>
      </c>
      <c r="T1158" s="2" t="s">
        <v>39</v>
      </c>
      <c r="U1158" s="2" t="s">
        <v>39</v>
      </c>
      <c r="V1158" s="2" t="s">
        <v>39</v>
      </c>
      <c r="W1158" s="2" t="s">
        <v>38</v>
      </c>
      <c r="X1158" s="2" t="s">
        <v>39</v>
      </c>
      <c r="Y1158" s="2" t="s">
        <v>38</v>
      </c>
      <c r="Z1158" s="2" t="s">
        <v>39</v>
      </c>
      <c r="AA1158" s="2" t="s">
        <v>38</v>
      </c>
      <c r="AB1158" s="2" t="s">
        <v>39</v>
      </c>
      <c r="AC1158" s="2" t="s">
        <v>38</v>
      </c>
      <c r="AD1158" s="2" t="s">
        <v>38</v>
      </c>
      <c r="AE1158" s="2" t="s">
        <v>38</v>
      </c>
    </row>
    <row r="1159" spans="1:31" ht="409.5">
      <c r="A1159" s="2">
        <v>2620039</v>
      </c>
      <c r="B1159" s="2">
        <f>HYPERLINK("https://platform.v2.vetology.net/cases/2620039/screening-report/18?type=pdf&amp;v=v6&amp;scorecard=1&amp;secret_key=BX%25IJ%24%2F65ieZ%29f6", 2620039)</f>
        <v>2620039</v>
      </c>
      <c r="C1159" s="2">
        <f>HYPERLINK("https://platform.v2.vetology.net/report/v/final/"&amp;2620039, 2620039)</f>
        <v>2620039</v>
      </c>
      <c r="D1159" s="2" t="s">
        <v>3411</v>
      </c>
      <c r="E1159" s="2" t="s">
        <v>3412</v>
      </c>
      <c r="F1159" s="2" t="s">
        <v>81</v>
      </c>
      <c r="G1159" s="2" t="s">
        <v>268</v>
      </c>
      <c r="H1159" s="2" t="s">
        <v>983</v>
      </c>
      <c r="I1159" s="2" t="s">
        <v>245</v>
      </c>
      <c r="J1159" s="2" t="s">
        <v>246</v>
      </c>
      <c r="K1159" s="2" t="s">
        <v>38</v>
      </c>
      <c r="L1159" s="2" t="s">
        <v>39</v>
      </c>
      <c r="M1159" s="2" t="s">
        <v>39</v>
      </c>
      <c r="N1159" s="2" t="s">
        <v>38</v>
      </c>
      <c r="O1159" s="2" t="s">
        <v>39</v>
      </c>
      <c r="P1159" s="2" t="s">
        <v>39</v>
      </c>
      <c r="Q1159" s="2" t="s">
        <v>38</v>
      </c>
      <c r="R1159" s="2" t="s">
        <v>38</v>
      </c>
      <c r="S1159" s="2" t="s">
        <v>38</v>
      </c>
      <c r="T1159" s="2" t="s">
        <v>39</v>
      </c>
      <c r="U1159" s="2" t="s">
        <v>38</v>
      </c>
      <c r="V1159" s="2" t="s">
        <v>39</v>
      </c>
      <c r="W1159" s="2" t="s">
        <v>38</v>
      </c>
      <c r="X1159" s="2" t="s">
        <v>39</v>
      </c>
      <c r="Y1159" s="2" t="s">
        <v>38</v>
      </c>
      <c r="Z1159" s="2" t="s">
        <v>39</v>
      </c>
      <c r="AA1159" s="2" t="s">
        <v>38</v>
      </c>
      <c r="AB1159" s="2" t="s">
        <v>39</v>
      </c>
      <c r="AC1159" s="2" t="s">
        <v>39</v>
      </c>
      <c r="AD1159" s="2" t="s">
        <v>38</v>
      </c>
      <c r="AE1159" s="2" t="s">
        <v>38</v>
      </c>
    </row>
    <row r="1160" spans="1:31" ht="409.5">
      <c r="A1160" s="2">
        <v>2619860</v>
      </c>
      <c r="B1160" s="2">
        <f>HYPERLINK("https://platform.v2.vetology.net/cases/2619860/screening-report/18?type=pdf&amp;v=v6&amp;scorecard=1&amp;secret_key=BX%25IJ%24%2F65ieZ%29f6", 2619860)</f>
        <v>2619860</v>
      </c>
      <c r="C1160" s="2">
        <f>HYPERLINK("https://platform.v2.vetology.net/report/v/final/"&amp;2619860, 2619860)</f>
        <v>2619860</v>
      </c>
      <c r="D1160" s="2" t="s">
        <v>3413</v>
      </c>
      <c r="E1160" s="2" t="s">
        <v>3414</v>
      </c>
      <c r="F1160" s="2" t="s">
        <v>3415</v>
      </c>
      <c r="G1160" s="2" t="s">
        <v>58</v>
      </c>
      <c r="H1160" s="2" t="s">
        <v>3416</v>
      </c>
      <c r="I1160" s="2" t="s">
        <v>89</v>
      </c>
      <c r="J1160" s="2" t="s">
        <v>66</v>
      </c>
      <c r="K1160" s="2" t="s">
        <v>38</v>
      </c>
      <c r="L1160" s="2" t="s">
        <v>39</v>
      </c>
      <c r="M1160" s="2" t="s">
        <v>38</v>
      </c>
      <c r="N1160" s="2" t="s">
        <v>38</v>
      </c>
      <c r="O1160" s="2" t="s">
        <v>38</v>
      </c>
      <c r="P1160" s="2" t="s">
        <v>38</v>
      </c>
      <c r="Q1160" s="2" t="s">
        <v>38</v>
      </c>
      <c r="R1160" s="2" t="s">
        <v>38</v>
      </c>
      <c r="S1160" s="2" t="s">
        <v>38</v>
      </c>
      <c r="T1160" s="2" t="s">
        <v>38</v>
      </c>
      <c r="U1160" s="2" t="s">
        <v>38</v>
      </c>
      <c r="V1160" s="2" t="s">
        <v>38</v>
      </c>
      <c r="W1160" s="2" t="s">
        <v>38</v>
      </c>
      <c r="X1160" s="2" t="s">
        <v>38</v>
      </c>
      <c r="Y1160" s="2" t="s">
        <v>38</v>
      </c>
      <c r="Z1160" s="2" t="s">
        <v>38</v>
      </c>
      <c r="AA1160" s="2" t="s">
        <v>38</v>
      </c>
      <c r="AB1160" s="2" t="s">
        <v>39</v>
      </c>
      <c r="AC1160" s="2" t="s">
        <v>38</v>
      </c>
      <c r="AD1160" s="2" t="s">
        <v>38</v>
      </c>
      <c r="AE1160" s="2" t="s">
        <v>39</v>
      </c>
    </row>
    <row r="1161" spans="1:31" ht="409.5">
      <c r="A1161" s="2">
        <v>2619850</v>
      </c>
      <c r="B1161" s="2">
        <f>HYPERLINK("https://platform.v2.vetology.net/cases/2619850/screening-report/18?type=pdf&amp;v=v6&amp;scorecard=1&amp;secret_key=BX%25IJ%24%2F65ieZ%29f6", 2619850)</f>
        <v>2619850</v>
      </c>
      <c r="C1161" s="2">
        <f>HYPERLINK("https://platform.v2.vetology.net/report/v/final/"&amp;2619850, 2619850)</f>
        <v>2619850</v>
      </c>
      <c r="D1161" s="2" t="s">
        <v>3417</v>
      </c>
      <c r="E1161" s="2" t="s">
        <v>3418</v>
      </c>
      <c r="F1161" s="2" t="s">
        <v>3419</v>
      </c>
      <c r="G1161" s="2" t="s">
        <v>464</v>
      </c>
      <c r="H1161" s="2" t="s">
        <v>94</v>
      </c>
      <c r="I1161" s="2" t="s">
        <v>89</v>
      </c>
      <c r="J1161" s="2" t="s">
        <v>66</v>
      </c>
      <c r="K1161" s="2" t="s">
        <v>38</v>
      </c>
      <c r="L1161" s="2" t="s">
        <v>38</v>
      </c>
      <c r="M1161" s="2" t="s">
        <v>39</v>
      </c>
      <c r="N1161" s="2" t="s">
        <v>38</v>
      </c>
      <c r="O1161" s="2" t="s">
        <v>38</v>
      </c>
      <c r="P1161" s="2" t="s">
        <v>38</v>
      </c>
      <c r="Q1161" s="2" t="s">
        <v>38</v>
      </c>
      <c r="R1161" s="2" t="s">
        <v>38</v>
      </c>
      <c r="S1161" s="2" t="s">
        <v>39</v>
      </c>
      <c r="T1161" s="2" t="s">
        <v>39</v>
      </c>
      <c r="U1161" s="2" t="s">
        <v>38</v>
      </c>
      <c r="V1161" s="2" t="s">
        <v>39</v>
      </c>
      <c r="W1161" s="2" t="s">
        <v>38</v>
      </c>
      <c r="X1161" s="2" t="s">
        <v>39</v>
      </c>
      <c r="Y1161" s="2" t="s">
        <v>38</v>
      </c>
      <c r="Z1161" s="2" t="s">
        <v>39</v>
      </c>
      <c r="AA1161" s="2" t="s">
        <v>38</v>
      </c>
      <c r="AB1161" s="2" t="s">
        <v>39</v>
      </c>
      <c r="AC1161" s="2" t="s">
        <v>38</v>
      </c>
      <c r="AD1161" s="2" t="s">
        <v>38</v>
      </c>
      <c r="AE1161" s="2" t="s">
        <v>39</v>
      </c>
    </row>
    <row r="1162" spans="1:31" ht="409.5">
      <c r="A1162" s="2">
        <v>2619808</v>
      </c>
      <c r="B1162" s="2">
        <f>HYPERLINK("https://platform.v2.vetology.net/cases/2619808/screening-report/18?type=pdf&amp;v=v6&amp;scorecard=1&amp;secret_key=BX%25IJ%24%2F65ieZ%29f6", 2619808)</f>
        <v>2619808</v>
      </c>
      <c r="C1162" s="2">
        <f>HYPERLINK("https://platform.v2.vetology.net/report/v/final/"&amp;2619808, 2619808)</f>
        <v>2619808</v>
      </c>
      <c r="D1162" s="2" t="s">
        <v>303</v>
      </c>
      <c r="E1162" s="2" t="s">
        <v>304</v>
      </c>
      <c r="F1162" s="2"/>
      <c r="G1162" s="2" t="s">
        <v>150</v>
      </c>
      <c r="H1162" s="2" t="s">
        <v>360</v>
      </c>
      <c r="I1162" s="2" t="s">
        <v>284</v>
      </c>
      <c r="J1162" s="2" t="s">
        <v>285</v>
      </c>
      <c r="K1162" s="2" t="s">
        <v>38</v>
      </c>
      <c r="L1162" s="2" t="s">
        <v>38</v>
      </c>
      <c r="M1162" s="2" t="s">
        <v>38</v>
      </c>
      <c r="N1162" s="2" t="s">
        <v>38</v>
      </c>
      <c r="O1162" s="2" t="s">
        <v>38</v>
      </c>
      <c r="P1162" s="2" t="s">
        <v>38</v>
      </c>
      <c r="Q1162" s="2" t="s">
        <v>38</v>
      </c>
      <c r="R1162" s="2" t="s">
        <v>38</v>
      </c>
      <c r="S1162" s="2" t="s">
        <v>38</v>
      </c>
      <c r="T1162" s="2" t="s">
        <v>39</v>
      </c>
      <c r="U1162" s="2" t="s">
        <v>38</v>
      </c>
      <c r="V1162" s="2" t="s">
        <v>39</v>
      </c>
      <c r="W1162" s="2" t="s">
        <v>38</v>
      </c>
      <c r="X1162" s="2" t="s">
        <v>39</v>
      </c>
      <c r="Y1162" s="2" t="s">
        <v>38</v>
      </c>
      <c r="Z1162" s="2" t="s">
        <v>38</v>
      </c>
      <c r="AA1162" s="2" t="s">
        <v>38</v>
      </c>
      <c r="AB1162" s="2" t="s">
        <v>38</v>
      </c>
      <c r="AC1162" s="2" t="s">
        <v>38</v>
      </c>
      <c r="AD1162" s="2" t="s">
        <v>38</v>
      </c>
      <c r="AE1162" s="2" t="s">
        <v>38</v>
      </c>
    </row>
    <row r="1163" spans="1:31" ht="409.5">
      <c r="A1163" s="2">
        <v>2619743</v>
      </c>
      <c r="B1163" s="2">
        <f>HYPERLINK("https://platform.v2.vetology.net/cases/2619743/screening-report/18?type=pdf&amp;v=v6&amp;scorecard=1&amp;secret_key=BX%25IJ%24%2F65ieZ%29f6", 2619743)</f>
        <v>2619743</v>
      </c>
      <c r="C1163" s="2">
        <f>HYPERLINK("https://platform.v2.vetology.net/report/v/final/"&amp;2619743, 2619743)</f>
        <v>2619743</v>
      </c>
      <c r="D1163" s="2" t="s">
        <v>3420</v>
      </c>
      <c r="E1163" s="2" t="s">
        <v>617</v>
      </c>
      <c r="F1163" s="2" t="s">
        <v>134</v>
      </c>
      <c r="G1163" s="2" t="s">
        <v>135</v>
      </c>
      <c r="H1163" s="2" t="s">
        <v>1180</v>
      </c>
      <c r="I1163" s="2" t="s">
        <v>158</v>
      </c>
      <c r="J1163" s="2" t="s">
        <v>50</v>
      </c>
      <c r="K1163" s="2" t="s">
        <v>38</v>
      </c>
      <c r="L1163" s="2" t="s">
        <v>38</v>
      </c>
      <c r="M1163" s="2" t="s">
        <v>38</v>
      </c>
      <c r="N1163" s="2" t="s">
        <v>38</v>
      </c>
      <c r="O1163" s="2" t="s">
        <v>38</v>
      </c>
      <c r="P1163" s="2" t="s">
        <v>38</v>
      </c>
      <c r="Q1163" s="2" t="s">
        <v>38</v>
      </c>
      <c r="R1163" s="2" t="s">
        <v>38</v>
      </c>
      <c r="S1163" s="2" t="s">
        <v>38</v>
      </c>
      <c r="T1163" s="2" t="s">
        <v>38</v>
      </c>
      <c r="U1163" s="2" t="s">
        <v>38</v>
      </c>
      <c r="V1163" s="2" t="s">
        <v>38</v>
      </c>
      <c r="W1163" s="2" t="s">
        <v>38</v>
      </c>
      <c r="X1163" s="2" t="s">
        <v>39</v>
      </c>
      <c r="Y1163" s="2" t="s">
        <v>38</v>
      </c>
      <c r="Z1163" s="2" t="s">
        <v>38</v>
      </c>
      <c r="AA1163" s="2" t="s">
        <v>38</v>
      </c>
      <c r="AB1163" s="2" t="s">
        <v>38</v>
      </c>
      <c r="AC1163" s="2" t="s">
        <v>38</v>
      </c>
      <c r="AD1163" s="2" t="s">
        <v>38</v>
      </c>
      <c r="AE1163" s="2" t="s">
        <v>38</v>
      </c>
    </row>
    <row r="1164" spans="1:31" ht="409.5">
      <c r="A1164" s="2">
        <v>2619419</v>
      </c>
      <c r="B1164" s="2">
        <f>HYPERLINK("https://platform.v2.vetology.net/cases/2619419/screening-report/18?type=pdf&amp;v=v6&amp;scorecard=1&amp;secret_key=BX%25IJ%24%2F65ieZ%29f6", 2619419)</f>
        <v>2619419</v>
      </c>
      <c r="C1164" s="2">
        <f>HYPERLINK("https://platform.v2.vetology.net/report/v/final/"&amp;2619419, 2619419)</f>
        <v>2619419</v>
      </c>
      <c r="D1164" s="2" t="s">
        <v>3421</v>
      </c>
      <c r="E1164" s="2" t="s">
        <v>3422</v>
      </c>
      <c r="F1164" s="2" t="s">
        <v>81</v>
      </c>
      <c r="G1164" s="2" t="s">
        <v>268</v>
      </c>
      <c r="H1164" s="2" t="s">
        <v>1552</v>
      </c>
      <c r="I1164" s="2" t="s">
        <v>264</v>
      </c>
      <c r="J1164" s="2" t="s">
        <v>265</v>
      </c>
      <c r="K1164" s="2" t="s">
        <v>38</v>
      </c>
      <c r="L1164" s="2" t="s">
        <v>39</v>
      </c>
      <c r="M1164" s="2" t="s">
        <v>38</v>
      </c>
      <c r="N1164" s="2" t="s">
        <v>38</v>
      </c>
      <c r="O1164" s="2" t="s">
        <v>39</v>
      </c>
      <c r="P1164" s="2" t="s">
        <v>39</v>
      </c>
      <c r="Q1164" s="2" t="s">
        <v>39</v>
      </c>
      <c r="R1164" s="2" t="s">
        <v>38</v>
      </c>
      <c r="S1164" s="2" t="s">
        <v>39</v>
      </c>
      <c r="T1164" s="2" t="s">
        <v>39</v>
      </c>
      <c r="U1164" s="2" t="s">
        <v>38</v>
      </c>
      <c r="V1164" s="2" t="s">
        <v>38</v>
      </c>
      <c r="W1164" s="2" t="s">
        <v>38</v>
      </c>
      <c r="X1164" s="2" t="s">
        <v>39</v>
      </c>
      <c r="Y1164" s="2" t="s">
        <v>38</v>
      </c>
      <c r="Z1164" s="2" t="s">
        <v>39</v>
      </c>
      <c r="AA1164" s="2" t="s">
        <v>38</v>
      </c>
      <c r="AB1164" s="2" t="s">
        <v>39</v>
      </c>
      <c r="AC1164" s="2" t="s">
        <v>38</v>
      </c>
      <c r="AD1164" s="2" t="s">
        <v>38</v>
      </c>
      <c r="AE1164" s="2" t="s">
        <v>38</v>
      </c>
    </row>
    <row r="1165" spans="1:31" ht="409.5">
      <c r="A1165" s="2">
        <v>2619350</v>
      </c>
      <c r="B1165" s="2">
        <f>HYPERLINK("https://platform.v2.vetology.net/cases/2619350/screening-report/18?type=pdf&amp;v=v6&amp;scorecard=1&amp;secret_key=BX%25IJ%24%2F65ieZ%29f6", 2619350)</f>
        <v>2619350</v>
      </c>
      <c r="C1165" s="2">
        <f>HYPERLINK("https://platform.v2.vetology.net/report/v/final/"&amp;2619350, 2619350)</f>
        <v>2619350</v>
      </c>
      <c r="D1165" s="2" t="s">
        <v>3423</v>
      </c>
      <c r="E1165" s="2" t="s">
        <v>3424</v>
      </c>
      <c r="F1165" s="2" t="s">
        <v>3425</v>
      </c>
      <c r="G1165" s="2" t="s">
        <v>58</v>
      </c>
      <c r="H1165" s="2" t="s">
        <v>1180</v>
      </c>
      <c r="I1165" s="2" t="s">
        <v>158</v>
      </c>
      <c r="J1165" s="2" t="s">
        <v>50</v>
      </c>
      <c r="K1165" s="2" t="s">
        <v>38</v>
      </c>
      <c r="L1165" s="2" t="s">
        <v>38</v>
      </c>
      <c r="M1165" s="2" t="s">
        <v>39</v>
      </c>
      <c r="N1165" s="2" t="s">
        <v>39</v>
      </c>
      <c r="O1165" s="2" t="s">
        <v>38</v>
      </c>
      <c r="P1165" s="2" t="s">
        <v>38</v>
      </c>
      <c r="Q1165" s="2" t="s">
        <v>39</v>
      </c>
      <c r="R1165" s="2" t="s">
        <v>38</v>
      </c>
      <c r="S1165" s="2" t="s">
        <v>38</v>
      </c>
      <c r="T1165" s="2" t="s">
        <v>38</v>
      </c>
      <c r="U1165" s="2" t="s">
        <v>38</v>
      </c>
      <c r="V1165" s="2" t="s">
        <v>38</v>
      </c>
      <c r="W1165" s="2" t="s">
        <v>38</v>
      </c>
      <c r="X1165" s="2" t="s">
        <v>39</v>
      </c>
      <c r="Y1165" s="2" t="s">
        <v>38</v>
      </c>
      <c r="Z1165" s="2" t="s">
        <v>39</v>
      </c>
      <c r="AA1165" s="2" t="s">
        <v>38</v>
      </c>
      <c r="AB1165" s="2" t="s">
        <v>39</v>
      </c>
      <c r="AC1165" s="2" t="s">
        <v>39</v>
      </c>
      <c r="AD1165" s="2" t="s">
        <v>38</v>
      </c>
      <c r="AE1165" s="2" t="s">
        <v>38</v>
      </c>
    </row>
    <row r="1166" spans="1:31" ht="409.5">
      <c r="A1166" s="2">
        <v>2619296</v>
      </c>
      <c r="B1166" s="2">
        <f>HYPERLINK("https://platform.v2.vetology.net/cases/2619296/screening-report/18?type=pdf&amp;v=v6&amp;scorecard=1&amp;secret_key=BX%25IJ%24%2F65ieZ%29f6", 2619296)</f>
        <v>2619296</v>
      </c>
      <c r="C1166" s="2">
        <f>HYPERLINK("https://platform.v2.vetology.net/report/v/final/"&amp;2619296, 2619296)</f>
        <v>2619296</v>
      </c>
      <c r="D1166" s="2" t="s">
        <v>3426</v>
      </c>
      <c r="E1166" s="2" t="s">
        <v>3427</v>
      </c>
      <c r="F1166" s="2" t="s">
        <v>3428</v>
      </c>
      <c r="G1166" s="2" t="s">
        <v>212</v>
      </c>
      <c r="H1166" s="2" t="s">
        <v>94</v>
      </c>
      <c r="I1166" s="2" t="s">
        <v>89</v>
      </c>
      <c r="J1166" s="2" t="s">
        <v>66</v>
      </c>
      <c r="K1166" s="2" t="s">
        <v>38</v>
      </c>
      <c r="L1166" s="2" t="s">
        <v>38</v>
      </c>
      <c r="M1166" s="2" t="s">
        <v>39</v>
      </c>
      <c r="N1166" s="2" t="s">
        <v>38</v>
      </c>
      <c r="O1166" s="2" t="s">
        <v>38</v>
      </c>
      <c r="P1166" s="2" t="s">
        <v>38</v>
      </c>
      <c r="Q1166" s="2" t="s">
        <v>38</v>
      </c>
      <c r="R1166" s="2" t="s">
        <v>38</v>
      </c>
      <c r="S1166" s="2" t="s">
        <v>38</v>
      </c>
      <c r="T1166" s="2" t="s">
        <v>38</v>
      </c>
      <c r="U1166" s="2" t="s">
        <v>38</v>
      </c>
      <c r="V1166" s="2" t="s">
        <v>38</v>
      </c>
      <c r="W1166" s="2" t="s">
        <v>38</v>
      </c>
      <c r="X1166" s="2" t="s">
        <v>38</v>
      </c>
      <c r="Y1166" s="2" t="s">
        <v>38</v>
      </c>
      <c r="Z1166" s="2" t="s">
        <v>38</v>
      </c>
      <c r="AA1166" s="2" t="s">
        <v>38</v>
      </c>
      <c r="AB1166" s="2" t="s">
        <v>39</v>
      </c>
      <c r="AC1166" s="2" t="s">
        <v>38</v>
      </c>
      <c r="AD1166" s="2" t="s">
        <v>38</v>
      </c>
      <c r="AE1166" s="2" t="s">
        <v>39</v>
      </c>
    </row>
    <row r="1167" spans="1:31" ht="409.5">
      <c r="A1167" s="2">
        <v>2619289</v>
      </c>
      <c r="B1167" s="2">
        <f>HYPERLINK("https://platform.v2.vetology.net/cases/2619289/screening-report/18?type=pdf&amp;v=v6&amp;scorecard=1&amp;secret_key=BX%25IJ%24%2F65ieZ%29f6", 2619289)</f>
        <v>2619289</v>
      </c>
      <c r="C1167" s="2">
        <f>HYPERLINK("https://platform.v2.vetology.net/report/v/final/"&amp;2619289, 2619289)</f>
        <v>2619289</v>
      </c>
      <c r="D1167" s="2" t="s">
        <v>3429</v>
      </c>
      <c r="E1167" s="2" t="s">
        <v>3430</v>
      </c>
      <c r="F1167" s="2" t="s">
        <v>81</v>
      </c>
      <c r="G1167" s="2" t="s">
        <v>82</v>
      </c>
      <c r="H1167" s="2" t="s">
        <v>94</v>
      </c>
      <c r="I1167" s="2" t="s">
        <v>89</v>
      </c>
      <c r="J1167" s="2" t="s">
        <v>66</v>
      </c>
      <c r="K1167" s="2" t="s">
        <v>38</v>
      </c>
      <c r="L1167" s="2" t="s">
        <v>39</v>
      </c>
      <c r="M1167" s="2" t="s">
        <v>38</v>
      </c>
      <c r="N1167" s="2" t="s">
        <v>38</v>
      </c>
      <c r="O1167" s="2" t="s">
        <v>38</v>
      </c>
      <c r="P1167" s="2" t="s">
        <v>38</v>
      </c>
      <c r="Q1167" s="2" t="s">
        <v>38</v>
      </c>
      <c r="R1167" s="2" t="s">
        <v>38</v>
      </c>
      <c r="S1167" s="2" t="s">
        <v>38</v>
      </c>
      <c r="T1167" s="2" t="s">
        <v>38</v>
      </c>
      <c r="U1167" s="2" t="s">
        <v>38</v>
      </c>
      <c r="V1167" s="2" t="s">
        <v>38</v>
      </c>
      <c r="W1167" s="2" t="s">
        <v>38</v>
      </c>
      <c r="X1167" s="2" t="s">
        <v>38</v>
      </c>
      <c r="Y1167" s="2" t="s">
        <v>38</v>
      </c>
      <c r="Z1167" s="2" t="s">
        <v>38</v>
      </c>
      <c r="AA1167" s="2" t="s">
        <v>38</v>
      </c>
      <c r="AB1167" s="2" t="s">
        <v>39</v>
      </c>
      <c r="AC1167" s="2" t="s">
        <v>38</v>
      </c>
      <c r="AD1167" s="2" t="s">
        <v>38</v>
      </c>
      <c r="AE1167" s="2" t="s">
        <v>39</v>
      </c>
    </row>
    <row r="1168" spans="1:31" ht="409.5">
      <c r="A1168" s="2">
        <v>2618982</v>
      </c>
      <c r="B1168" s="2">
        <f>HYPERLINK("https://platform.v2.vetology.net/cases/2618982/screening-report/18?type=pdf&amp;v=v6&amp;scorecard=1&amp;secret_key=BX%25IJ%24%2F65ieZ%29f6", 2618982)</f>
        <v>2618982</v>
      </c>
      <c r="C1168" s="2">
        <f>HYPERLINK("https://platform.v2.vetology.net/report/v/final/"&amp;2618982, 2618982)</f>
        <v>2618982</v>
      </c>
      <c r="D1168" s="2" t="s">
        <v>3431</v>
      </c>
      <c r="E1168" s="2" t="s">
        <v>3432</v>
      </c>
      <c r="F1168" s="2" t="s">
        <v>149</v>
      </c>
      <c r="G1168" s="2" t="s">
        <v>150</v>
      </c>
      <c r="H1168" s="2" t="s">
        <v>3433</v>
      </c>
      <c r="I1168" s="2" t="s">
        <v>137</v>
      </c>
      <c r="J1168" s="2" t="s">
        <v>66</v>
      </c>
      <c r="K1168" s="2" t="s">
        <v>38</v>
      </c>
      <c r="L1168" s="2" t="s">
        <v>39</v>
      </c>
      <c r="M1168" s="2" t="s">
        <v>38</v>
      </c>
      <c r="N1168" s="2" t="s">
        <v>38</v>
      </c>
      <c r="O1168" s="2" t="s">
        <v>38</v>
      </c>
      <c r="P1168" s="2" t="s">
        <v>39</v>
      </c>
      <c r="Q1168" s="2" t="s">
        <v>38</v>
      </c>
      <c r="R1168" s="2" t="s">
        <v>38</v>
      </c>
      <c r="S1168" s="2" t="s">
        <v>38</v>
      </c>
      <c r="T1168" s="2" t="s">
        <v>38</v>
      </c>
      <c r="U1168" s="2" t="s">
        <v>38</v>
      </c>
      <c r="V1168" s="2" t="s">
        <v>38</v>
      </c>
      <c r="W1168" s="2" t="s">
        <v>38</v>
      </c>
      <c r="X1168" s="2" t="s">
        <v>39</v>
      </c>
      <c r="Y1168" s="2" t="s">
        <v>38</v>
      </c>
      <c r="Z1168" s="2" t="s">
        <v>38</v>
      </c>
      <c r="AA1168" s="2" t="s">
        <v>38</v>
      </c>
      <c r="AB1168" s="2" t="s">
        <v>38</v>
      </c>
      <c r="AC1168" s="2" t="s">
        <v>38</v>
      </c>
      <c r="AD1168" s="2" t="s">
        <v>38</v>
      </c>
      <c r="AE1168" s="2" t="s">
        <v>38</v>
      </c>
    </row>
    <row r="1169" spans="1:31" ht="409.5">
      <c r="A1169" s="2">
        <v>2618844</v>
      </c>
      <c r="B1169" s="2">
        <f>HYPERLINK("https://platform.v2.vetology.net/cases/2618844/screening-report/18?type=pdf&amp;v=v6&amp;scorecard=1&amp;secret_key=BX%25IJ%24%2F65ieZ%29f6", 2618844)</f>
        <v>2618844</v>
      </c>
      <c r="C1169" s="2">
        <f>HYPERLINK("https://platform.v2.vetology.net/report/v/final/"&amp;2618844, 2618844)</f>
        <v>2618844</v>
      </c>
      <c r="D1169" s="2" t="s">
        <v>3434</v>
      </c>
      <c r="E1169" s="2" t="s">
        <v>3435</v>
      </c>
      <c r="F1169" s="2" t="s">
        <v>3436</v>
      </c>
      <c r="G1169" s="2" t="s">
        <v>70</v>
      </c>
      <c r="H1169" s="2" t="s">
        <v>3437</v>
      </c>
      <c r="I1169" s="2" t="s">
        <v>89</v>
      </c>
      <c r="J1169" s="2" t="s">
        <v>66</v>
      </c>
      <c r="K1169" s="2" t="s">
        <v>38</v>
      </c>
      <c r="L1169" s="2" t="s">
        <v>38</v>
      </c>
      <c r="M1169" s="2" t="s">
        <v>38</v>
      </c>
      <c r="N1169" s="2" t="s">
        <v>38</v>
      </c>
      <c r="O1169" s="2" t="s">
        <v>38</v>
      </c>
      <c r="P1169" s="2" t="s">
        <v>38</v>
      </c>
      <c r="Q1169" s="2" t="s">
        <v>38</v>
      </c>
      <c r="R1169" s="2" t="s">
        <v>38</v>
      </c>
      <c r="S1169" s="2" t="s">
        <v>38</v>
      </c>
      <c r="T1169" s="2" t="s">
        <v>38</v>
      </c>
      <c r="U1169" s="2" t="s">
        <v>38</v>
      </c>
      <c r="V1169" s="2" t="s">
        <v>38</v>
      </c>
      <c r="W1169" s="2" t="s">
        <v>38</v>
      </c>
      <c r="X1169" s="2" t="s">
        <v>38</v>
      </c>
      <c r="Y1169" s="2" t="s">
        <v>38</v>
      </c>
      <c r="Z1169" s="2" t="s">
        <v>38</v>
      </c>
      <c r="AA1169" s="2" t="s">
        <v>38</v>
      </c>
      <c r="AB1169" s="2" t="s">
        <v>38</v>
      </c>
      <c r="AC1169" s="2" t="s">
        <v>38</v>
      </c>
      <c r="AD1169" s="2" t="s">
        <v>38</v>
      </c>
      <c r="AE1169" s="2" t="s">
        <v>39</v>
      </c>
    </row>
    <row r="1170" spans="1:31" ht="409.5">
      <c r="A1170" s="2">
        <v>2618795</v>
      </c>
      <c r="B1170" s="2">
        <f>HYPERLINK("https://platform.v2.vetology.net/cases/2618795/screening-report/18?type=pdf&amp;v=v6&amp;scorecard=1&amp;secret_key=BX%25IJ%24%2F65ieZ%29f6", 2618795)</f>
        <v>2618795</v>
      </c>
      <c r="C1170" s="2">
        <f>HYPERLINK("https://platform.v2.vetology.net/report/v/final/"&amp;2618795, 2618795)</f>
        <v>2618795</v>
      </c>
      <c r="D1170" s="2" t="s">
        <v>3438</v>
      </c>
      <c r="E1170" s="2" t="s">
        <v>3439</v>
      </c>
      <c r="F1170" s="2" t="s">
        <v>3440</v>
      </c>
      <c r="G1170" s="2" t="s">
        <v>464</v>
      </c>
      <c r="H1170" s="2" t="s">
        <v>3441</v>
      </c>
      <c r="I1170" s="2" t="s">
        <v>184</v>
      </c>
      <c r="J1170" s="2" t="s">
        <v>185</v>
      </c>
      <c r="K1170" s="2" t="s">
        <v>38</v>
      </c>
      <c r="L1170" s="2" t="s">
        <v>38</v>
      </c>
      <c r="M1170" s="2" t="s">
        <v>38</v>
      </c>
      <c r="N1170" s="2" t="s">
        <v>38</v>
      </c>
      <c r="O1170" s="2" t="s">
        <v>38</v>
      </c>
      <c r="P1170" s="2" t="s">
        <v>38</v>
      </c>
      <c r="Q1170" s="2" t="s">
        <v>39</v>
      </c>
      <c r="R1170" s="2" t="s">
        <v>38</v>
      </c>
      <c r="S1170" s="2" t="s">
        <v>38</v>
      </c>
      <c r="T1170" s="2" t="s">
        <v>38</v>
      </c>
      <c r="U1170" s="2" t="s">
        <v>38</v>
      </c>
      <c r="V1170" s="2" t="s">
        <v>38</v>
      </c>
      <c r="W1170" s="2" t="s">
        <v>38</v>
      </c>
      <c r="X1170" s="2" t="s">
        <v>38</v>
      </c>
      <c r="Y1170" s="2" t="s">
        <v>38</v>
      </c>
      <c r="Z1170" s="2" t="s">
        <v>38</v>
      </c>
      <c r="AA1170" s="2" t="s">
        <v>38</v>
      </c>
      <c r="AB1170" s="2" t="s">
        <v>38</v>
      </c>
      <c r="AC1170" s="2" t="s">
        <v>39</v>
      </c>
      <c r="AD1170" s="2" t="s">
        <v>38</v>
      </c>
      <c r="AE1170" s="2" t="s">
        <v>39</v>
      </c>
    </row>
    <row r="1171" spans="1:31" ht="409.5">
      <c r="A1171" s="2">
        <v>2618477</v>
      </c>
      <c r="B1171" s="2">
        <f>HYPERLINK("https://platform.v2.vetology.net/cases/2618477/screening-report/18?type=pdf&amp;v=v6&amp;scorecard=1&amp;secret_key=BX%25IJ%24%2F65ieZ%29f6", 2618477)</f>
        <v>2618477</v>
      </c>
      <c r="C1171" s="2">
        <f>HYPERLINK("https://platform.v2.vetology.net/report/v/final/"&amp;2618477, 2618477)</f>
        <v>2618477</v>
      </c>
      <c r="D1171" s="2" t="s">
        <v>3442</v>
      </c>
      <c r="E1171" s="2" t="s">
        <v>3443</v>
      </c>
      <c r="F1171" s="2" t="s">
        <v>3444</v>
      </c>
      <c r="G1171" s="2" t="s">
        <v>70</v>
      </c>
      <c r="H1171" s="2" t="s">
        <v>94</v>
      </c>
      <c r="I1171" s="2" t="s">
        <v>89</v>
      </c>
      <c r="J1171" s="2" t="s">
        <v>66</v>
      </c>
      <c r="K1171" s="2" t="s">
        <v>38</v>
      </c>
      <c r="L1171" s="2" t="s">
        <v>38</v>
      </c>
      <c r="M1171" s="2" t="s">
        <v>38</v>
      </c>
      <c r="N1171" s="2" t="s">
        <v>38</v>
      </c>
      <c r="O1171" s="2" t="s">
        <v>38</v>
      </c>
      <c r="P1171" s="2" t="s">
        <v>38</v>
      </c>
      <c r="Q1171" s="2" t="s">
        <v>38</v>
      </c>
      <c r="R1171" s="2" t="s">
        <v>38</v>
      </c>
      <c r="S1171" s="2" t="s">
        <v>38</v>
      </c>
      <c r="T1171" s="2" t="s">
        <v>39</v>
      </c>
      <c r="U1171" s="2" t="s">
        <v>38</v>
      </c>
      <c r="V1171" s="2" t="s">
        <v>39</v>
      </c>
      <c r="W1171" s="2" t="s">
        <v>38</v>
      </c>
      <c r="X1171" s="2" t="s">
        <v>39</v>
      </c>
      <c r="Y1171" s="2" t="s">
        <v>38</v>
      </c>
      <c r="Z1171" s="2" t="s">
        <v>38</v>
      </c>
      <c r="AA1171" s="2" t="s">
        <v>38</v>
      </c>
      <c r="AB1171" s="2" t="s">
        <v>38</v>
      </c>
      <c r="AC1171" s="2" t="s">
        <v>38</v>
      </c>
      <c r="AD1171" s="2" t="s">
        <v>38</v>
      </c>
      <c r="AE1171" s="2" t="s">
        <v>39</v>
      </c>
    </row>
    <row r="1172" spans="1:31" ht="409.5">
      <c r="A1172" s="2">
        <v>2618402</v>
      </c>
      <c r="B1172" s="2">
        <f>HYPERLINK("https://platform.v2.vetology.net/cases/2618402/screening-report/18?type=pdf&amp;v=v6&amp;scorecard=1&amp;secret_key=BX%25IJ%24%2F65ieZ%29f6", 2618402)</f>
        <v>2618402</v>
      </c>
      <c r="C1172" s="2">
        <f>HYPERLINK("https://platform.v2.vetology.net/report/v/final/"&amp;2618402, 2618402)</f>
        <v>2618402</v>
      </c>
      <c r="D1172" s="2" t="s">
        <v>3445</v>
      </c>
      <c r="E1172" s="2" t="s">
        <v>3446</v>
      </c>
      <c r="F1172" s="2"/>
      <c r="G1172" s="2" t="s">
        <v>141</v>
      </c>
      <c r="H1172" s="2" t="s">
        <v>2320</v>
      </c>
      <c r="I1172" s="2" t="s">
        <v>137</v>
      </c>
      <c r="J1172" s="2" t="s">
        <v>66</v>
      </c>
      <c r="K1172" s="2" t="s">
        <v>38</v>
      </c>
      <c r="L1172" s="2" t="s">
        <v>39</v>
      </c>
      <c r="M1172" s="2" t="s">
        <v>39</v>
      </c>
      <c r="N1172" s="2" t="s">
        <v>38</v>
      </c>
      <c r="O1172" s="2" t="s">
        <v>39</v>
      </c>
      <c r="P1172" s="2" t="s">
        <v>39</v>
      </c>
      <c r="Q1172" s="2" t="s">
        <v>38</v>
      </c>
      <c r="R1172" s="2" t="s">
        <v>38</v>
      </c>
      <c r="S1172" s="2" t="s">
        <v>38</v>
      </c>
      <c r="T1172" s="2" t="s">
        <v>39</v>
      </c>
      <c r="U1172" s="2" t="s">
        <v>38</v>
      </c>
      <c r="V1172" s="2" t="s">
        <v>39</v>
      </c>
      <c r="W1172" s="2" t="s">
        <v>38</v>
      </c>
      <c r="X1172" s="2" t="s">
        <v>39</v>
      </c>
      <c r="Y1172" s="2" t="s">
        <v>38</v>
      </c>
      <c r="Z1172" s="2" t="s">
        <v>38</v>
      </c>
      <c r="AA1172" s="2" t="s">
        <v>38</v>
      </c>
      <c r="AB1172" s="2" t="s">
        <v>38</v>
      </c>
      <c r="AC1172" s="2" t="s">
        <v>38</v>
      </c>
      <c r="AD1172" s="2" t="s">
        <v>38</v>
      </c>
      <c r="AE1172" s="2" t="s">
        <v>39</v>
      </c>
    </row>
    <row r="1173" spans="1:31" ht="409.5">
      <c r="A1173" s="2">
        <v>2618194</v>
      </c>
      <c r="B1173" s="2">
        <f>HYPERLINK("https://platform.v2.vetology.net/cases/2618194/screening-report/18?type=pdf&amp;v=v6&amp;scorecard=1&amp;secret_key=BX%25IJ%24%2F65ieZ%29f6", 2618194)</f>
        <v>2618194</v>
      </c>
      <c r="C1173" s="2">
        <f>HYPERLINK("https://platform.v2.vetology.net/report/v/final/"&amp;2618194, 2618194)</f>
        <v>2618194</v>
      </c>
      <c r="D1173" s="2" t="s">
        <v>3447</v>
      </c>
      <c r="E1173" s="2" t="s">
        <v>3101</v>
      </c>
      <c r="F1173" s="2" t="s">
        <v>81</v>
      </c>
      <c r="G1173" s="2" t="s">
        <v>150</v>
      </c>
      <c r="H1173" s="2" t="s">
        <v>3448</v>
      </c>
      <c r="I1173" s="2" t="s">
        <v>111</v>
      </c>
      <c r="J1173" s="2" t="s">
        <v>112</v>
      </c>
      <c r="K1173" s="2" t="s">
        <v>39</v>
      </c>
      <c r="L1173" s="2" t="s">
        <v>39</v>
      </c>
      <c r="M1173" s="2" t="s">
        <v>39</v>
      </c>
      <c r="N1173" s="2" t="s">
        <v>39</v>
      </c>
      <c r="O1173" s="2" t="s">
        <v>39</v>
      </c>
      <c r="P1173" s="2" t="s">
        <v>39</v>
      </c>
      <c r="Q1173" s="2" t="s">
        <v>39</v>
      </c>
      <c r="R1173" s="2" t="s">
        <v>39</v>
      </c>
      <c r="S1173" s="2" t="s">
        <v>39</v>
      </c>
      <c r="T1173" s="2" t="s">
        <v>39</v>
      </c>
      <c r="U1173" s="2" t="s">
        <v>39</v>
      </c>
      <c r="V1173" s="2" t="s">
        <v>39</v>
      </c>
      <c r="W1173" s="2" t="s">
        <v>39</v>
      </c>
      <c r="X1173" s="2" t="s">
        <v>39</v>
      </c>
      <c r="Y1173" s="2" t="s">
        <v>39</v>
      </c>
      <c r="Z1173" s="2" t="s">
        <v>39</v>
      </c>
      <c r="AA1173" s="2" t="s">
        <v>39</v>
      </c>
      <c r="AB1173" s="2" t="s">
        <v>39</v>
      </c>
      <c r="AC1173" s="2" t="s">
        <v>39</v>
      </c>
      <c r="AD1173" s="2" t="s">
        <v>39</v>
      </c>
      <c r="AE1173" s="2" t="s">
        <v>39</v>
      </c>
    </row>
    <row r="1174" spans="1:31" ht="409.5">
      <c r="A1174" s="2">
        <v>2618143</v>
      </c>
      <c r="B1174" s="2">
        <f>HYPERLINK("https://platform.v2.vetology.net/cases/2618143/screening-report/18?type=pdf&amp;v=v6&amp;scorecard=1&amp;secret_key=BX%25IJ%24%2F65ieZ%29f6", 2618143)</f>
        <v>2618143</v>
      </c>
      <c r="C1174" s="2">
        <f>HYPERLINK("https://platform.v2.vetology.net/report/v/final/"&amp;2618143, 2618143)</f>
        <v>2618143</v>
      </c>
      <c r="D1174" s="2" t="s">
        <v>3449</v>
      </c>
      <c r="E1174" s="2" t="s">
        <v>3450</v>
      </c>
      <c r="F1174" s="2" t="s">
        <v>81</v>
      </c>
      <c r="G1174" s="2" t="s">
        <v>268</v>
      </c>
      <c r="H1174" s="2" t="s">
        <v>105</v>
      </c>
      <c r="I1174" s="2" t="s">
        <v>44</v>
      </c>
      <c r="J1174" s="2"/>
      <c r="K1174" s="2" t="s">
        <v>38</v>
      </c>
      <c r="L1174" s="2" t="s">
        <v>39</v>
      </c>
      <c r="M1174" s="2" t="s">
        <v>39</v>
      </c>
      <c r="N1174" s="2" t="s">
        <v>38</v>
      </c>
      <c r="O1174" s="2" t="s">
        <v>38</v>
      </c>
      <c r="P1174" s="2" t="s">
        <v>39</v>
      </c>
      <c r="Q1174" s="2" t="s">
        <v>38</v>
      </c>
      <c r="R1174" s="2" t="s">
        <v>38</v>
      </c>
      <c r="S1174" s="2" t="s">
        <v>38</v>
      </c>
      <c r="T1174" s="2" t="s">
        <v>38</v>
      </c>
      <c r="U1174" s="2" t="s">
        <v>38</v>
      </c>
      <c r="V1174" s="2" t="s">
        <v>38</v>
      </c>
      <c r="W1174" s="2" t="s">
        <v>38</v>
      </c>
      <c r="X1174" s="2" t="s">
        <v>38</v>
      </c>
      <c r="Y1174" s="2" t="s">
        <v>38</v>
      </c>
      <c r="Z1174" s="2" t="s">
        <v>38</v>
      </c>
      <c r="AA1174" s="2" t="s">
        <v>38</v>
      </c>
      <c r="AB1174" s="2" t="s">
        <v>38</v>
      </c>
      <c r="AC1174" s="2" t="s">
        <v>38</v>
      </c>
      <c r="AD1174" s="2" t="s">
        <v>38</v>
      </c>
      <c r="AE1174" s="2" t="s">
        <v>38</v>
      </c>
    </row>
    <row r="1175" spans="1:31" ht="409.5">
      <c r="A1175" s="2">
        <v>2618110</v>
      </c>
      <c r="B1175" s="2">
        <f>HYPERLINK("https://platform.v2.vetology.net/cases/2618110/screening-report/18?type=pdf&amp;v=v6&amp;scorecard=1&amp;secret_key=BX%25IJ%24%2F65ieZ%29f6", 2618110)</f>
        <v>2618110</v>
      </c>
      <c r="C1175" s="2">
        <f>HYPERLINK("https://platform.v2.vetology.net/report/v/final/"&amp;2618110, 2618110)</f>
        <v>2618110</v>
      </c>
      <c r="D1175" s="2" t="s">
        <v>3451</v>
      </c>
      <c r="E1175" s="2" t="s">
        <v>3452</v>
      </c>
      <c r="F1175" s="2" t="s">
        <v>1105</v>
      </c>
      <c r="G1175" s="2" t="s">
        <v>63</v>
      </c>
      <c r="H1175" s="2" t="s">
        <v>1416</v>
      </c>
      <c r="I1175" s="2" t="s">
        <v>284</v>
      </c>
      <c r="J1175" s="2" t="s">
        <v>285</v>
      </c>
      <c r="K1175" s="2" t="s">
        <v>38</v>
      </c>
      <c r="L1175" s="2" t="s">
        <v>38</v>
      </c>
      <c r="M1175" s="2" t="s">
        <v>38</v>
      </c>
      <c r="N1175" s="2" t="s">
        <v>38</v>
      </c>
      <c r="O1175" s="2" t="s">
        <v>38</v>
      </c>
      <c r="P1175" s="2" t="s">
        <v>38</v>
      </c>
      <c r="Q1175" s="2" t="s">
        <v>38</v>
      </c>
      <c r="R1175" s="2" t="s">
        <v>38</v>
      </c>
      <c r="S1175" s="2" t="s">
        <v>38</v>
      </c>
      <c r="T1175" s="2" t="s">
        <v>38</v>
      </c>
      <c r="U1175" s="2" t="s">
        <v>38</v>
      </c>
      <c r="V1175" s="2" t="s">
        <v>38</v>
      </c>
      <c r="W1175" s="2" t="s">
        <v>38</v>
      </c>
      <c r="X1175" s="2" t="s">
        <v>38</v>
      </c>
      <c r="Y1175" s="2" t="s">
        <v>38</v>
      </c>
      <c r="Z1175" s="2" t="s">
        <v>38</v>
      </c>
      <c r="AA1175" s="2" t="s">
        <v>38</v>
      </c>
      <c r="AB1175" s="2" t="s">
        <v>38</v>
      </c>
      <c r="AC1175" s="2" t="s">
        <v>38</v>
      </c>
      <c r="AD1175" s="2" t="s">
        <v>38</v>
      </c>
      <c r="AE1175" s="2" t="s">
        <v>38</v>
      </c>
    </row>
    <row r="1176" spans="1:31" ht="409.5">
      <c r="A1176" s="2">
        <v>2618058</v>
      </c>
      <c r="B1176" s="2">
        <f>HYPERLINK("https://platform.v2.vetology.net/cases/2618058/screening-report/18?type=pdf&amp;v=v6&amp;scorecard=1&amp;secret_key=BX%25IJ%24%2F65ieZ%29f6", 2618058)</f>
        <v>2618058</v>
      </c>
      <c r="C1176" s="2">
        <f>HYPERLINK("https://platform.v2.vetology.net/report/v/final/"&amp;2618058, 2618058)</f>
        <v>2618058</v>
      </c>
      <c r="D1176" s="2" t="s">
        <v>3453</v>
      </c>
      <c r="E1176" s="2" t="s">
        <v>3454</v>
      </c>
      <c r="F1176" s="2" t="s">
        <v>1193</v>
      </c>
      <c r="G1176" s="2" t="s">
        <v>135</v>
      </c>
      <c r="H1176" s="2" t="s">
        <v>136</v>
      </c>
      <c r="I1176" s="2" t="s">
        <v>137</v>
      </c>
      <c r="J1176" s="2" t="s">
        <v>66</v>
      </c>
      <c r="K1176" s="2" t="s">
        <v>38</v>
      </c>
      <c r="L1176" s="2" t="s">
        <v>38</v>
      </c>
      <c r="M1176" s="2" t="s">
        <v>38</v>
      </c>
      <c r="N1176" s="2" t="s">
        <v>38</v>
      </c>
      <c r="O1176" s="2" t="s">
        <v>38</v>
      </c>
      <c r="P1176" s="2" t="s">
        <v>38</v>
      </c>
      <c r="Q1176" s="2" t="s">
        <v>38</v>
      </c>
      <c r="R1176" s="2" t="s">
        <v>38</v>
      </c>
      <c r="S1176" s="2" t="s">
        <v>38</v>
      </c>
      <c r="T1176" s="2" t="s">
        <v>39</v>
      </c>
      <c r="U1176" s="2" t="s">
        <v>38</v>
      </c>
      <c r="V1176" s="2" t="s">
        <v>39</v>
      </c>
      <c r="W1176" s="2" t="s">
        <v>38</v>
      </c>
      <c r="X1176" s="2" t="s">
        <v>39</v>
      </c>
      <c r="Y1176" s="2" t="s">
        <v>38</v>
      </c>
      <c r="Z1176" s="2" t="s">
        <v>38</v>
      </c>
      <c r="AA1176" s="2" t="s">
        <v>38</v>
      </c>
      <c r="AB1176" s="2" t="s">
        <v>38</v>
      </c>
      <c r="AC1176" s="2" t="s">
        <v>38</v>
      </c>
      <c r="AD1176" s="2" t="s">
        <v>38</v>
      </c>
      <c r="AE1176" s="2" t="s">
        <v>39</v>
      </c>
    </row>
    <row r="1177" spans="1:31" ht="409.5">
      <c r="A1177" s="2">
        <v>2618022</v>
      </c>
      <c r="B1177" s="2">
        <f>HYPERLINK("https://platform.v2.vetology.net/cases/2618022/screening-report/18?type=pdf&amp;v=v6&amp;scorecard=1&amp;secret_key=BX%25IJ%24%2F65ieZ%29f6", 2618022)</f>
        <v>2618022</v>
      </c>
      <c r="C1177" s="2">
        <f>HYPERLINK("https://platform.v2.vetology.net/report/v/final/"&amp;2618022, 2618022)</f>
        <v>2618022</v>
      </c>
      <c r="D1177" s="2" t="s">
        <v>3455</v>
      </c>
      <c r="E1177" s="2" t="s">
        <v>3456</v>
      </c>
      <c r="F1177" s="2" t="s">
        <v>3457</v>
      </c>
      <c r="G1177" s="2" t="s">
        <v>135</v>
      </c>
      <c r="H1177" s="2" t="s">
        <v>78</v>
      </c>
      <c r="I1177" s="2" t="s">
        <v>44</v>
      </c>
      <c r="J1177" s="2"/>
      <c r="K1177" s="2" t="s">
        <v>38</v>
      </c>
      <c r="L1177" s="2" t="s">
        <v>38</v>
      </c>
      <c r="M1177" s="2" t="s">
        <v>39</v>
      </c>
      <c r="N1177" s="2" t="s">
        <v>38</v>
      </c>
      <c r="O1177" s="2" t="s">
        <v>38</v>
      </c>
      <c r="P1177" s="2" t="s">
        <v>38</v>
      </c>
      <c r="Q1177" s="2" t="s">
        <v>38</v>
      </c>
      <c r="R1177" s="2" t="s">
        <v>38</v>
      </c>
      <c r="S1177" s="2" t="s">
        <v>38</v>
      </c>
      <c r="T1177" s="2" t="s">
        <v>39</v>
      </c>
      <c r="U1177" s="2" t="s">
        <v>38</v>
      </c>
      <c r="V1177" s="2" t="s">
        <v>39</v>
      </c>
      <c r="W1177" s="2" t="s">
        <v>38</v>
      </c>
      <c r="X1177" s="2" t="s">
        <v>39</v>
      </c>
      <c r="Y1177" s="2" t="s">
        <v>38</v>
      </c>
      <c r="Z1177" s="2" t="s">
        <v>38</v>
      </c>
      <c r="AA1177" s="2" t="s">
        <v>38</v>
      </c>
      <c r="AB1177" s="2" t="s">
        <v>38</v>
      </c>
      <c r="AC1177" s="2" t="s">
        <v>38</v>
      </c>
      <c r="AD1177" s="2" t="s">
        <v>38</v>
      </c>
      <c r="AE1177" s="2" t="s">
        <v>39</v>
      </c>
    </row>
    <row r="1178" spans="1:31" ht="409.5">
      <c r="A1178" s="2">
        <v>2617634</v>
      </c>
      <c r="B1178" s="2">
        <f>HYPERLINK("https://platform.v2.vetology.net/cases/2617634/screening-report/18?type=pdf&amp;v=v6&amp;scorecard=1&amp;secret_key=BX%25IJ%24%2F65ieZ%29f6", 2617634)</f>
        <v>2617634</v>
      </c>
      <c r="C1178" s="2">
        <f>HYPERLINK("https://platform.v2.vetology.net/report/v/final/"&amp;2617634, 2617634)</f>
        <v>2617634</v>
      </c>
      <c r="D1178" s="2" t="s">
        <v>3458</v>
      </c>
      <c r="E1178" s="2" t="s">
        <v>3459</v>
      </c>
      <c r="F1178" s="2" t="s">
        <v>81</v>
      </c>
      <c r="G1178" s="2" t="s">
        <v>268</v>
      </c>
      <c r="H1178" s="2" t="s">
        <v>1162</v>
      </c>
      <c r="I1178" s="2" t="s">
        <v>190</v>
      </c>
      <c r="J1178" s="2" t="s">
        <v>112</v>
      </c>
      <c r="K1178" s="2" t="s">
        <v>39</v>
      </c>
      <c r="L1178" s="2" t="s">
        <v>39</v>
      </c>
      <c r="M1178" s="2" t="s">
        <v>39</v>
      </c>
      <c r="N1178" s="2" t="s">
        <v>39</v>
      </c>
      <c r="O1178" s="2" t="s">
        <v>39</v>
      </c>
      <c r="P1178" s="2" t="s">
        <v>39</v>
      </c>
      <c r="Q1178" s="2" t="s">
        <v>39</v>
      </c>
      <c r="R1178" s="2" t="s">
        <v>39</v>
      </c>
      <c r="S1178" s="2" t="s">
        <v>39</v>
      </c>
      <c r="T1178" s="2" t="s">
        <v>39</v>
      </c>
      <c r="U1178" s="2" t="s">
        <v>39</v>
      </c>
      <c r="V1178" s="2" t="s">
        <v>39</v>
      </c>
      <c r="W1178" s="2" t="s">
        <v>39</v>
      </c>
      <c r="X1178" s="2" t="s">
        <v>39</v>
      </c>
      <c r="Y1178" s="2" t="s">
        <v>39</v>
      </c>
      <c r="Z1178" s="2" t="s">
        <v>39</v>
      </c>
      <c r="AA1178" s="2" t="s">
        <v>39</v>
      </c>
      <c r="AB1178" s="2" t="s">
        <v>39</v>
      </c>
      <c r="AC1178" s="2" t="s">
        <v>39</v>
      </c>
      <c r="AD1178" s="2" t="s">
        <v>39</v>
      </c>
      <c r="AE1178" s="2" t="s">
        <v>39</v>
      </c>
    </row>
    <row r="1179" spans="1:31" ht="409.5">
      <c r="A1179" s="2">
        <v>2617601</v>
      </c>
      <c r="B1179" s="2">
        <f>HYPERLINK("https://platform.v2.vetology.net/cases/2617601/screening-report/18?type=pdf&amp;v=v6&amp;scorecard=1&amp;secret_key=BX%25IJ%24%2F65ieZ%29f6", 2617601)</f>
        <v>2617601</v>
      </c>
      <c r="C1179" s="2">
        <f>HYPERLINK("https://platform.v2.vetology.net/report/v/final/"&amp;2617601, 2617601)</f>
        <v>2617601</v>
      </c>
      <c r="D1179" s="2" t="s">
        <v>3460</v>
      </c>
      <c r="E1179" s="2" t="s">
        <v>3461</v>
      </c>
      <c r="F1179" s="2" t="s">
        <v>3462</v>
      </c>
      <c r="G1179" s="2" t="s">
        <v>34</v>
      </c>
      <c r="H1179" s="2" t="s">
        <v>94</v>
      </c>
      <c r="I1179" s="2" t="s">
        <v>89</v>
      </c>
      <c r="J1179" s="2" t="s">
        <v>66</v>
      </c>
      <c r="K1179" s="2" t="s">
        <v>38</v>
      </c>
      <c r="L1179" s="2" t="s">
        <v>38</v>
      </c>
      <c r="M1179" s="2" t="s">
        <v>39</v>
      </c>
      <c r="N1179" s="2" t="s">
        <v>38</v>
      </c>
      <c r="O1179" s="2" t="s">
        <v>38</v>
      </c>
      <c r="P1179" s="2" t="s">
        <v>38</v>
      </c>
      <c r="Q1179" s="2" t="s">
        <v>38</v>
      </c>
      <c r="R1179" s="2" t="s">
        <v>38</v>
      </c>
      <c r="S1179" s="2" t="s">
        <v>38</v>
      </c>
      <c r="T1179" s="2" t="s">
        <v>38</v>
      </c>
      <c r="U1179" s="2" t="s">
        <v>38</v>
      </c>
      <c r="V1179" s="2" t="s">
        <v>38</v>
      </c>
      <c r="W1179" s="2" t="s">
        <v>38</v>
      </c>
      <c r="X1179" s="2" t="s">
        <v>38</v>
      </c>
      <c r="Y1179" s="2" t="s">
        <v>38</v>
      </c>
      <c r="Z1179" s="2" t="s">
        <v>38</v>
      </c>
      <c r="AA1179" s="2" t="s">
        <v>38</v>
      </c>
      <c r="AB1179" s="2" t="s">
        <v>39</v>
      </c>
      <c r="AC1179" s="2" t="s">
        <v>38</v>
      </c>
      <c r="AD1179" s="2" t="s">
        <v>38</v>
      </c>
      <c r="AE1179" s="2" t="s">
        <v>39</v>
      </c>
    </row>
    <row r="1180" spans="1:31" ht="409.5">
      <c r="A1180" s="2">
        <v>2617590</v>
      </c>
      <c r="B1180" s="2">
        <f>HYPERLINK("https://platform.v2.vetology.net/cases/2617590/screening-report/18?type=pdf&amp;v=v6&amp;scorecard=1&amp;secret_key=BX%25IJ%24%2F65ieZ%29f6", 2617590)</f>
        <v>2617590</v>
      </c>
      <c r="C1180" s="2">
        <f>HYPERLINK("https://platform.v2.vetology.net/report/v/final/"&amp;2617590, 2617590)</f>
        <v>2617590</v>
      </c>
      <c r="D1180" s="2" t="s">
        <v>3463</v>
      </c>
      <c r="E1180" s="2" t="s">
        <v>3464</v>
      </c>
      <c r="F1180" s="2" t="s">
        <v>81</v>
      </c>
      <c r="G1180" s="2" t="s">
        <v>268</v>
      </c>
      <c r="H1180" s="2" t="s">
        <v>54</v>
      </c>
      <c r="I1180" s="2" t="s">
        <v>44</v>
      </c>
      <c r="J1180" s="2"/>
      <c r="K1180" s="2" t="s">
        <v>38</v>
      </c>
      <c r="L1180" s="2" t="s">
        <v>38</v>
      </c>
      <c r="M1180" s="2" t="s">
        <v>38</v>
      </c>
      <c r="N1180" s="2" t="s">
        <v>38</v>
      </c>
      <c r="O1180" s="2" t="s">
        <v>38</v>
      </c>
      <c r="P1180" s="2" t="s">
        <v>38</v>
      </c>
      <c r="Q1180" s="2" t="s">
        <v>38</v>
      </c>
      <c r="R1180" s="2" t="s">
        <v>38</v>
      </c>
      <c r="S1180" s="2" t="s">
        <v>38</v>
      </c>
      <c r="T1180" s="2" t="s">
        <v>38</v>
      </c>
      <c r="U1180" s="2" t="s">
        <v>38</v>
      </c>
      <c r="V1180" s="2" t="s">
        <v>38</v>
      </c>
      <c r="W1180" s="2" t="s">
        <v>38</v>
      </c>
      <c r="X1180" s="2" t="s">
        <v>38</v>
      </c>
      <c r="Y1180" s="2" t="s">
        <v>38</v>
      </c>
      <c r="Z1180" s="2" t="s">
        <v>38</v>
      </c>
      <c r="AA1180" s="2" t="s">
        <v>38</v>
      </c>
      <c r="AB1180" s="2" t="s">
        <v>38</v>
      </c>
      <c r="AC1180" s="2" t="s">
        <v>38</v>
      </c>
      <c r="AD1180" s="2" t="s">
        <v>38</v>
      </c>
      <c r="AE1180" s="2" t="s">
        <v>38</v>
      </c>
    </row>
    <row r="1181" spans="1:31" ht="409.5">
      <c r="A1181" s="2">
        <v>2617565</v>
      </c>
      <c r="B1181" s="2">
        <f>HYPERLINK("https://platform.v2.vetology.net/cases/2617565/screening-report/18?type=pdf&amp;v=v6&amp;scorecard=1&amp;secret_key=BX%25IJ%24%2F65ieZ%29f6", 2617565)</f>
        <v>2617565</v>
      </c>
      <c r="C1181" s="2">
        <f>HYPERLINK("https://platform.v2.vetology.net/report/v/final/"&amp;2617565, 2617565)</f>
        <v>2617565</v>
      </c>
      <c r="D1181" s="2" t="s">
        <v>3465</v>
      </c>
      <c r="E1181" s="2" t="s">
        <v>3466</v>
      </c>
      <c r="F1181" s="2" t="s">
        <v>81</v>
      </c>
      <c r="G1181" s="2" t="s">
        <v>268</v>
      </c>
      <c r="H1181" s="2" t="s">
        <v>723</v>
      </c>
      <c r="I1181" s="2" t="s">
        <v>44</v>
      </c>
      <c r="J1181" s="2"/>
      <c r="K1181" s="2" t="s">
        <v>38</v>
      </c>
      <c r="L1181" s="2" t="s">
        <v>39</v>
      </c>
      <c r="M1181" s="2" t="s">
        <v>38</v>
      </c>
      <c r="N1181" s="2" t="s">
        <v>38</v>
      </c>
      <c r="O1181" s="2" t="s">
        <v>38</v>
      </c>
      <c r="P1181" s="2" t="s">
        <v>38</v>
      </c>
      <c r="Q1181" s="2" t="s">
        <v>38</v>
      </c>
      <c r="R1181" s="2" t="s">
        <v>38</v>
      </c>
      <c r="S1181" s="2" t="s">
        <v>38</v>
      </c>
      <c r="T1181" s="2" t="s">
        <v>38</v>
      </c>
      <c r="U1181" s="2" t="s">
        <v>38</v>
      </c>
      <c r="V1181" s="2" t="s">
        <v>38</v>
      </c>
      <c r="W1181" s="2" t="s">
        <v>38</v>
      </c>
      <c r="X1181" s="2" t="s">
        <v>38</v>
      </c>
      <c r="Y1181" s="2" t="s">
        <v>38</v>
      </c>
      <c r="Z1181" s="2" t="s">
        <v>38</v>
      </c>
      <c r="AA1181" s="2" t="s">
        <v>38</v>
      </c>
      <c r="AB1181" s="2" t="s">
        <v>38</v>
      </c>
      <c r="AC1181" s="2" t="s">
        <v>38</v>
      </c>
      <c r="AD1181" s="2" t="s">
        <v>38</v>
      </c>
      <c r="AE1181" s="2" t="s">
        <v>38</v>
      </c>
    </row>
    <row r="1182" spans="1:31" ht="409.5">
      <c r="A1182" s="2">
        <v>2617559</v>
      </c>
      <c r="B1182" s="2">
        <f>HYPERLINK("https://platform.v2.vetology.net/cases/2617559/screening-report/18?type=pdf&amp;v=v6&amp;scorecard=1&amp;secret_key=BX%25IJ%24%2F65ieZ%29f6", 2617559)</f>
        <v>2617559</v>
      </c>
      <c r="C1182" s="2">
        <f>HYPERLINK("https://platform.v2.vetology.net/report/v/final/"&amp;2617559, 2617559)</f>
        <v>2617559</v>
      </c>
      <c r="D1182" s="2" t="s">
        <v>3467</v>
      </c>
      <c r="E1182" s="2" t="s">
        <v>3468</v>
      </c>
      <c r="F1182" s="2" t="s">
        <v>81</v>
      </c>
      <c r="G1182" s="2" t="s">
        <v>268</v>
      </c>
      <c r="H1182" s="2" t="s">
        <v>3469</v>
      </c>
      <c r="I1182" s="2" t="s">
        <v>152</v>
      </c>
      <c r="J1182" s="2" t="s">
        <v>153</v>
      </c>
      <c r="K1182" s="2" t="s">
        <v>38</v>
      </c>
      <c r="L1182" s="2" t="s">
        <v>39</v>
      </c>
      <c r="M1182" s="2" t="s">
        <v>38</v>
      </c>
      <c r="N1182" s="2" t="s">
        <v>38</v>
      </c>
      <c r="O1182" s="2" t="s">
        <v>38</v>
      </c>
      <c r="P1182" s="2" t="s">
        <v>38</v>
      </c>
      <c r="Q1182" s="2" t="s">
        <v>38</v>
      </c>
      <c r="R1182" s="2" t="s">
        <v>38</v>
      </c>
      <c r="S1182" s="2" t="s">
        <v>38</v>
      </c>
      <c r="T1182" s="2" t="s">
        <v>38</v>
      </c>
      <c r="U1182" s="2" t="s">
        <v>38</v>
      </c>
      <c r="V1182" s="2" t="s">
        <v>38</v>
      </c>
      <c r="W1182" s="2" t="s">
        <v>38</v>
      </c>
      <c r="X1182" s="2" t="s">
        <v>38</v>
      </c>
      <c r="Y1182" s="2" t="s">
        <v>38</v>
      </c>
      <c r="Z1182" s="2" t="s">
        <v>38</v>
      </c>
      <c r="AA1182" s="2" t="s">
        <v>38</v>
      </c>
      <c r="AB1182" s="2" t="s">
        <v>38</v>
      </c>
      <c r="AC1182" s="2" t="s">
        <v>38</v>
      </c>
      <c r="AD1182" s="2" t="s">
        <v>38</v>
      </c>
      <c r="AE1182" s="2" t="s">
        <v>38</v>
      </c>
    </row>
    <row r="1183" spans="1:31" ht="409.5">
      <c r="A1183" s="2">
        <v>2617243</v>
      </c>
      <c r="B1183" s="2">
        <f>HYPERLINK("https://platform.v2.vetology.net/cases/2617243/screening-report/18?type=pdf&amp;v=v6&amp;scorecard=1&amp;secret_key=BX%25IJ%24%2F65ieZ%29f6", 2617243)</f>
        <v>2617243</v>
      </c>
      <c r="C1183" s="2">
        <f>HYPERLINK("https://platform.v2.vetology.net/report/v/final/"&amp;2617243, 2617243)</f>
        <v>2617243</v>
      </c>
      <c r="D1183" s="2" t="s">
        <v>3470</v>
      </c>
      <c r="E1183" s="2" t="s">
        <v>3471</v>
      </c>
      <c r="F1183" s="2" t="s">
        <v>3472</v>
      </c>
      <c r="G1183" s="2" t="s">
        <v>135</v>
      </c>
      <c r="H1183" s="2" t="s">
        <v>1248</v>
      </c>
      <c r="I1183" s="2" t="s">
        <v>460</v>
      </c>
      <c r="J1183" s="2" t="s">
        <v>66</v>
      </c>
      <c r="K1183" s="2" t="s">
        <v>38</v>
      </c>
      <c r="L1183" s="2" t="s">
        <v>38</v>
      </c>
      <c r="M1183" s="2" t="s">
        <v>39</v>
      </c>
      <c r="N1183" s="2" t="s">
        <v>38</v>
      </c>
      <c r="O1183" s="2" t="s">
        <v>38</v>
      </c>
      <c r="P1183" s="2" t="s">
        <v>38</v>
      </c>
      <c r="Q1183" s="2" t="s">
        <v>38</v>
      </c>
      <c r="R1183" s="2" t="s">
        <v>38</v>
      </c>
      <c r="S1183" s="2" t="s">
        <v>38</v>
      </c>
      <c r="T1183" s="2" t="s">
        <v>38</v>
      </c>
      <c r="U1183" s="2" t="s">
        <v>38</v>
      </c>
      <c r="V1183" s="2" t="s">
        <v>38</v>
      </c>
      <c r="W1183" s="2" t="s">
        <v>38</v>
      </c>
      <c r="X1183" s="2" t="s">
        <v>38</v>
      </c>
      <c r="Y1183" s="2" t="s">
        <v>38</v>
      </c>
      <c r="Z1183" s="2" t="s">
        <v>38</v>
      </c>
      <c r="AA1183" s="2" t="s">
        <v>38</v>
      </c>
      <c r="AB1183" s="2" t="s">
        <v>39</v>
      </c>
      <c r="AC1183" s="2" t="s">
        <v>38</v>
      </c>
      <c r="AD1183" s="2" t="s">
        <v>38</v>
      </c>
      <c r="AE1183" s="2" t="s">
        <v>39</v>
      </c>
    </row>
    <row r="1184" spans="1:31" ht="409.5">
      <c r="A1184" s="2">
        <v>2617099</v>
      </c>
      <c r="B1184" s="2">
        <f>HYPERLINK("https://platform.v2.vetology.net/cases/2617099/screening-report/18?type=pdf&amp;v=v6&amp;scorecard=1&amp;secret_key=BX%25IJ%24%2F65ieZ%29f6", 2617099)</f>
        <v>2617099</v>
      </c>
      <c r="C1184" s="2">
        <f>HYPERLINK("https://platform.v2.vetology.net/report/v/final/"&amp;2617099, 2617099)</f>
        <v>2617099</v>
      </c>
      <c r="D1184" s="2" t="s">
        <v>3473</v>
      </c>
      <c r="E1184" s="2" t="s">
        <v>3202</v>
      </c>
      <c r="F1184" s="2" t="s">
        <v>3474</v>
      </c>
      <c r="G1184" s="2" t="s">
        <v>93</v>
      </c>
      <c r="H1184" s="2" t="s">
        <v>129</v>
      </c>
      <c r="I1184" s="2" t="s">
        <v>44</v>
      </c>
      <c r="J1184" s="2" t="s">
        <v>106</v>
      </c>
      <c r="K1184" s="2" t="s">
        <v>38</v>
      </c>
      <c r="L1184" s="2" t="s">
        <v>38</v>
      </c>
      <c r="M1184" s="2" t="s">
        <v>38</v>
      </c>
      <c r="N1184" s="2" t="s">
        <v>38</v>
      </c>
      <c r="O1184" s="2" t="s">
        <v>38</v>
      </c>
      <c r="P1184" s="2" t="s">
        <v>38</v>
      </c>
      <c r="Q1184" s="2" t="s">
        <v>38</v>
      </c>
      <c r="R1184" s="2" t="s">
        <v>38</v>
      </c>
      <c r="S1184" s="2" t="s">
        <v>38</v>
      </c>
      <c r="T1184" s="2" t="s">
        <v>38</v>
      </c>
      <c r="U1184" s="2" t="s">
        <v>38</v>
      </c>
      <c r="V1184" s="2" t="s">
        <v>38</v>
      </c>
      <c r="W1184" s="2" t="s">
        <v>38</v>
      </c>
      <c r="X1184" s="2" t="s">
        <v>39</v>
      </c>
      <c r="Y1184" s="2" t="s">
        <v>38</v>
      </c>
      <c r="Z1184" s="2" t="s">
        <v>38</v>
      </c>
      <c r="AA1184" s="2" t="s">
        <v>38</v>
      </c>
      <c r="AB1184" s="2" t="s">
        <v>38</v>
      </c>
      <c r="AC1184" s="2" t="s">
        <v>38</v>
      </c>
      <c r="AD1184" s="2" t="s">
        <v>38</v>
      </c>
      <c r="AE1184" s="2" t="s">
        <v>38</v>
      </c>
    </row>
    <row r="1185" spans="1:31" ht="409.5">
      <c r="A1185" s="2">
        <v>2617000</v>
      </c>
      <c r="B1185" s="2">
        <f>HYPERLINK("https://platform.v2.vetology.net/cases/2617000/screening-report/18?type=pdf&amp;v=v6&amp;scorecard=1&amp;secret_key=BX%25IJ%24%2F65ieZ%29f6", 2617000)</f>
        <v>2617000</v>
      </c>
      <c r="C1185" s="2">
        <f>HYPERLINK("https://platform.v2.vetology.net/report/v/final/"&amp;2617000, 2617000)</f>
        <v>2617000</v>
      </c>
      <c r="D1185" s="2" t="s">
        <v>3475</v>
      </c>
      <c r="E1185" s="2" t="s">
        <v>3476</v>
      </c>
      <c r="F1185" s="2" t="s">
        <v>2705</v>
      </c>
      <c r="G1185" s="2" t="s">
        <v>464</v>
      </c>
      <c r="H1185" s="2" t="s">
        <v>442</v>
      </c>
      <c r="I1185" s="2" t="s">
        <v>36</v>
      </c>
      <c r="J1185" s="2" t="s">
        <v>37</v>
      </c>
      <c r="K1185" s="2" t="s">
        <v>38</v>
      </c>
      <c r="L1185" s="2" t="s">
        <v>39</v>
      </c>
      <c r="M1185" s="2" t="s">
        <v>39</v>
      </c>
      <c r="N1185" s="2" t="s">
        <v>38</v>
      </c>
      <c r="O1185" s="2" t="s">
        <v>38</v>
      </c>
      <c r="P1185" s="2" t="s">
        <v>38</v>
      </c>
      <c r="Q1185" s="2" t="s">
        <v>38</v>
      </c>
      <c r="R1185" s="2" t="s">
        <v>38</v>
      </c>
      <c r="S1185" s="2" t="s">
        <v>38</v>
      </c>
      <c r="T1185" s="2" t="s">
        <v>38</v>
      </c>
      <c r="U1185" s="2" t="s">
        <v>38</v>
      </c>
      <c r="V1185" s="2" t="s">
        <v>39</v>
      </c>
      <c r="W1185" s="2" t="s">
        <v>38</v>
      </c>
      <c r="X1185" s="2" t="s">
        <v>39</v>
      </c>
      <c r="Y1185" s="2" t="s">
        <v>38</v>
      </c>
      <c r="Z1185" s="2" t="s">
        <v>38</v>
      </c>
      <c r="AA1185" s="2" t="s">
        <v>38</v>
      </c>
      <c r="AB1185" s="2" t="s">
        <v>39</v>
      </c>
      <c r="AC1185" s="2" t="s">
        <v>39</v>
      </c>
      <c r="AD1185" s="2" t="s">
        <v>38</v>
      </c>
      <c r="AE1185" s="2" t="s">
        <v>38</v>
      </c>
    </row>
    <row r="1186" spans="1:31" ht="409.5">
      <c r="A1186" s="2">
        <v>2616953</v>
      </c>
      <c r="B1186" s="2">
        <f>HYPERLINK("https://platform.v2.vetology.net/cases/2616953/screening-report/18?type=pdf&amp;v=v6&amp;scorecard=1&amp;secret_key=BX%25IJ%24%2F65ieZ%29f6", 2616953)</f>
        <v>2616953</v>
      </c>
      <c r="C1186" s="2">
        <f>HYPERLINK("https://platform.v2.vetology.net/report/v/final/"&amp;2616953, 2616953)</f>
        <v>2616953</v>
      </c>
      <c r="D1186" s="2" t="s">
        <v>303</v>
      </c>
      <c r="E1186" s="2" t="s">
        <v>304</v>
      </c>
      <c r="F1186" s="2" t="s">
        <v>3477</v>
      </c>
      <c r="G1186" s="2" t="s">
        <v>150</v>
      </c>
      <c r="H1186" s="2" t="s">
        <v>54</v>
      </c>
      <c r="I1186" s="2" t="s">
        <v>44</v>
      </c>
      <c r="J1186" s="2"/>
      <c r="K1186" s="2" t="s">
        <v>38</v>
      </c>
      <c r="L1186" s="2" t="s">
        <v>39</v>
      </c>
      <c r="M1186" s="2" t="s">
        <v>38</v>
      </c>
      <c r="N1186" s="2" t="s">
        <v>38</v>
      </c>
      <c r="O1186" s="2" t="s">
        <v>38</v>
      </c>
      <c r="P1186" s="2" t="s">
        <v>38</v>
      </c>
      <c r="Q1186" s="2" t="s">
        <v>38</v>
      </c>
      <c r="R1186" s="2" t="s">
        <v>38</v>
      </c>
      <c r="S1186" s="2" t="s">
        <v>39</v>
      </c>
      <c r="T1186" s="2" t="s">
        <v>39</v>
      </c>
      <c r="U1186" s="2" t="s">
        <v>39</v>
      </c>
      <c r="V1186" s="2" t="s">
        <v>39</v>
      </c>
      <c r="W1186" s="2" t="s">
        <v>38</v>
      </c>
      <c r="X1186" s="2" t="s">
        <v>39</v>
      </c>
      <c r="Y1186" s="2" t="s">
        <v>38</v>
      </c>
      <c r="Z1186" s="2" t="s">
        <v>38</v>
      </c>
      <c r="AA1186" s="2" t="s">
        <v>38</v>
      </c>
      <c r="AB1186" s="2" t="s">
        <v>39</v>
      </c>
      <c r="AC1186" s="2" t="s">
        <v>38</v>
      </c>
      <c r="AD1186" s="2" t="s">
        <v>38</v>
      </c>
      <c r="AE1186" s="2" t="s">
        <v>38</v>
      </c>
    </row>
    <row r="1187" spans="1:31" ht="409.5">
      <c r="A1187" s="2">
        <v>2616852</v>
      </c>
      <c r="B1187" s="2">
        <f>HYPERLINK("https://platform.v2.vetology.net/cases/2616852/screening-report/18?type=pdf&amp;v=v6&amp;scorecard=1&amp;secret_key=BX%25IJ%24%2F65ieZ%29f6", 2616852)</f>
        <v>2616852</v>
      </c>
      <c r="C1187" s="2">
        <f>HYPERLINK("https://platform.v2.vetology.net/report/v/final/"&amp;2616852, 2616852)</f>
        <v>2616852</v>
      </c>
      <c r="D1187" s="2" t="s">
        <v>3478</v>
      </c>
      <c r="E1187" s="2" t="s">
        <v>3479</v>
      </c>
      <c r="F1187" s="2" t="s">
        <v>3480</v>
      </c>
      <c r="G1187" s="2" t="s">
        <v>58</v>
      </c>
      <c r="H1187" s="2" t="s">
        <v>54</v>
      </c>
      <c r="I1187" s="2" t="s">
        <v>44</v>
      </c>
      <c r="J1187" s="2"/>
      <c r="K1187" s="2" t="s">
        <v>38</v>
      </c>
      <c r="L1187" s="2" t="s">
        <v>39</v>
      </c>
      <c r="M1187" s="2" t="s">
        <v>39</v>
      </c>
      <c r="N1187" s="2" t="s">
        <v>38</v>
      </c>
      <c r="O1187" s="2" t="s">
        <v>38</v>
      </c>
      <c r="P1187" s="2" t="s">
        <v>38</v>
      </c>
      <c r="Q1187" s="2" t="s">
        <v>38</v>
      </c>
      <c r="R1187" s="2" t="s">
        <v>38</v>
      </c>
      <c r="S1187" s="2" t="s">
        <v>38</v>
      </c>
      <c r="T1187" s="2" t="s">
        <v>38</v>
      </c>
      <c r="U1187" s="2" t="s">
        <v>38</v>
      </c>
      <c r="V1187" s="2" t="s">
        <v>38</v>
      </c>
      <c r="W1187" s="2" t="s">
        <v>38</v>
      </c>
      <c r="X1187" s="2" t="s">
        <v>38</v>
      </c>
      <c r="Y1187" s="2" t="s">
        <v>38</v>
      </c>
      <c r="Z1187" s="2" t="s">
        <v>38</v>
      </c>
      <c r="AA1187" s="2" t="s">
        <v>38</v>
      </c>
      <c r="AB1187" s="2" t="s">
        <v>39</v>
      </c>
      <c r="AC1187" s="2" t="s">
        <v>38</v>
      </c>
      <c r="AD1187" s="2" t="s">
        <v>38</v>
      </c>
      <c r="AE1187" s="2" t="s">
        <v>38</v>
      </c>
    </row>
    <row r="1188" spans="1:31" ht="409.5">
      <c r="A1188" s="2">
        <v>2616517</v>
      </c>
      <c r="B1188" s="2">
        <f>HYPERLINK("https://platform.v2.vetology.net/cases/2616517/screening-report/18?type=pdf&amp;v=v6&amp;scorecard=1&amp;secret_key=BX%25IJ%24%2F65ieZ%29f6", 2616517)</f>
        <v>2616517</v>
      </c>
      <c r="C1188" s="2">
        <f>HYPERLINK("https://platform.v2.vetology.net/report/v/final/"&amp;2616517, 2616517)</f>
        <v>2616517</v>
      </c>
      <c r="D1188" s="2" t="s">
        <v>3481</v>
      </c>
      <c r="E1188" s="2" t="s">
        <v>3482</v>
      </c>
      <c r="F1188" s="2" t="s">
        <v>3483</v>
      </c>
      <c r="G1188" s="2" t="s">
        <v>135</v>
      </c>
      <c r="H1188" s="2" t="s">
        <v>54</v>
      </c>
      <c r="I1188" s="2" t="s">
        <v>44</v>
      </c>
      <c r="J1188" s="2"/>
      <c r="K1188" s="2" t="s">
        <v>38</v>
      </c>
      <c r="L1188" s="2" t="s">
        <v>39</v>
      </c>
      <c r="M1188" s="2" t="s">
        <v>39</v>
      </c>
      <c r="N1188" s="2" t="s">
        <v>38</v>
      </c>
      <c r="O1188" s="2" t="s">
        <v>38</v>
      </c>
      <c r="P1188" s="2" t="s">
        <v>39</v>
      </c>
      <c r="Q1188" s="2" t="s">
        <v>38</v>
      </c>
      <c r="R1188" s="2" t="s">
        <v>38</v>
      </c>
      <c r="S1188" s="2" t="s">
        <v>39</v>
      </c>
      <c r="T1188" s="2" t="s">
        <v>38</v>
      </c>
      <c r="U1188" s="2" t="s">
        <v>38</v>
      </c>
      <c r="V1188" s="2" t="s">
        <v>38</v>
      </c>
      <c r="W1188" s="2" t="s">
        <v>38</v>
      </c>
      <c r="X1188" s="2" t="s">
        <v>38</v>
      </c>
      <c r="Y1188" s="2" t="s">
        <v>38</v>
      </c>
      <c r="Z1188" s="2" t="s">
        <v>38</v>
      </c>
      <c r="AA1188" s="2" t="s">
        <v>38</v>
      </c>
      <c r="AB1188" s="2" t="s">
        <v>39</v>
      </c>
      <c r="AC1188" s="2" t="s">
        <v>38</v>
      </c>
      <c r="AD1188" s="2" t="s">
        <v>38</v>
      </c>
      <c r="AE1188" s="2" t="s">
        <v>38</v>
      </c>
    </row>
    <row r="1189" spans="1:31" ht="409.5">
      <c r="A1189" s="2">
        <v>2616513</v>
      </c>
      <c r="B1189" s="2">
        <f>HYPERLINK("https://platform.v2.vetology.net/cases/2616513/screening-report/18?type=pdf&amp;v=v6&amp;scorecard=1&amp;secret_key=BX%25IJ%24%2F65ieZ%29f6", 2616513)</f>
        <v>2616513</v>
      </c>
      <c r="C1189" s="2">
        <f>HYPERLINK("https://platform.v2.vetology.net/report/v/final/"&amp;2616513, 2616513)</f>
        <v>2616513</v>
      </c>
      <c r="D1189" s="2" t="s">
        <v>3484</v>
      </c>
      <c r="E1189" s="2" t="s">
        <v>3485</v>
      </c>
      <c r="F1189" s="2" t="s">
        <v>3486</v>
      </c>
      <c r="G1189" s="2" t="s">
        <v>34</v>
      </c>
      <c r="H1189" s="2" t="s">
        <v>129</v>
      </c>
      <c r="I1189" s="2" t="s">
        <v>44</v>
      </c>
      <c r="J1189" s="2"/>
      <c r="K1189" s="2" t="s">
        <v>38</v>
      </c>
      <c r="L1189" s="2" t="s">
        <v>38</v>
      </c>
      <c r="M1189" s="2" t="s">
        <v>38</v>
      </c>
      <c r="N1189" s="2" t="s">
        <v>38</v>
      </c>
      <c r="O1189" s="2" t="s">
        <v>38</v>
      </c>
      <c r="P1189" s="2" t="s">
        <v>38</v>
      </c>
      <c r="Q1189" s="2" t="s">
        <v>38</v>
      </c>
      <c r="R1189" s="2" t="s">
        <v>38</v>
      </c>
      <c r="S1189" s="2" t="s">
        <v>38</v>
      </c>
      <c r="T1189" s="2" t="s">
        <v>39</v>
      </c>
      <c r="U1189" s="2" t="s">
        <v>38</v>
      </c>
      <c r="V1189" s="2" t="s">
        <v>38</v>
      </c>
      <c r="W1189" s="2" t="s">
        <v>38</v>
      </c>
      <c r="X1189" s="2" t="s">
        <v>39</v>
      </c>
      <c r="Y1189" s="2" t="s">
        <v>38</v>
      </c>
      <c r="Z1189" s="2" t="s">
        <v>38</v>
      </c>
      <c r="AA1189" s="2" t="s">
        <v>38</v>
      </c>
      <c r="AB1189" s="2" t="s">
        <v>38</v>
      </c>
      <c r="AC1189" s="2" t="s">
        <v>38</v>
      </c>
      <c r="AD1189" s="2" t="s">
        <v>38</v>
      </c>
      <c r="AE1189" s="2" t="s">
        <v>39</v>
      </c>
    </row>
    <row r="1190" spans="1:31" ht="409.5">
      <c r="A1190" s="2">
        <v>2616464</v>
      </c>
      <c r="B1190" s="2">
        <f>HYPERLINK("https://platform.v2.vetology.net/cases/2616464/screening-report/18?type=pdf&amp;v=v6&amp;scorecard=1&amp;secret_key=BX%25IJ%24%2F65ieZ%29f6", 2616464)</f>
        <v>2616464</v>
      </c>
      <c r="C1190" s="2">
        <f>HYPERLINK("https://platform.v2.vetology.net/report/v/final/"&amp;2616464, 2616464)</f>
        <v>2616464</v>
      </c>
      <c r="D1190" s="2" t="s">
        <v>1738</v>
      </c>
      <c r="E1190" s="2" t="s">
        <v>3487</v>
      </c>
      <c r="F1190" s="2" t="s">
        <v>3488</v>
      </c>
      <c r="G1190" s="2" t="s">
        <v>135</v>
      </c>
      <c r="H1190" s="2" t="s">
        <v>2029</v>
      </c>
      <c r="I1190" s="2" t="s">
        <v>214</v>
      </c>
      <c r="J1190" s="2" t="s">
        <v>50</v>
      </c>
      <c r="K1190" s="2" t="s">
        <v>38</v>
      </c>
      <c r="L1190" s="2" t="s">
        <v>38</v>
      </c>
      <c r="M1190" s="2" t="s">
        <v>38</v>
      </c>
      <c r="N1190" s="2" t="s">
        <v>38</v>
      </c>
      <c r="O1190" s="2" t="s">
        <v>39</v>
      </c>
      <c r="P1190" s="2" t="s">
        <v>39</v>
      </c>
      <c r="Q1190" s="2" t="s">
        <v>39</v>
      </c>
      <c r="R1190" s="2" t="s">
        <v>38</v>
      </c>
      <c r="S1190" s="2" t="s">
        <v>38</v>
      </c>
      <c r="T1190" s="2" t="s">
        <v>39</v>
      </c>
      <c r="U1190" s="2" t="s">
        <v>38</v>
      </c>
      <c r="V1190" s="2" t="s">
        <v>39</v>
      </c>
      <c r="W1190" s="2" t="s">
        <v>38</v>
      </c>
      <c r="X1190" s="2" t="s">
        <v>39</v>
      </c>
      <c r="Y1190" s="2" t="s">
        <v>38</v>
      </c>
      <c r="Z1190" s="2" t="s">
        <v>39</v>
      </c>
      <c r="AA1190" s="2" t="s">
        <v>38</v>
      </c>
      <c r="AB1190" s="2" t="s">
        <v>39</v>
      </c>
      <c r="AC1190" s="2" t="s">
        <v>38</v>
      </c>
      <c r="AD1190" s="2" t="s">
        <v>38</v>
      </c>
      <c r="AE1190" s="2" t="s">
        <v>38</v>
      </c>
    </row>
    <row r="1191" spans="1:31" ht="409.5">
      <c r="A1191" s="2">
        <v>2616147</v>
      </c>
      <c r="B1191" s="2">
        <f>HYPERLINK("https://platform.v2.vetology.net/cases/2616147/screening-report/18?type=pdf&amp;v=v6&amp;scorecard=1&amp;secret_key=BX%25IJ%24%2F65ieZ%29f6", 2616147)</f>
        <v>2616147</v>
      </c>
      <c r="C1191" s="2">
        <f>HYPERLINK("https://platform.v2.vetology.net/report/v/final/"&amp;2616147, 2616147)</f>
        <v>2616147</v>
      </c>
      <c r="D1191" s="2" t="s">
        <v>3489</v>
      </c>
      <c r="E1191" s="2" t="s">
        <v>3490</v>
      </c>
      <c r="F1191" s="2" t="s">
        <v>81</v>
      </c>
      <c r="G1191" s="2" t="s">
        <v>268</v>
      </c>
      <c r="H1191" s="2" t="s">
        <v>78</v>
      </c>
      <c r="I1191" s="2" t="s">
        <v>44</v>
      </c>
      <c r="J1191" s="2" t="s">
        <v>106</v>
      </c>
      <c r="K1191" s="2" t="s">
        <v>38</v>
      </c>
      <c r="L1191" s="2" t="s">
        <v>39</v>
      </c>
      <c r="M1191" s="2" t="s">
        <v>38</v>
      </c>
      <c r="N1191" s="2" t="s">
        <v>38</v>
      </c>
      <c r="O1191" s="2" t="s">
        <v>38</v>
      </c>
      <c r="P1191" s="2" t="s">
        <v>38</v>
      </c>
      <c r="Q1191" s="2" t="s">
        <v>38</v>
      </c>
      <c r="R1191" s="2" t="s">
        <v>38</v>
      </c>
      <c r="S1191" s="2" t="s">
        <v>38</v>
      </c>
      <c r="T1191" s="2" t="s">
        <v>38</v>
      </c>
      <c r="U1191" s="2" t="s">
        <v>38</v>
      </c>
      <c r="V1191" s="2" t="s">
        <v>38</v>
      </c>
      <c r="W1191" s="2" t="s">
        <v>38</v>
      </c>
      <c r="X1191" s="2" t="s">
        <v>39</v>
      </c>
      <c r="Y1191" s="2" t="s">
        <v>38</v>
      </c>
      <c r="Z1191" s="2" t="s">
        <v>38</v>
      </c>
      <c r="AA1191" s="2" t="s">
        <v>38</v>
      </c>
      <c r="AB1191" s="2" t="s">
        <v>38</v>
      </c>
      <c r="AC1191" s="2" t="s">
        <v>38</v>
      </c>
      <c r="AD1191" s="2" t="s">
        <v>38</v>
      </c>
      <c r="AE1191" s="2" t="s">
        <v>38</v>
      </c>
    </row>
    <row r="1192" spans="1:31" ht="409.5">
      <c r="A1192" s="2">
        <v>2616132</v>
      </c>
      <c r="B1192" s="2">
        <f>HYPERLINK("https://platform.v2.vetology.net/cases/2616132/screening-report/18?type=pdf&amp;v=v6&amp;scorecard=1&amp;secret_key=BX%25IJ%24%2F65ieZ%29f6", 2616132)</f>
        <v>2616132</v>
      </c>
      <c r="C1192" s="2">
        <f>HYPERLINK("https://platform.v2.vetology.net/report/v/final/"&amp;2616132, 2616132)</f>
        <v>2616132</v>
      </c>
      <c r="D1192" s="2" t="s">
        <v>3491</v>
      </c>
      <c r="E1192" s="2" t="s">
        <v>3492</v>
      </c>
      <c r="F1192" s="2" t="s">
        <v>3493</v>
      </c>
      <c r="G1192" s="2" t="s">
        <v>93</v>
      </c>
      <c r="H1192" s="2" t="s">
        <v>488</v>
      </c>
      <c r="I1192" s="2" t="s">
        <v>89</v>
      </c>
      <c r="J1192" s="2" t="s">
        <v>66</v>
      </c>
      <c r="K1192" s="2" t="s">
        <v>38</v>
      </c>
      <c r="L1192" s="2" t="s">
        <v>39</v>
      </c>
      <c r="M1192" s="2" t="s">
        <v>39</v>
      </c>
      <c r="N1192" s="2" t="s">
        <v>38</v>
      </c>
      <c r="O1192" s="2" t="s">
        <v>38</v>
      </c>
      <c r="P1192" s="2" t="s">
        <v>39</v>
      </c>
      <c r="Q1192" s="2" t="s">
        <v>38</v>
      </c>
      <c r="R1192" s="2" t="s">
        <v>38</v>
      </c>
      <c r="S1192" s="2" t="s">
        <v>38</v>
      </c>
      <c r="T1192" s="2" t="s">
        <v>38</v>
      </c>
      <c r="U1192" s="2" t="s">
        <v>38</v>
      </c>
      <c r="V1192" s="2" t="s">
        <v>38</v>
      </c>
      <c r="W1192" s="2" t="s">
        <v>38</v>
      </c>
      <c r="X1192" s="2" t="s">
        <v>38</v>
      </c>
      <c r="Y1192" s="2" t="s">
        <v>38</v>
      </c>
      <c r="Z1192" s="2" t="s">
        <v>38</v>
      </c>
      <c r="AA1192" s="2" t="s">
        <v>38</v>
      </c>
      <c r="AB1192" s="2" t="s">
        <v>38</v>
      </c>
      <c r="AC1192" s="2" t="s">
        <v>39</v>
      </c>
      <c r="AD1192" s="2" t="s">
        <v>38</v>
      </c>
      <c r="AE1192" s="2" t="s">
        <v>39</v>
      </c>
    </row>
    <row r="1193" spans="1:31" ht="409.5">
      <c r="A1193" s="2">
        <v>2616040</v>
      </c>
      <c r="B1193" s="2">
        <f>HYPERLINK("https://platform.v2.vetology.net/cases/2616040/screening-report/18?type=pdf&amp;v=v6&amp;scorecard=1&amp;secret_key=BX%25IJ%24%2F65ieZ%29f6", 2616040)</f>
        <v>2616040</v>
      </c>
      <c r="C1193" s="2">
        <f>HYPERLINK("https://platform.v2.vetology.net/report/v/final/"&amp;2616040, 2616040)</f>
        <v>2616040</v>
      </c>
      <c r="D1193" s="2" t="s">
        <v>3494</v>
      </c>
      <c r="E1193" s="2" t="s">
        <v>3495</v>
      </c>
      <c r="F1193" s="2" t="s">
        <v>3496</v>
      </c>
      <c r="G1193" s="2" t="s">
        <v>135</v>
      </c>
      <c r="H1193" s="2" t="s">
        <v>105</v>
      </c>
      <c r="I1193" s="2" t="s">
        <v>44</v>
      </c>
      <c r="J1193" s="2" t="s">
        <v>106</v>
      </c>
      <c r="K1193" s="2" t="s">
        <v>38</v>
      </c>
      <c r="L1193" s="2" t="s">
        <v>39</v>
      </c>
      <c r="M1193" s="2" t="s">
        <v>38</v>
      </c>
      <c r="N1193" s="2" t="s">
        <v>38</v>
      </c>
      <c r="O1193" s="2" t="s">
        <v>38</v>
      </c>
      <c r="P1193" s="2" t="s">
        <v>38</v>
      </c>
      <c r="Q1193" s="2" t="s">
        <v>38</v>
      </c>
      <c r="R1193" s="2" t="s">
        <v>38</v>
      </c>
      <c r="S1193" s="2" t="s">
        <v>38</v>
      </c>
      <c r="T1193" s="2" t="s">
        <v>38</v>
      </c>
      <c r="U1193" s="2" t="s">
        <v>38</v>
      </c>
      <c r="V1193" s="2" t="s">
        <v>38</v>
      </c>
      <c r="W1193" s="2" t="s">
        <v>38</v>
      </c>
      <c r="X1193" s="2" t="s">
        <v>38</v>
      </c>
      <c r="Y1193" s="2" t="s">
        <v>38</v>
      </c>
      <c r="Z1193" s="2" t="s">
        <v>38</v>
      </c>
      <c r="AA1193" s="2" t="s">
        <v>38</v>
      </c>
      <c r="AB1193" s="2" t="s">
        <v>38</v>
      </c>
      <c r="AC1193" s="2" t="s">
        <v>38</v>
      </c>
      <c r="AD1193" s="2" t="s">
        <v>38</v>
      </c>
      <c r="AE1193" s="2" t="s">
        <v>38</v>
      </c>
    </row>
    <row r="1194" spans="1:31" ht="409.5">
      <c r="A1194" s="2">
        <v>2615976</v>
      </c>
      <c r="B1194" s="2">
        <f>HYPERLINK("https://platform.v2.vetology.net/cases/2615976/screening-report/18?type=pdf&amp;v=v6&amp;scorecard=1&amp;secret_key=BX%25IJ%24%2F65ieZ%29f6", 2615976)</f>
        <v>2615976</v>
      </c>
      <c r="C1194" s="2">
        <f>HYPERLINK("https://platform.v2.vetology.net/report/v/final/"&amp;2615976, 2615976)</f>
        <v>2615976</v>
      </c>
      <c r="D1194" s="2" t="s">
        <v>3497</v>
      </c>
      <c r="E1194" s="2" t="s">
        <v>3498</v>
      </c>
      <c r="F1194" s="2" t="s">
        <v>81</v>
      </c>
      <c r="G1194" s="2" t="s">
        <v>268</v>
      </c>
      <c r="H1194" s="2" t="s">
        <v>3499</v>
      </c>
      <c r="I1194" s="2" t="s">
        <v>1102</v>
      </c>
      <c r="J1194" s="2" t="s">
        <v>307</v>
      </c>
      <c r="K1194" s="2" t="s">
        <v>38</v>
      </c>
      <c r="L1194" s="2" t="s">
        <v>39</v>
      </c>
      <c r="M1194" s="2" t="s">
        <v>39</v>
      </c>
      <c r="N1194" s="2" t="s">
        <v>39</v>
      </c>
      <c r="O1194" s="2" t="s">
        <v>38</v>
      </c>
      <c r="P1194" s="2" t="s">
        <v>39</v>
      </c>
      <c r="Q1194" s="2" t="s">
        <v>39</v>
      </c>
      <c r="R1194" s="2" t="s">
        <v>38</v>
      </c>
      <c r="S1194" s="2" t="s">
        <v>38</v>
      </c>
      <c r="T1194" s="2" t="s">
        <v>38</v>
      </c>
      <c r="U1194" s="2" t="s">
        <v>39</v>
      </c>
      <c r="V1194" s="2" t="s">
        <v>38</v>
      </c>
      <c r="W1194" s="2" t="s">
        <v>39</v>
      </c>
      <c r="X1194" s="2" t="s">
        <v>39</v>
      </c>
      <c r="Y1194" s="2" t="s">
        <v>39</v>
      </c>
      <c r="Z1194" s="2" t="s">
        <v>38</v>
      </c>
      <c r="AA1194" s="2" t="s">
        <v>38</v>
      </c>
      <c r="AB1194" s="2" t="s">
        <v>39</v>
      </c>
      <c r="AC1194" s="2" t="s">
        <v>39</v>
      </c>
      <c r="AD1194" s="2" t="s">
        <v>38</v>
      </c>
      <c r="AE1194" s="2" t="s">
        <v>38</v>
      </c>
    </row>
    <row r="1195" spans="1:31" ht="409.5">
      <c r="A1195" s="2">
        <v>2615910</v>
      </c>
      <c r="B1195" s="2">
        <f>HYPERLINK("https://platform.v2.vetology.net/cases/2615910/screening-report/18?type=pdf&amp;v=v6&amp;scorecard=1&amp;secret_key=BX%25IJ%24%2F65ieZ%29f6", 2615910)</f>
        <v>2615910</v>
      </c>
      <c r="C1195" s="2">
        <f>HYPERLINK("https://platform.v2.vetology.net/report/v/final/"&amp;2615910, 2615910)</f>
        <v>2615910</v>
      </c>
      <c r="D1195" s="2" t="s">
        <v>3500</v>
      </c>
      <c r="E1195" s="2" t="s">
        <v>3501</v>
      </c>
      <c r="F1195" s="2" t="s">
        <v>3502</v>
      </c>
      <c r="G1195" s="2" t="s">
        <v>93</v>
      </c>
      <c r="H1195" s="2" t="s">
        <v>54</v>
      </c>
      <c r="I1195" s="2" t="s">
        <v>44</v>
      </c>
      <c r="J1195" s="2" t="s">
        <v>106</v>
      </c>
      <c r="K1195" s="2" t="s">
        <v>38</v>
      </c>
      <c r="L1195" s="2" t="s">
        <v>38</v>
      </c>
      <c r="M1195" s="2" t="s">
        <v>38</v>
      </c>
      <c r="N1195" s="2" t="s">
        <v>38</v>
      </c>
      <c r="O1195" s="2" t="s">
        <v>38</v>
      </c>
      <c r="P1195" s="2" t="s">
        <v>38</v>
      </c>
      <c r="Q1195" s="2" t="s">
        <v>38</v>
      </c>
      <c r="R1195" s="2" t="s">
        <v>38</v>
      </c>
      <c r="S1195" s="2" t="s">
        <v>38</v>
      </c>
      <c r="T1195" s="2" t="s">
        <v>39</v>
      </c>
      <c r="U1195" s="2" t="s">
        <v>38</v>
      </c>
      <c r="V1195" s="2" t="s">
        <v>39</v>
      </c>
      <c r="W1195" s="2" t="s">
        <v>38</v>
      </c>
      <c r="X1195" s="2" t="s">
        <v>39</v>
      </c>
      <c r="Y1195" s="2" t="s">
        <v>38</v>
      </c>
      <c r="Z1195" s="2" t="s">
        <v>38</v>
      </c>
      <c r="AA1195" s="2" t="s">
        <v>38</v>
      </c>
      <c r="AB1195" s="2" t="s">
        <v>39</v>
      </c>
      <c r="AC1195" s="2" t="s">
        <v>38</v>
      </c>
      <c r="AD1195" s="2" t="s">
        <v>38</v>
      </c>
      <c r="AE1195" s="2" t="s">
        <v>38</v>
      </c>
    </row>
    <row r="1196" spans="1:31" ht="409.5">
      <c r="A1196" s="2">
        <v>2615875</v>
      </c>
      <c r="B1196" s="2">
        <f>HYPERLINK("https://platform.v2.vetology.net/cases/2615875/screening-report/18?type=pdf&amp;v=v6&amp;scorecard=1&amp;secret_key=BX%25IJ%24%2F65ieZ%29f6", 2615875)</f>
        <v>2615875</v>
      </c>
      <c r="C1196" s="2">
        <f>HYPERLINK("https://platform.v2.vetology.net/report/v/final/"&amp;2615875, 2615875)</f>
        <v>2615875</v>
      </c>
      <c r="D1196" s="2" t="s">
        <v>3503</v>
      </c>
      <c r="E1196" s="2" t="s">
        <v>3504</v>
      </c>
      <c r="F1196" s="2" t="s">
        <v>81</v>
      </c>
      <c r="G1196" s="2" t="s">
        <v>150</v>
      </c>
      <c r="H1196" s="2" t="s">
        <v>3505</v>
      </c>
      <c r="I1196" s="2" t="s">
        <v>503</v>
      </c>
      <c r="J1196" s="2" t="s">
        <v>66</v>
      </c>
      <c r="K1196" s="2" t="s">
        <v>38</v>
      </c>
      <c r="L1196" s="2" t="s">
        <v>39</v>
      </c>
      <c r="M1196" s="2" t="s">
        <v>38</v>
      </c>
      <c r="N1196" s="2" t="s">
        <v>39</v>
      </c>
      <c r="O1196" s="2" t="s">
        <v>38</v>
      </c>
      <c r="P1196" s="2" t="s">
        <v>39</v>
      </c>
      <c r="Q1196" s="2" t="s">
        <v>38</v>
      </c>
      <c r="R1196" s="2" t="s">
        <v>38</v>
      </c>
      <c r="S1196" s="2" t="s">
        <v>38</v>
      </c>
      <c r="T1196" s="2" t="s">
        <v>38</v>
      </c>
      <c r="U1196" s="2" t="s">
        <v>38</v>
      </c>
      <c r="V1196" s="2" t="s">
        <v>38</v>
      </c>
      <c r="W1196" s="2" t="s">
        <v>38</v>
      </c>
      <c r="X1196" s="2" t="s">
        <v>38</v>
      </c>
      <c r="Y1196" s="2" t="s">
        <v>38</v>
      </c>
      <c r="Z1196" s="2" t="s">
        <v>38</v>
      </c>
      <c r="AA1196" s="2" t="s">
        <v>38</v>
      </c>
      <c r="AB1196" s="2" t="s">
        <v>39</v>
      </c>
      <c r="AC1196" s="2" t="s">
        <v>39</v>
      </c>
      <c r="AD1196" s="2" t="s">
        <v>38</v>
      </c>
      <c r="AE1196" s="2" t="s">
        <v>39</v>
      </c>
    </row>
    <row r="1197" spans="1:31" ht="409.5">
      <c r="A1197" s="2">
        <v>2615838</v>
      </c>
      <c r="B1197" s="2">
        <f>HYPERLINK("https://platform.v2.vetology.net/cases/2615838/screening-report/18?type=pdf&amp;v=v6&amp;scorecard=1&amp;secret_key=BX%25IJ%24%2F65ieZ%29f6", 2615838)</f>
        <v>2615838</v>
      </c>
      <c r="C1197" s="2">
        <f>HYPERLINK("https://platform.v2.vetology.net/report/v/final/"&amp;2615838, 2615838)</f>
        <v>2615838</v>
      </c>
      <c r="D1197" s="2" t="s">
        <v>3506</v>
      </c>
      <c r="E1197" s="2" t="s">
        <v>3507</v>
      </c>
      <c r="F1197" s="2" t="s">
        <v>3508</v>
      </c>
      <c r="G1197" s="2" t="s">
        <v>58</v>
      </c>
      <c r="H1197" s="2" t="s">
        <v>3509</v>
      </c>
      <c r="I1197" s="2" t="s">
        <v>89</v>
      </c>
      <c r="J1197" s="2" t="s">
        <v>66</v>
      </c>
      <c r="K1197" s="2" t="s">
        <v>38</v>
      </c>
      <c r="L1197" s="2" t="s">
        <v>39</v>
      </c>
      <c r="M1197" s="2" t="s">
        <v>39</v>
      </c>
      <c r="N1197" s="2" t="s">
        <v>38</v>
      </c>
      <c r="O1197" s="2" t="s">
        <v>38</v>
      </c>
      <c r="P1197" s="2" t="s">
        <v>39</v>
      </c>
      <c r="Q1197" s="2" t="s">
        <v>38</v>
      </c>
      <c r="R1197" s="2" t="s">
        <v>38</v>
      </c>
      <c r="S1197" s="2" t="s">
        <v>38</v>
      </c>
      <c r="T1197" s="2" t="s">
        <v>38</v>
      </c>
      <c r="U1197" s="2" t="s">
        <v>38</v>
      </c>
      <c r="V1197" s="2" t="s">
        <v>38</v>
      </c>
      <c r="W1197" s="2" t="s">
        <v>38</v>
      </c>
      <c r="X1197" s="2" t="s">
        <v>39</v>
      </c>
      <c r="Y1197" s="2" t="s">
        <v>38</v>
      </c>
      <c r="Z1197" s="2" t="s">
        <v>38</v>
      </c>
      <c r="AA1197" s="2" t="s">
        <v>38</v>
      </c>
      <c r="AB1197" s="2" t="s">
        <v>38</v>
      </c>
      <c r="AC1197" s="2" t="s">
        <v>38</v>
      </c>
      <c r="AD1197" s="2" t="s">
        <v>38</v>
      </c>
      <c r="AE1197" s="2" t="s">
        <v>39</v>
      </c>
    </row>
    <row r="1198" spans="1:31" ht="409.5">
      <c r="A1198" s="2">
        <v>2615713</v>
      </c>
      <c r="B1198" s="2">
        <f>HYPERLINK("https://platform.v2.vetology.net/cases/2615713/screening-report/18?type=pdf&amp;v=v6&amp;scorecard=1&amp;secret_key=BX%25IJ%24%2F65ieZ%29f6", 2615713)</f>
        <v>2615713</v>
      </c>
      <c r="C1198" s="2">
        <f>HYPERLINK("https://platform.v2.vetology.net/report/v/final/"&amp;2615713, 2615713)</f>
        <v>2615713</v>
      </c>
      <c r="D1198" s="2" t="s">
        <v>3510</v>
      </c>
      <c r="E1198" s="2" t="s">
        <v>3511</v>
      </c>
      <c r="F1198" s="2" t="s">
        <v>3512</v>
      </c>
      <c r="G1198" s="2" t="s">
        <v>58</v>
      </c>
      <c r="H1198" s="2" t="s">
        <v>3513</v>
      </c>
      <c r="I1198" s="2" t="s">
        <v>700</v>
      </c>
      <c r="J1198" s="2" t="s">
        <v>701</v>
      </c>
      <c r="K1198" s="2" t="s">
        <v>38</v>
      </c>
      <c r="L1198" s="2" t="s">
        <v>38</v>
      </c>
      <c r="M1198" s="2" t="s">
        <v>38</v>
      </c>
      <c r="N1198" s="2" t="s">
        <v>38</v>
      </c>
      <c r="O1198" s="2" t="s">
        <v>38</v>
      </c>
      <c r="P1198" s="2" t="s">
        <v>38</v>
      </c>
      <c r="Q1198" s="2" t="s">
        <v>38</v>
      </c>
      <c r="R1198" s="2" t="s">
        <v>38</v>
      </c>
      <c r="S1198" s="2" t="s">
        <v>38</v>
      </c>
      <c r="T1198" s="2" t="s">
        <v>38</v>
      </c>
      <c r="U1198" s="2" t="s">
        <v>38</v>
      </c>
      <c r="V1198" s="2" t="s">
        <v>38</v>
      </c>
      <c r="W1198" s="2" t="s">
        <v>38</v>
      </c>
      <c r="X1198" s="2" t="s">
        <v>39</v>
      </c>
      <c r="Y1198" s="2" t="s">
        <v>38</v>
      </c>
      <c r="Z1198" s="2" t="s">
        <v>38</v>
      </c>
      <c r="AA1198" s="2" t="s">
        <v>38</v>
      </c>
      <c r="AB1198" s="2" t="s">
        <v>38</v>
      </c>
      <c r="AC1198" s="2" t="s">
        <v>38</v>
      </c>
      <c r="AD1198" s="2" t="s">
        <v>38</v>
      </c>
      <c r="AE1198" s="2" t="s">
        <v>38</v>
      </c>
    </row>
    <row r="1199" spans="1:31" ht="409.5">
      <c r="A1199" s="2">
        <v>2615398</v>
      </c>
      <c r="B1199" s="2">
        <f>HYPERLINK("https://platform.v2.vetology.net/cases/2615398/screening-report/18?type=pdf&amp;v=v6&amp;scorecard=1&amp;secret_key=BX%25IJ%24%2F65ieZ%29f6", 2615398)</f>
        <v>2615398</v>
      </c>
      <c r="C1199" s="2">
        <f>HYPERLINK("https://platform.v2.vetology.net/report/v/final/"&amp;2615398, 2615398)</f>
        <v>2615398</v>
      </c>
      <c r="D1199" s="2" t="s">
        <v>3514</v>
      </c>
      <c r="E1199" s="2" t="s">
        <v>3515</v>
      </c>
      <c r="F1199" s="2" t="s">
        <v>81</v>
      </c>
      <c r="G1199" s="2" t="s">
        <v>150</v>
      </c>
      <c r="H1199" s="2" t="s">
        <v>3516</v>
      </c>
      <c r="I1199" s="2" t="s">
        <v>137</v>
      </c>
      <c r="J1199" s="2" t="s">
        <v>66</v>
      </c>
      <c r="K1199" s="2" t="s">
        <v>38</v>
      </c>
      <c r="L1199" s="2" t="s">
        <v>39</v>
      </c>
      <c r="M1199" s="2" t="s">
        <v>38</v>
      </c>
      <c r="N1199" s="2" t="s">
        <v>38</v>
      </c>
      <c r="O1199" s="2" t="s">
        <v>39</v>
      </c>
      <c r="P1199" s="2" t="s">
        <v>39</v>
      </c>
      <c r="Q1199" s="2" t="s">
        <v>38</v>
      </c>
      <c r="R1199" s="2" t="s">
        <v>38</v>
      </c>
      <c r="S1199" s="2" t="s">
        <v>38</v>
      </c>
      <c r="T1199" s="2" t="s">
        <v>39</v>
      </c>
      <c r="U1199" s="2" t="s">
        <v>38</v>
      </c>
      <c r="V1199" s="2" t="s">
        <v>39</v>
      </c>
      <c r="W1199" s="2" t="s">
        <v>38</v>
      </c>
      <c r="X1199" s="2" t="s">
        <v>39</v>
      </c>
      <c r="Y1199" s="2" t="s">
        <v>38</v>
      </c>
      <c r="Z1199" s="2" t="s">
        <v>38</v>
      </c>
      <c r="AA1199" s="2" t="s">
        <v>38</v>
      </c>
      <c r="AB1199" s="2" t="s">
        <v>38</v>
      </c>
      <c r="AC1199" s="2" t="s">
        <v>38</v>
      </c>
      <c r="AD1199" s="2" t="s">
        <v>38</v>
      </c>
      <c r="AE1199" s="2" t="s">
        <v>39</v>
      </c>
    </row>
    <row r="1200" spans="1:31" ht="409.5">
      <c r="A1200" s="2">
        <v>2615237</v>
      </c>
      <c r="B1200" s="2">
        <f>HYPERLINK("https://platform.v2.vetology.net/cases/2615237/screening-report/18?type=pdf&amp;v=v6&amp;scorecard=1&amp;secret_key=BX%25IJ%24%2F65ieZ%29f6", 2615237)</f>
        <v>2615237</v>
      </c>
      <c r="C1200" s="2">
        <f>HYPERLINK("https://platform.v2.vetology.net/report/v/final/"&amp;2615237, 2615237)</f>
        <v>2615237</v>
      </c>
      <c r="D1200" s="2" t="s">
        <v>3517</v>
      </c>
      <c r="E1200" s="2" t="s">
        <v>3518</v>
      </c>
      <c r="F1200" s="2" t="s">
        <v>3519</v>
      </c>
      <c r="G1200" s="2" t="s">
        <v>93</v>
      </c>
      <c r="H1200" s="2" t="s">
        <v>3520</v>
      </c>
      <c r="I1200" s="2" t="s">
        <v>841</v>
      </c>
      <c r="J1200" s="2" t="s">
        <v>518</v>
      </c>
      <c r="K1200" s="2" t="s">
        <v>38</v>
      </c>
      <c r="L1200" s="2" t="s">
        <v>39</v>
      </c>
      <c r="M1200" s="2" t="s">
        <v>39</v>
      </c>
      <c r="N1200" s="2" t="s">
        <v>38</v>
      </c>
      <c r="O1200" s="2" t="s">
        <v>38</v>
      </c>
      <c r="P1200" s="2" t="s">
        <v>39</v>
      </c>
      <c r="Q1200" s="2" t="s">
        <v>39</v>
      </c>
      <c r="R1200" s="2" t="s">
        <v>38</v>
      </c>
      <c r="S1200" s="2" t="s">
        <v>38</v>
      </c>
      <c r="T1200" s="2" t="s">
        <v>38</v>
      </c>
      <c r="U1200" s="2" t="s">
        <v>38</v>
      </c>
      <c r="V1200" s="2" t="s">
        <v>38</v>
      </c>
      <c r="W1200" s="2" t="s">
        <v>38</v>
      </c>
      <c r="X1200" s="2" t="s">
        <v>38</v>
      </c>
      <c r="Y1200" s="2" t="s">
        <v>39</v>
      </c>
      <c r="Z1200" s="2" t="s">
        <v>38</v>
      </c>
      <c r="AA1200" s="2" t="s">
        <v>38</v>
      </c>
      <c r="AB1200" s="2" t="s">
        <v>39</v>
      </c>
      <c r="AC1200" s="2" t="s">
        <v>39</v>
      </c>
      <c r="AD1200" s="2" t="s">
        <v>38</v>
      </c>
      <c r="AE1200" s="2" t="s">
        <v>38</v>
      </c>
    </row>
    <row r="1201" spans="1:31" ht="409.5">
      <c r="A1201" s="2">
        <v>2615177</v>
      </c>
      <c r="B1201" s="2">
        <f>HYPERLINK("https://platform.v2.vetology.net/cases/2615177/screening-report/18?type=pdf&amp;v=v6&amp;scorecard=1&amp;secret_key=BX%25IJ%24%2F65ieZ%29f6", 2615177)</f>
        <v>2615177</v>
      </c>
      <c r="C1201" s="2">
        <f>HYPERLINK("https://platform.v2.vetology.net/report/v/final/"&amp;2615177, 2615177)</f>
        <v>2615177</v>
      </c>
      <c r="D1201" s="2" t="s">
        <v>3521</v>
      </c>
      <c r="E1201" s="2" t="s">
        <v>3522</v>
      </c>
      <c r="F1201" s="2" t="s">
        <v>3523</v>
      </c>
      <c r="G1201" s="2" t="s">
        <v>141</v>
      </c>
      <c r="H1201" s="2" t="s">
        <v>1638</v>
      </c>
      <c r="I1201" s="2" t="s">
        <v>36</v>
      </c>
      <c r="J1201" s="2" t="s">
        <v>37</v>
      </c>
      <c r="K1201" s="2" t="s">
        <v>38</v>
      </c>
      <c r="L1201" s="2" t="s">
        <v>38</v>
      </c>
      <c r="M1201" s="2" t="s">
        <v>39</v>
      </c>
      <c r="N1201" s="2" t="s">
        <v>38</v>
      </c>
      <c r="O1201" s="2" t="s">
        <v>38</v>
      </c>
      <c r="P1201" s="2" t="s">
        <v>38</v>
      </c>
      <c r="Q1201" s="2" t="s">
        <v>38</v>
      </c>
      <c r="R1201" s="2" t="s">
        <v>38</v>
      </c>
      <c r="S1201" s="2" t="s">
        <v>38</v>
      </c>
      <c r="T1201" s="2" t="s">
        <v>38</v>
      </c>
      <c r="U1201" s="2" t="s">
        <v>38</v>
      </c>
      <c r="V1201" s="2" t="s">
        <v>38</v>
      </c>
      <c r="W1201" s="2" t="s">
        <v>38</v>
      </c>
      <c r="X1201" s="2" t="s">
        <v>38</v>
      </c>
      <c r="Y1201" s="2" t="s">
        <v>38</v>
      </c>
      <c r="Z1201" s="2" t="s">
        <v>38</v>
      </c>
      <c r="AA1201" s="2" t="s">
        <v>38</v>
      </c>
      <c r="AB1201" s="2" t="s">
        <v>39</v>
      </c>
      <c r="AC1201" s="2" t="s">
        <v>39</v>
      </c>
      <c r="AD1201" s="2" t="s">
        <v>38</v>
      </c>
      <c r="AE1201" s="2" t="s">
        <v>39</v>
      </c>
    </row>
    <row r="1202" spans="1:31" ht="409.5">
      <c r="A1202" s="2">
        <v>2615160</v>
      </c>
      <c r="B1202" s="2">
        <f>HYPERLINK("https://platform.v2.vetology.net/cases/2615160/screening-report/18?type=pdf&amp;v=v6&amp;scorecard=1&amp;secret_key=BX%25IJ%24%2F65ieZ%29f6", 2615160)</f>
        <v>2615160</v>
      </c>
      <c r="C1202" s="2">
        <f>HYPERLINK("https://platform.v2.vetology.net/report/v/final/"&amp;2615160, 2615160)</f>
        <v>2615160</v>
      </c>
      <c r="D1202" s="2" t="s">
        <v>3524</v>
      </c>
      <c r="E1202" s="2" t="s">
        <v>3525</v>
      </c>
      <c r="F1202" s="2"/>
      <c r="G1202" s="2" t="s">
        <v>141</v>
      </c>
      <c r="H1202" s="2" t="s">
        <v>3526</v>
      </c>
      <c r="I1202" s="2" t="s">
        <v>214</v>
      </c>
      <c r="J1202" s="2" t="s">
        <v>50</v>
      </c>
      <c r="K1202" s="2" t="s">
        <v>38</v>
      </c>
      <c r="L1202" s="2" t="s">
        <v>38</v>
      </c>
      <c r="M1202" s="2" t="s">
        <v>38</v>
      </c>
      <c r="N1202" s="2" t="s">
        <v>38</v>
      </c>
      <c r="O1202" s="2" t="s">
        <v>39</v>
      </c>
      <c r="P1202" s="2" t="s">
        <v>38</v>
      </c>
      <c r="Q1202" s="2" t="s">
        <v>38</v>
      </c>
      <c r="R1202" s="2" t="s">
        <v>38</v>
      </c>
      <c r="S1202" s="2" t="s">
        <v>38</v>
      </c>
      <c r="T1202" s="2" t="s">
        <v>38</v>
      </c>
      <c r="U1202" s="2" t="s">
        <v>38</v>
      </c>
      <c r="V1202" s="2" t="s">
        <v>38</v>
      </c>
      <c r="W1202" s="2" t="s">
        <v>38</v>
      </c>
      <c r="X1202" s="2" t="s">
        <v>38</v>
      </c>
      <c r="Y1202" s="2" t="s">
        <v>38</v>
      </c>
      <c r="Z1202" s="2" t="s">
        <v>38</v>
      </c>
      <c r="AA1202" s="2" t="s">
        <v>38</v>
      </c>
      <c r="AB1202" s="2" t="s">
        <v>38</v>
      </c>
      <c r="AC1202" s="2" t="s">
        <v>38</v>
      </c>
      <c r="AD1202" s="2" t="s">
        <v>38</v>
      </c>
      <c r="AE1202" s="2" t="s">
        <v>38</v>
      </c>
    </row>
    <row r="1203" spans="1:31" ht="409.5">
      <c r="A1203" s="2">
        <v>2615106</v>
      </c>
      <c r="B1203" s="2">
        <f>HYPERLINK("https://platform.v2.vetology.net/cases/2615106/screening-report/18?type=pdf&amp;v=v6&amp;scorecard=1&amp;secret_key=BX%25IJ%24%2F65ieZ%29f6", 2615106)</f>
        <v>2615106</v>
      </c>
      <c r="C1203" s="2">
        <f>HYPERLINK("https://platform.v2.vetology.net/report/v/final/"&amp;2615106, 2615106)</f>
        <v>2615106</v>
      </c>
      <c r="D1203" s="2" t="s">
        <v>3527</v>
      </c>
      <c r="E1203" s="2" t="s">
        <v>3528</v>
      </c>
      <c r="F1203" s="2" t="s">
        <v>3529</v>
      </c>
      <c r="G1203" s="2" t="s">
        <v>212</v>
      </c>
      <c r="H1203" s="2" t="s">
        <v>542</v>
      </c>
      <c r="I1203" s="2" t="s">
        <v>543</v>
      </c>
      <c r="J1203" s="2" t="s">
        <v>544</v>
      </c>
      <c r="K1203" s="2" t="s">
        <v>39</v>
      </c>
      <c r="L1203" s="2" t="s">
        <v>39</v>
      </c>
      <c r="M1203" s="2" t="s">
        <v>39</v>
      </c>
      <c r="N1203" s="2" t="s">
        <v>39</v>
      </c>
      <c r="O1203" s="2" t="s">
        <v>39</v>
      </c>
      <c r="P1203" s="2" t="s">
        <v>39</v>
      </c>
      <c r="Q1203" s="2" t="s">
        <v>39</v>
      </c>
      <c r="R1203" s="2" t="s">
        <v>39</v>
      </c>
      <c r="S1203" s="2" t="s">
        <v>39</v>
      </c>
      <c r="T1203" s="2" t="s">
        <v>39</v>
      </c>
      <c r="U1203" s="2" t="s">
        <v>39</v>
      </c>
      <c r="V1203" s="2" t="s">
        <v>39</v>
      </c>
      <c r="W1203" s="2" t="s">
        <v>38</v>
      </c>
      <c r="X1203" s="2" t="s">
        <v>39</v>
      </c>
      <c r="Y1203" s="2" t="s">
        <v>38</v>
      </c>
      <c r="Z1203" s="2" t="s">
        <v>39</v>
      </c>
      <c r="AA1203" s="2" t="s">
        <v>39</v>
      </c>
      <c r="AB1203" s="2" t="s">
        <v>39</v>
      </c>
      <c r="AC1203" s="2" t="s">
        <v>39</v>
      </c>
      <c r="AD1203" s="2" t="s">
        <v>38</v>
      </c>
      <c r="AE1203" s="2" t="s">
        <v>38</v>
      </c>
    </row>
    <row r="1204" spans="1:31" ht="409.5">
      <c r="A1204" s="2">
        <v>2615083</v>
      </c>
      <c r="B1204" s="2">
        <f>HYPERLINK("https://platform.v2.vetology.net/cases/2615083/screening-report/18?type=pdf&amp;v=v6&amp;scorecard=1&amp;secret_key=BX%25IJ%24%2F65ieZ%29f6", 2615083)</f>
        <v>2615083</v>
      </c>
      <c r="C1204" s="2">
        <f>HYPERLINK("https://platform.v2.vetology.net/report/v/final/"&amp;2615083, 2615083)</f>
        <v>2615083</v>
      </c>
      <c r="D1204" s="2" t="s">
        <v>3530</v>
      </c>
      <c r="E1204" s="2" t="s">
        <v>3531</v>
      </c>
      <c r="F1204" s="2" t="s">
        <v>3532</v>
      </c>
      <c r="G1204" s="2" t="s">
        <v>141</v>
      </c>
      <c r="H1204" s="2" t="s">
        <v>3533</v>
      </c>
      <c r="I1204" s="2" t="s">
        <v>111</v>
      </c>
      <c r="J1204" s="2" t="s">
        <v>112</v>
      </c>
      <c r="K1204" s="2" t="s">
        <v>39</v>
      </c>
      <c r="L1204" s="2" t="s">
        <v>39</v>
      </c>
      <c r="M1204" s="2" t="s">
        <v>39</v>
      </c>
      <c r="N1204" s="2" t="s">
        <v>39</v>
      </c>
      <c r="O1204" s="2" t="s">
        <v>39</v>
      </c>
      <c r="P1204" s="2" t="s">
        <v>39</v>
      </c>
      <c r="Q1204" s="2" t="s">
        <v>39</v>
      </c>
      <c r="R1204" s="2" t="s">
        <v>39</v>
      </c>
      <c r="S1204" s="2" t="s">
        <v>39</v>
      </c>
      <c r="T1204" s="2" t="s">
        <v>39</v>
      </c>
      <c r="U1204" s="2" t="s">
        <v>39</v>
      </c>
      <c r="V1204" s="2" t="s">
        <v>39</v>
      </c>
      <c r="W1204" s="2" t="s">
        <v>39</v>
      </c>
      <c r="X1204" s="2" t="s">
        <v>39</v>
      </c>
      <c r="Y1204" s="2" t="s">
        <v>39</v>
      </c>
      <c r="Z1204" s="2" t="s">
        <v>39</v>
      </c>
      <c r="AA1204" s="2" t="s">
        <v>39</v>
      </c>
      <c r="AB1204" s="2" t="s">
        <v>39</v>
      </c>
      <c r="AC1204" s="2" t="s">
        <v>39</v>
      </c>
      <c r="AD1204" s="2" t="s">
        <v>39</v>
      </c>
      <c r="AE1204" s="2" t="s">
        <v>39</v>
      </c>
    </row>
    <row r="1205" spans="1:31" ht="409.5">
      <c r="A1205" s="2">
        <v>2615071</v>
      </c>
      <c r="B1205" s="2">
        <f>HYPERLINK("https://platform.v2.vetology.net/cases/2615071/screening-report/18?type=pdf&amp;v=v6&amp;scorecard=1&amp;secret_key=BX%25IJ%24%2F65ieZ%29f6", 2615071)</f>
        <v>2615071</v>
      </c>
      <c r="C1205" s="2">
        <f>HYPERLINK("https://platform.v2.vetology.net/report/v/final/"&amp;2615071, 2615071)</f>
        <v>2615071</v>
      </c>
      <c r="D1205" s="2" t="s">
        <v>3534</v>
      </c>
      <c r="E1205" s="2" t="s">
        <v>3535</v>
      </c>
      <c r="F1205" s="2" t="s">
        <v>3536</v>
      </c>
      <c r="G1205" s="2" t="s">
        <v>58</v>
      </c>
      <c r="H1205" s="2" t="s">
        <v>3537</v>
      </c>
      <c r="I1205" s="2" t="s">
        <v>700</v>
      </c>
      <c r="J1205" s="2" t="s">
        <v>701</v>
      </c>
      <c r="K1205" s="2" t="s">
        <v>38</v>
      </c>
      <c r="L1205" s="2" t="s">
        <v>38</v>
      </c>
      <c r="M1205" s="2" t="s">
        <v>38</v>
      </c>
      <c r="N1205" s="2" t="s">
        <v>38</v>
      </c>
      <c r="O1205" s="2" t="s">
        <v>38</v>
      </c>
      <c r="P1205" s="2" t="s">
        <v>38</v>
      </c>
      <c r="Q1205" s="2" t="s">
        <v>38</v>
      </c>
      <c r="R1205" s="2" t="s">
        <v>38</v>
      </c>
      <c r="S1205" s="2" t="s">
        <v>38</v>
      </c>
      <c r="T1205" s="2" t="s">
        <v>39</v>
      </c>
      <c r="U1205" s="2" t="s">
        <v>38</v>
      </c>
      <c r="V1205" s="2" t="s">
        <v>39</v>
      </c>
      <c r="W1205" s="2" t="s">
        <v>38</v>
      </c>
      <c r="X1205" s="2" t="s">
        <v>39</v>
      </c>
      <c r="Y1205" s="2" t="s">
        <v>38</v>
      </c>
      <c r="Z1205" s="2" t="s">
        <v>39</v>
      </c>
      <c r="AA1205" s="2" t="s">
        <v>38</v>
      </c>
      <c r="AB1205" s="2" t="s">
        <v>38</v>
      </c>
      <c r="AC1205" s="2" t="s">
        <v>38</v>
      </c>
      <c r="AD1205" s="2" t="s">
        <v>38</v>
      </c>
      <c r="AE1205" s="2" t="s">
        <v>38</v>
      </c>
    </row>
    <row r="1206" spans="1:31" ht="409.5">
      <c r="A1206" s="2">
        <v>2615023</v>
      </c>
      <c r="B1206" s="2">
        <f>HYPERLINK("https://platform.v2.vetology.net/cases/2615023/screening-report/18?type=pdf&amp;v=v6&amp;scorecard=1&amp;secret_key=BX%25IJ%24%2F65ieZ%29f6", 2615023)</f>
        <v>2615023</v>
      </c>
      <c r="C1206" s="2">
        <f>HYPERLINK("https://platform.v2.vetology.net/report/v/final/"&amp;2615023, 2615023)</f>
        <v>2615023</v>
      </c>
      <c r="D1206" s="2" t="s">
        <v>3538</v>
      </c>
      <c r="E1206" s="2" t="s">
        <v>3539</v>
      </c>
      <c r="F1206" s="2" t="s">
        <v>81</v>
      </c>
      <c r="G1206" s="2" t="s">
        <v>150</v>
      </c>
      <c r="H1206" s="2" t="s">
        <v>1265</v>
      </c>
      <c r="I1206" s="2" t="s">
        <v>1245</v>
      </c>
      <c r="J1206" s="2" t="s">
        <v>66</v>
      </c>
      <c r="K1206" s="2" t="s">
        <v>38</v>
      </c>
      <c r="L1206" s="2" t="s">
        <v>39</v>
      </c>
      <c r="M1206" s="2" t="s">
        <v>39</v>
      </c>
      <c r="N1206" s="2" t="s">
        <v>38</v>
      </c>
      <c r="O1206" s="2" t="s">
        <v>38</v>
      </c>
      <c r="P1206" s="2" t="s">
        <v>38</v>
      </c>
      <c r="Q1206" s="2" t="s">
        <v>38</v>
      </c>
      <c r="R1206" s="2" t="s">
        <v>38</v>
      </c>
      <c r="S1206" s="2" t="s">
        <v>38</v>
      </c>
      <c r="T1206" s="2" t="s">
        <v>39</v>
      </c>
      <c r="U1206" s="2" t="s">
        <v>38</v>
      </c>
      <c r="V1206" s="2" t="s">
        <v>38</v>
      </c>
      <c r="W1206" s="2" t="s">
        <v>38</v>
      </c>
      <c r="X1206" s="2" t="s">
        <v>38</v>
      </c>
      <c r="Y1206" s="2" t="s">
        <v>38</v>
      </c>
      <c r="Z1206" s="2" t="s">
        <v>38</v>
      </c>
      <c r="AA1206" s="2" t="s">
        <v>38</v>
      </c>
      <c r="AB1206" s="2" t="s">
        <v>39</v>
      </c>
      <c r="AC1206" s="2" t="s">
        <v>39</v>
      </c>
      <c r="AD1206" s="2" t="s">
        <v>38</v>
      </c>
      <c r="AE1206" s="2" t="s">
        <v>38</v>
      </c>
    </row>
    <row r="1207" spans="1:31" ht="409.5">
      <c r="A1207" s="2">
        <v>2614969</v>
      </c>
      <c r="B1207" s="2">
        <f>HYPERLINK("https://platform.v2.vetology.net/cases/2614969/screening-report/18?type=pdf&amp;v=v6&amp;scorecard=1&amp;secret_key=BX%25IJ%24%2F65ieZ%29f6", 2614969)</f>
        <v>2614969</v>
      </c>
      <c r="C1207" s="2">
        <f>HYPERLINK("https://platform.v2.vetology.net/report/v/final/"&amp;2614969, 2614969)</f>
        <v>2614969</v>
      </c>
      <c r="D1207" s="2" t="s">
        <v>3540</v>
      </c>
      <c r="E1207" s="2" t="s">
        <v>3541</v>
      </c>
      <c r="F1207" s="2" t="s">
        <v>81</v>
      </c>
      <c r="G1207" s="2" t="s">
        <v>150</v>
      </c>
      <c r="H1207" s="2" t="s">
        <v>94</v>
      </c>
      <c r="I1207" s="2" t="s">
        <v>89</v>
      </c>
      <c r="J1207" s="2" t="s">
        <v>66</v>
      </c>
      <c r="K1207" s="2" t="s">
        <v>38</v>
      </c>
      <c r="L1207" s="2" t="s">
        <v>38</v>
      </c>
      <c r="M1207" s="2" t="s">
        <v>39</v>
      </c>
      <c r="N1207" s="2" t="s">
        <v>38</v>
      </c>
      <c r="O1207" s="2" t="s">
        <v>38</v>
      </c>
      <c r="P1207" s="2" t="s">
        <v>38</v>
      </c>
      <c r="Q1207" s="2" t="s">
        <v>38</v>
      </c>
      <c r="R1207" s="2" t="s">
        <v>38</v>
      </c>
      <c r="S1207" s="2" t="s">
        <v>38</v>
      </c>
      <c r="T1207" s="2" t="s">
        <v>38</v>
      </c>
      <c r="U1207" s="2" t="s">
        <v>39</v>
      </c>
      <c r="V1207" s="2" t="s">
        <v>38</v>
      </c>
      <c r="W1207" s="2" t="s">
        <v>38</v>
      </c>
      <c r="X1207" s="2" t="s">
        <v>38</v>
      </c>
      <c r="Y1207" s="2" t="s">
        <v>38</v>
      </c>
      <c r="Z1207" s="2" t="s">
        <v>39</v>
      </c>
      <c r="AA1207" s="2" t="s">
        <v>38</v>
      </c>
      <c r="AB1207" s="2" t="s">
        <v>39</v>
      </c>
      <c r="AC1207" s="2" t="s">
        <v>38</v>
      </c>
      <c r="AD1207" s="2" t="s">
        <v>38</v>
      </c>
      <c r="AE1207" s="2" t="s">
        <v>39</v>
      </c>
    </row>
    <row r="1208" spans="1:31" ht="409.5">
      <c r="A1208" s="2">
        <v>2614924</v>
      </c>
      <c r="B1208" s="2">
        <f>HYPERLINK("https://platform.v2.vetology.net/cases/2614924/screening-report/18?type=pdf&amp;v=v6&amp;scorecard=1&amp;secret_key=BX%25IJ%24%2F65ieZ%29f6", 2614924)</f>
        <v>2614924</v>
      </c>
      <c r="C1208" s="2">
        <f>HYPERLINK("https://platform.v2.vetology.net/report/v/final/"&amp;2614924, 2614924)</f>
        <v>2614924</v>
      </c>
      <c r="D1208" s="2" t="s">
        <v>3542</v>
      </c>
      <c r="E1208" s="2" t="s">
        <v>2063</v>
      </c>
      <c r="F1208" s="2" t="s">
        <v>81</v>
      </c>
      <c r="G1208" s="2" t="s">
        <v>150</v>
      </c>
      <c r="H1208" s="2" t="s">
        <v>509</v>
      </c>
      <c r="I1208" s="2" t="s">
        <v>36</v>
      </c>
      <c r="J1208" s="2" t="s">
        <v>37</v>
      </c>
      <c r="K1208" s="2" t="s">
        <v>38</v>
      </c>
      <c r="L1208" s="2" t="s">
        <v>39</v>
      </c>
      <c r="M1208" s="2" t="s">
        <v>39</v>
      </c>
      <c r="N1208" s="2" t="s">
        <v>38</v>
      </c>
      <c r="O1208" s="2" t="s">
        <v>38</v>
      </c>
      <c r="P1208" s="2" t="s">
        <v>38</v>
      </c>
      <c r="Q1208" s="2" t="s">
        <v>38</v>
      </c>
      <c r="R1208" s="2" t="s">
        <v>38</v>
      </c>
      <c r="S1208" s="2" t="s">
        <v>38</v>
      </c>
      <c r="T1208" s="2" t="s">
        <v>39</v>
      </c>
      <c r="U1208" s="2" t="s">
        <v>38</v>
      </c>
      <c r="V1208" s="2" t="s">
        <v>38</v>
      </c>
      <c r="W1208" s="2" t="s">
        <v>38</v>
      </c>
      <c r="X1208" s="2" t="s">
        <v>39</v>
      </c>
      <c r="Y1208" s="2" t="s">
        <v>38</v>
      </c>
      <c r="Z1208" s="2" t="s">
        <v>38</v>
      </c>
      <c r="AA1208" s="2" t="s">
        <v>38</v>
      </c>
      <c r="AB1208" s="2" t="s">
        <v>39</v>
      </c>
      <c r="AC1208" s="2" t="s">
        <v>38</v>
      </c>
      <c r="AD1208" s="2" t="s">
        <v>38</v>
      </c>
      <c r="AE1208" s="2" t="s">
        <v>38</v>
      </c>
    </row>
    <row r="1209" spans="1:31" ht="409.5">
      <c r="A1209" s="2">
        <v>2614778</v>
      </c>
      <c r="B1209" s="2">
        <f>HYPERLINK("https://platform.v2.vetology.net/cases/2614778/screening-report/18?type=pdf&amp;v=v6&amp;scorecard=1&amp;secret_key=BX%25IJ%24%2F65ieZ%29f6", 2614778)</f>
        <v>2614778</v>
      </c>
      <c r="C1209" s="2">
        <f>HYPERLINK("https://platform.v2.vetology.net/report/v/final/"&amp;2614778, 2614778)</f>
        <v>2614778</v>
      </c>
      <c r="D1209" s="2" t="s">
        <v>3543</v>
      </c>
      <c r="E1209" s="2" t="s">
        <v>3544</v>
      </c>
      <c r="F1209" s="2" t="s">
        <v>3545</v>
      </c>
      <c r="G1209" s="2" t="s">
        <v>135</v>
      </c>
      <c r="H1209" s="2" t="s">
        <v>2203</v>
      </c>
      <c r="I1209" s="2" t="s">
        <v>306</v>
      </c>
      <c r="J1209" s="2" t="s">
        <v>307</v>
      </c>
      <c r="K1209" s="2" t="s">
        <v>38</v>
      </c>
      <c r="L1209" s="2" t="s">
        <v>39</v>
      </c>
      <c r="M1209" s="2" t="s">
        <v>38</v>
      </c>
      <c r="N1209" s="2" t="s">
        <v>39</v>
      </c>
      <c r="O1209" s="2" t="s">
        <v>38</v>
      </c>
      <c r="P1209" s="2" t="s">
        <v>39</v>
      </c>
      <c r="Q1209" s="2" t="s">
        <v>38</v>
      </c>
      <c r="R1209" s="2" t="s">
        <v>38</v>
      </c>
      <c r="S1209" s="2" t="s">
        <v>38</v>
      </c>
      <c r="T1209" s="2" t="s">
        <v>39</v>
      </c>
      <c r="U1209" s="2" t="s">
        <v>38</v>
      </c>
      <c r="V1209" s="2" t="s">
        <v>38</v>
      </c>
      <c r="W1209" s="2" t="s">
        <v>38</v>
      </c>
      <c r="X1209" s="2" t="s">
        <v>39</v>
      </c>
      <c r="Y1209" s="2" t="s">
        <v>38</v>
      </c>
      <c r="Z1209" s="2" t="s">
        <v>39</v>
      </c>
      <c r="AA1209" s="2" t="s">
        <v>38</v>
      </c>
      <c r="AB1209" s="2" t="s">
        <v>39</v>
      </c>
      <c r="AC1209" s="2" t="s">
        <v>38</v>
      </c>
      <c r="AD1209" s="2" t="s">
        <v>38</v>
      </c>
      <c r="AE1209" s="2" t="s">
        <v>39</v>
      </c>
    </row>
    <row r="1210" spans="1:31" ht="409.5">
      <c r="A1210" s="2">
        <v>2614630</v>
      </c>
      <c r="B1210" s="2">
        <f>HYPERLINK("https://platform.v2.vetology.net/cases/2614630/screening-report/18?type=pdf&amp;v=v6&amp;scorecard=1&amp;secret_key=BX%25IJ%24%2F65ieZ%29f6", 2614630)</f>
        <v>2614630</v>
      </c>
      <c r="C1210" s="2">
        <f>HYPERLINK("https://platform.v2.vetology.net/report/v/final/"&amp;2614630, 2614630)</f>
        <v>2614630</v>
      </c>
      <c r="D1210" s="2" t="s">
        <v>3546</v>
      </c>
      <c r="E1210" s="2" t="s">
        <v>3547</v>
      </c>
      <c r="F1210" s="2" t="s">
        <v>3548</v>
      </c>
      <c r="G1210" s="2" t="s">
        <v>93</v>
      </c>
      <c r="H1210" s="2" t="s">
        <v>48</v>
      </c>
      <c r="I1210" s="2" t="s">
        <v>49</v>
      </c>
      <c r="J1210" s="2" t="s">
        <v>50</v>
      </c>
      <c r="K1210" s="2" t="s">
        <v>38</v>
      </c>
      <c r="L1210" s="2" t="s">
        <v>39</v>
      </c>
      <c r="M1210" s="2" t="s">
        <v>38</v>
      </c>
      <c r="N1210" s="2" t="s">
        <v>38</v>
      </c>
      <c r="O1210" s="2" t="s">
        <v>39</v>
      </c>
      <c r="P1210" s="2" t="s">
        <v>38</v>
      </c>
      <c r="Q1210" s="2" t="s">
        <v>38</v>
      </c>
      <c r="R1210" s="2" t="s">
        <v>38</v>
      </c>
      <c r="S1210" s="2" t="s">
        <v>38</v>
      </c>
      <c r="T1210" s="2" t="s">
        <v>39</v>
      </c>
      <c r="U1210" s="2" t="s">
        <v>38</v>
      </c>
      <c r="V1210" s="2" t="s">
        <v>39</v>
      </c>
      <c r="W1210" s="2" t="s">
        <v>38</v>
      </c>
      <c r="X1210" s="2" t="s">
        <v>39</v>
      </c>
      <c r="Y1210" s="2" t="s">
        <v>38</v>
      </c>
      <c r="Z1210" s="2" t="s">
        <v>38</v>
      </c>
      <c r="AA1210" s="2" t="s">
        <v>38</v>
      </c>
      <c r="AB1210" s="2" t="s">
        <v>38</v>
      </c>
      <c r="AC1210" s="2" t="s">
        <v>38</v>
      </c>
      <c r="AD1210" s="2" t="s">
        <v>38</v>
      </c>
      <c r="AE1210" s="2" t="s">
        <v>38</v>
      </c>
    </row>
    <row r="1211" spans="1:31" ht="409.5">
      <c r="A1211" s="2">
        <v>2614580</v>
      </c>
      <c r="B1211" s="2">
        <f>HYPERLINK("https://platform.v2.vetology.net/cases/2614580/screening-report/18?type=pdf&amp;v=v6&amp;scorecard=1&amp;secret_key=BX%25IJ%24%2F65ieZ%29f6", 2614580)</f>
        <v>2614580</v>
      </c>
      <c r="C1211" s="2">
        <f>HYPERLINK("https://platform.v2.vetology.net/report/v/final/"&amp;2614580, 2614580)</f>
        <v>2614580</v>
      </c>
      <c r="D1211" s="2" t="s">
        <v>3549</v>
      </c>
      <c r="E1211" s="2" t="s">
        <v>3550</v>
      </c>
      <c r="F1211" s="2" t="s">
        <v>3551</v>
      </c>
      <c r="G1211" s="2" t="s">
        <v>212</v>
      </c>
      <c r="H1211" s="2" t="s">
        <v>88</v>
      </c>
      <c r="I1211" s="2" t="s">
        <v>89</v>
      </c>
      <c r="J1211" s="2" t="s">
        <v>66</v>
      </c>
      <c r="K1211" s="2" t="s">
        <v>38</v>
      </c>
      <c r="L1211" s="2" t="s">
        <v>38</v>
      </c>
      <c r="M1211" s="2" t="s">
        <v>38</v>
      </c>
      <c r="N1211" s="2" t="s">
        <v>38</v>
      </c>
      <c r="O1211" s="2" t="s">
        <v>38</v>
      </c>
      <c r="P1211" s="2" t="s">
        <v>38</v>
      </c>
      <c r="Q1211" s="2" t="s">
        <v>38</v>
      </c>
      <c r="R1211" s="2" t="s">
        <v>38</v>
      </c>
      <c r="S1211" s="2" t="s">
        <v>38</v>
      </c>
      <c r="T1211" s="2" t="s">
        <v>38</v>
      </c>
      <c r="U1211" s="2" t="s">
        <v>38</v>
      </c>
      <c r="V1211" s="2" t="s">
        <v>38</v>
      </c>
      <c r="W1211" s="2" t="s">
        <v>38</v>
      </c>
      <c r="X1211" s="2" t="s">
        <v>38</v>
      </c>
      <c r="Y1211" s="2" t="s">
        <v>38</v>
      </c>
      <c r="Z1211" s="2" t="s">
        <v>38</v>
      </c>
      <c r="AA1211" s="2" t="s">
        <v>38</v>
      </c>
      <c r="AB1211" s="2" t="s">
        <v>38</v>
      </c>
      <c r="AC1211" s="2" t="s">
        <v>38</v>
      </c>
      <c r="AD1211" s="2" t="s">
        <v>38</v>
      </c>
      <c r="AE1211" s="2" t="s">
        <v>39</v>
      </c>
    </row>
    <row r="1212" spans="1:31" ht="409.5">
      <c r="A1212" s="2">
        <v>2614438</v>
      </c>
      <c r="B1212" s="2">
        <f>HYPERLINK("https://platform.v2.vetology.net/cases/2614438/screening-report/18?type=pdf&amp;v=v6&amp;scorecard=1&amp;secret_key=BX%25IJ%24%2F65ieZ%29f6", 2614438)</f>
        <v>2614438</v>
      </c>
      <c r="C1212" s="2">
        <f>HYPERLINK("https://platform.v2.vetology.net/report/v/final/"&amp;2614438, 2614438)</f>
        <v>2614438</v>
      </c>
      <c r="D1212" s="2" t="s">
        <v>3552</v>
      </c>
      <c r="E1212" s="2" t="s">
        <v>3553</v>
      </c>
      <c r="F1212" s="2" t="s">
        <v>3554</v>
      </c>
      <c r="G1212" s="2" t="s">
        <v>575</v>
      </c>
      <c r="H1212" s="2" t="s">
        <v>3060</v>
      </c>
      <c r="I1212" s="2" t="s">
        <v>137</v>
      </c>
      <c r="J1212" s="2" t="s">
        <v>66</v>
      </c>
      <c r="K1212" s="2" t="s">
        <v>38</v>
      </c>
      <c r="L1212" s="2" t="s">
        <v>39</v>
      </c>
      <c r="M1212" s="2" t="s">
        <v>39</v>
      </c>
      <c r="N1212" s="2" t="s">
        <v>38</v>
      </c>
      <c r="O1212" s="2" t="s">
        <v>38</v>
      </c>
      <c r="P1212" s="2" t="s">
        <v>38</v>
      </c>
      <c r="Q1212" s="2" t="s">
        <v>38</v>
      </c>
      <c r="R1212" s="2" t="s">
        <v>38</v>
      </c>
      <c r="S1212" s="2" t="s">
        <v>38</v>
      </c>
      <c r="T1212" s="2" t="s">
        <v>38</v>
      </c>
      <c r="U1212" s="2" t="s">
        <v>38</v>
      </c>
      <c r="V1212" s="2" t="s">
        <v>38</v>
      </c>
      <c r="W1212" s="2" t="s">
        <v>38</v>
      </c>
      <c r="X1212" s="2" t="s">
        <v>38</v>
      </c>
      <c r="Y1212" s="2" t="s">
        <v>38</v>
      </c>
      <c r="Z1212" s="2" t="s">
        <v>38</v>
      </c>
      <c r="AA1212" s="2" t="s">
        <v>38</v>
      </c>
      <c r="AB1212" s="2" t="s">
        <v>39</v>
      </c>
      <c r="AC1212" s="2" t="s">
        <v>39</v>
      </c>
      <c r="AD1212" s="2" t="s">
        <v>38</v>
      </c>
      <c r="AE1212" s="2" t="s">
        <v>39</v>
      </c>
    </row>
    <row r="1213" spans="1:31" ht="409.5">
      <c r="A1213" s="2">
        <v>2614422</v>
      </c>
      <c r="B1213" s="2">
        <f>HYPERLINK("https://platform.v2.vetology.net/cases/2614422/screening-report/18?type=pdf&amp;v=v6&amp;scorecard=1&amp;secret_key=BX%25IJ%24%2F65ieZ%29f6", 2614422)</f>
        <v>2614422</v>
      </c>
      <c r="C1213" s="2">
        <f>HYPERLINK("https://platform.v2.vetology.net/report/v/final/"&amp;2614422, 2614422)</f>
        <v>2614422</v>
      </c>
      <c r="D1213" s="2" t="s">
        <v>2593</v>
      </c>
      <c r="E1213" s="2" t="s">
        <v>3555</v>
      </c>
      <c r="F1213" s="2" t="s">
        <v>81</v>
      </c>
      <c r="G1213" s="2" t="s">
        <v>150</v>
      </c>
      <c r="H1213" s="2" t="s">
        <v>3556</v>
      </c>
      <c r="I1213" s="2" t="s">
        <v>1245</v>
      </c>
      <c r="J1213" s="2" t="s">
        <v>66</v>
      </c>
      <c r="K1213" s="2" t="s">
        <v>38</v>
      </c>
      <c r="L1213" s="2" t="s">
        <v>39</v>
      </c>
      <c r="M1213" s="2" t="s">
        <v>39</v>
      </c>
      <c r="N1213" s="2" t="s">
        <v>38</v>
      </c>
      <c r="O1213" s="2" t="s">
        <v>39</v>
      </c>
      <c r="P1213" s="2" t="s">
        <v>38</v>
      </c>
      <c r="Q1213" s="2" t="s">
        <v>38</v>
      </c>
      <c r="R1213" s="2" t="s">
        <v>38</v>
      </c>
      <c r="S1213" s="2" t="s">
        <v>39</v>
      </c>
      <c r="T1213" s="2" t="s">
        <v>39</v>
      </c>
      <c r="U1213" s="2" t="s">
        <v>38</v>
      </c>
      <c r="V1213" s="2" t="s">
        <v>39</v>
      </c>
      <c r="W1213" s="2" t="s">
        <v>38</v>
      </c>
      <c r="X1213" s="2" t="s">
        <v>39</v>
      </c>
      <c r="Y1213" s="2" t="s">
        <v>38</v>
      </c>
      <c r="Z1213" s="2" t="s">
        <v>38</v>
      </c>
      <c r="AA1213" s="2" t="s">
        <v>38</v>
      </c>
      <c r="AB1213" s="2" t="s">
        <v>39</v>
      </c>
      <c r="AC1213" s="2" t="s">
        <v>39</v>
      </c>
      <c r="AD1213" s="2" t="s">
        <v>38</v>
      </c>
      <c r="AE1213" s="2" t="s">
        <v>38</v>
      </c>
    </row>
    <row r="1214" spans="1:31" ht="409.5">
      <c r="A1214" s="2">
        <v>2614302</v>
      </c>
      <c r="B1214" s="2">
        <f>HYPERLINK("https://platform.v2.vetology.net/cases/2614302/screening-report/18?type=pdf&amp;v=v6&amp;scorecard=1&amp;secret_key=BX%25IJ%24%2F65ieZ%29f6", 2614302)</f>
        <v>2614302</v>
      </c>
      <c r="C1214" s="2">
        <f>HYPERLINK("https://platform.v2.vetology.net/report/v/final/"&amp;2614302, 2614302)</f>
        <v>2614302</v>
      </c>
      <c r="D1214" s="2" t="s">
        <v>3557</v>
      </c>
      <c r="E1214" s="2" t="s">
        <v>3558</v>
      </c>
      <c r="F1214" s="2" t="s">
        <v>3559</v>
      </c>
      <c r="G1214" s="2" t="s">
        <v>93</v>
      </c>
      <c r="H1214" s="2" t="s">
        <v>54</v>
      </c>
      <c r="I1214" s="2" t="s">
        <v>44</v>
      </c>
      <c r="J1214" s="2" t="s">
        <v>106</v>
      </c>
      <c r="K1214" s="2" t="s">
        <v>38</v>
      </c>
      <c r="L1214" s="2" t="s">
        <v>38</v>
      </c>
      <c r="M1214" s="2" t="s">
        <v>38</v>
      </c>
      <c r="N1214" s="2" t="s">
        <v>38</v>
      </c>
      <c r="O1214" s="2" t="s">
        <v>38</v>
      </c>
      <c r="P1214" s="2" t="s">
        <v>38</v>
      </c>
      <c r="Q1214" s="2" t="s">
        <v>38</v>
      </c>
      <c r="R1214" s="2" t="s">
        <v>38</v>
      </c>
      <c r="S1214" s="2" t="s">
        <v>38</v>
      </c>
      <c r="T1214" s="2" t="s">
        <v>39</v>
      </c>
      <c r="U1214" s="2" t="s">
        <v>38</v>
      </c>
      <c r="V1214" s="2" t="s">
        <v>39</v>
      </c>
      <c r="W1214" s="2" t="s">
        <v>38</v>
      </c>
      <c r="X1214" s="2" t="s">
        <v>39</v>
      </c>
      <c r="Y1214" s="2" t="s">
        <v>38</v>
      </c>
      <c r="Z1214" s="2" t="s">
        <v>38</v>
      </c>
      <c r="AA1214" s="2" t="s">
        <v>38</v>
      </c>
      <c r="AB1214" s="2" t="s">
        <v>38</v>
      </c>
      <c r="AC1214" s="2" t="s">
        <v>38</v>
      </c>
      <c r="AD1214" s="2" t="s">
        <v>38</v>
      </c>
      <c r="AE1214" s="2" t="s">
        <v>38</v>
      </c>
    </row>
    <row r="1215" spans="1:31" ht="409.5">
      <c r="A1215" s="2">
        <v>2614223</v>
      </c>
      <c r="B1215" s="2">
        <f>HYPERLINK("https://platform.v2.vetology.net/cases/2614223/screening-report/18?type=pdf&amp;v=v6&amp;scorecard=1&amp;secret_key=BX%25IJ%24%2F65ieZ%29f6", 2614223)</f>
        <v>2614223</v>
      </c>
      <c r="C1215" s="2">
        <f>HYPERLINK("https://platform.v2.vetology.net/report/v/final/"&amp;2614223, 2614223)</f>
        <v>2614223</v>
      </c>
      <c r="D1215" s="2" t="s">
        <v>3560</v>
      </c>
      <c r="E1215" s="2" t="s">
        <v>3561</v>
      </c>
      <c r="F1215" s="2" t="s">
        <v>3523</v>
      </c>
      <c r="G1215" s="2" t="s">
        <v>141</v>
      </c>
      <c r="H1215" s="2" t="s">
        <v>136</v>
      </c>
      <c r="I1215" s="2" t="s">
        <v>137</v>
      </c>
      <c r="J1215" s="2" t="s">
        <v>66</v>
      </c>
      <c r="K1215" s="2" t="s">
        <v>38</v>
      </c>
      <c r="L1215" s="2" t="s">
        <v>38</v>
      </c>
      <c r="M1215" s="2" t="s">
        <v>39</v>
      </c>
      <c r="N1215" s="2" t="s">
        <v>38</v>
      </c>
      <c r="O1215" s="2" t="s">
        <v>38</v>
      </c>
      <c r="P1215" s="2" t="s">
        <v>38</v>
      </c>
      <c r="Q1215" s="2" t="s">
        <v>38</v>
      </c>
      <c r="R1215" s="2" t="s">
        <v>38</v>
      </c>
      <c r="S1215" s="2" t="s">
        <v>38</v>
      </c>
      <c r="T1215" s="2" t="s">
        <v>38</v>
      </c>
      <c r="U1215" s="2" t="s">
        <v>38</v>
      </c>
      <c r="V1215" s="2" t="s">
        <v>38</v>
      </c>
      <c r="W1215" s="2" t="s">
        <v>38</v>
      </c>
      <c r="X1215" s="2" t="s">
        <v>38</v>
      </c>
      <c r="Y1215" s="2" t="s">
        <v>38</v>
      </c>
      <c r="Z1215" s="2" t="s">
        <v>38</v>
      </c>
      <c r="AA1215" s="2" t="s">
        <v>38</v>
      </c>
      <c r="AB1215" s="2" t="s">
        <v>38</v>
      </c>
      <c r="AC1215" s="2" t="s">
        <v>39</v>
      </c>
      <c r="AD1215" s="2" t="s">
        <v>38</v>
      </c>
      <c r="AE1215" s="2" t="s">
        <v>38</v>
      </c>
    </row>
    <row r="1216" spans="1:31" ht="409.5">
      <c r="A1216" s="2">
        <v>2614087</v>
      </c>
      <c r="B1216" s="2">
        <f>HYPERLINK("https://platform.v2.vetology.net/cases/2614087/screening-report/18?type=pdf&amp;v=v6&amp;scorecard=1&amp;secret_key=BX%25IJ%24%2F65ieZ%29f6", 2614087)</f>
        <v>2614087</v>
      </c>
      <c r="C1216" s="2">
        <f>HYPERLINK("https://platform.v2.vetology.net/report/v/final/"&amp;2614087, 2614087)</f>
        <v>2614087</v>
      </c>
      <c r="D1216" s="2" t="s">
        <v>3562</v>
      </c>
      <c r="E1216" s="2" t="s">
        <v>3563</v>
      </c>
      <c r="F1216" s="2" t="s">
        <v>3564</v>
      </c>
      <c r="G1216" s="2" t="s">
        <v>150</v>
      </c>
      <c r="H1216" s="2" t="s">
        <v>3565</v>
      </c>
      <c r="I1216" s="2" t="s">
        <v>2518</v>
      </c>
      <c r="J1216" s="2" t="s">
        <v>2519</v>
      </c>
      <c r="K1216" s="2" t="s">
        <v>38</v>
      </c>
      <c r="L1216" s="2" t="s">
        <v>39</v>
      </c>
      <c r="M1216" s="2" t="s">
        <v>39</v>
      </c>
      <c r="N1216" s="2" t="s">
        <v>39</v>
      </c>
      <c r="O1216" s="2" t="s">
        <v>38</v>
      </c>
      <c r="P1216" s="2" t="s">
        <v>39</v>
      </c>
      <c r="Q1216" s="2" t="s">
        <v>38</v>
      </c>
      <c r="R1216" s="2" t="s">
        <v>38</v>
      </c>
      <c r="S1216" s="2" t="s">
        <v>38</v>
      </c>
      <c r="T1216" s="2" t="s">
        <v>38</v>
      </c>
      <c r="U1216" s="2" t="s">
        <v>38</v>
      </c>
      <c r="V1216" s="2" t="s">
        <v>38</v>
      </c>
      <c r="W1216" s="2" t="s">
        <v>38</v>
      </c>
      <c r="X1216" s="2" t="s">
        <v>38</v>
      </c>
      <c r="Y1216" s="2" t="s">
        <v>38</v>
      </c>
      <c r="Z1216" s="2" t="s">
        <v>39</v>
      </c>
      <c r="AA1216" s="2" t="s">
        <v>38</v>
      </c>
      <c r="AB1216" s="2" t="s">
        <v>39</v>
      </c>
      <c r="AC1216" s="2" t="s">
        <v>39</v>
      </c>
      <c r="AD1216" s="2" t="s">
        <v>38</v>
      </c>
      <c r="AE1216" s="2" t="s">
        <v>38</v>
      </c>
    </row>
    <row r="1217" spans="1:31" ht="409.5">
      <c r="A1217" s="2">
        <v>2614025</v>
      </c>
      <c r="B1217" s="2">
        <f>HYPERLINK("https://platform.v2.vetology.net/cases/2614025/screening-report/18?type=pdf&amp;v=v6&amp;scorecard=1&amp;secret_key=BX%25IJ%24%2F65ieZ%29f6", 2614025)</f>
        <v>2614025</v>
      </c>
      <c r="C1217" s="2">
        <f>HYPERLINK("https://platform.v2.vetology.net/report/v/final/"&amp;2614025, 2614025)</f>
        <v>2614025</v>
      </c>
      <c r="D1217" s="2" t="s">
        <v>849</v>
      </c>
      <c r="E1217" s="2" t="s">
        <v>850</v>
      </c>
      <c r="F1217" s="2"/>
      <c r="G1217" s="2" t="s">
        <v>150</v>
      </c>
      <c r="H1217" s="2" t="s">
        <v>78</v>
      </c>
      <c r="I1217" s="2" t="s">
        <v>44</v>
      </c>
      <c r="J1217" s="2"/>
      <c r="K1217" s="2" t="s">
        <v>38</v>
      </c>
      <c r="L1217" s="2" t="s">
        <v>39</v>
      </c>
      <c r="M1217" s="2" t="s">
        <v>38</v>
      </c>
      <c r="N1217" s="2" t="s">
        <v>38</v>
      </c>
      <c r="O1217" s="2" t="s">
        <v>38</v>
      </c>
      <c r="P1217" s="2" t="s">
        <v>38</v>
      </c>
      <c r="Q1217" s="2" t="s">
        <v>39</v>
      </c>
      <c r="R1217" s="2" t="s">
        <v>38</v>
      </c>
      <c r="S1217" s="2" t="s">
        <v>39</v>
      </c>
      <c r="T1217" s="2" t="s">
        <v>39</v>
      </c>
      <c r="U1217" s="2" t="s">
        <v>39</v>
      </c>
      <c r="V1217" s="2" t="s">
        <v>38</v>
      </c>
      <c r="W1217" s="2" t="s">
        <v>38</v>
      </c>
      <c r="X1217" s="2" t="s">
        <v>39</v>
      </c>
      <c r="Y1217" s="2" t="s">
        <v>38</v>
      </c>
      <c r="Z1217" s="2" t="s">
        <v>39</v>
      </c>
      <c r="AA1217" s="2" t="s">
        <v>38</v>
      </c>
      <c r="AB1217" s="2" t="s">
        <v>39</v>
      </c>
      <c r="AC1217" s="2" t="s">
        <v>38</v>
      </c>
      <c r="AD1217" s="2" t="s">
        <v>38</v>
      </c>
      <c r="AE1217" s="2" t="s">
        <v>38</v>
      </c>
    </row>
    <row r="1218" spans="1:31" ht="409.5">
      <c r="A1218" s="2">
        <v>2613908</v>
      </c>
      <c r="B1218" s="2">
        <f>HYPERLINK("https://platform.v2.vetology.net/cases/2613908/screening-report/18?type=pdf&amp;v=v6&amp;scorecard=1&amp;secret_key=BX%25IJ%24%2F65ieZ%29f6", 2613908)</f>
        <v>2613908</v>
      </c>
      <c r="C1218" s="2">
        <f>HYPERLINK("https://platform.v2.vetology.net/report/v/final/"&amp;2613908, 2613908)</f>
        <v>2613908</v>
      </c>
      <c r="D1218" s="2" t="s">
        <v>3566</v>
      </c>
      <c r="E1218" s="2" t="s">
        <v>3567</v>
      </c>
      <c r="F1218" s="2" t="s">
        <v>3568</v>
      </c>
      <c r="G1218" s="2" t="s">
        <v>58</v>
      </c>
      <c r="H1218" s="2" t="s">
        <v>3569</v>
      </c>
      <c r="I1218" s="2" t="s">
        <v>173</v>
      </c>
      <c r="J1218" s="2" t="s">
        <v>174</v>
      </c>
      <c r="K1218" s="2" t="s">
        <v>38</v>
      </c>
      <c r="L1218" s="2" t="s">
        <v>38</v>
      </c>
      <c r="M1218" s="2" t="s">
        <v>38</v>
      </c>
      <c r="N1218" s="2" t="s">
        <v>38</v>
      </c>
      <c r="O1218" s="2" t="s">
        <v>38</v>
      </c>
      <c r="P1218" s="2" t="s">
        <v>38</v>
      </c>
      <c r="Q1218" s="2" t="s">
        <v>38</v>
      </c>
      <c r="R1218" s="2" t="s">
        <v>38</v>
      </c>
      <c r="S1218" s="2" t="s">
        <v>38</v>
      </c>
      <c r="T1218" s="2" t="s">
        <v>39</v>
      </c>
      <c r="U1218" s="2" t="s">
        <v>38</v>
      </c>
      <c r="V1218" s="2" t="s">
        <v>38</v>
      </c>
      <c r="W1218" s="2" t="s">
        <v>38</v>
      </c>
      <c r="X1218" s="2" t="s">
        <v>38</v>
      </c>
      <c r="Y1218" s="2" t="s">
        <v>38</v>
      </c>
      <c r="Z1218" s="2" t="s">
        <v>38</v>
      </c>
      <c r="AA1218" s="2" t="s">
        <v>38</v>
      </c>
      <c r="AB1218" s="2" t="s">
        <v>39</v>
      </c>
      <c r="AC1218" s="2" t="s">
        <v>39</v>
      </c>
      <c r="AD1218" s="2" t="s">
        <v>38</v>
      </c>
      <c r="AE1218" s="2" t="s">
        <v>38</v>
      </c>
    </row>
    <row r="1219" spans="1:31" ht="409.5">
      <c r="A1219" s="2">
        <v>2613739</v>
      </c>
      <c r="B1219" s="2">
        <f>HYPERLINK("https://platform.v2.vetology.net/cases/2613739/screening-report/18?type=pdf&amp;v=v6&amp;scorecard=1&amp;secret_key=BX%25IJ%24%2F65ieZ%29f6", 2613739)</f>
        <v>2613739</v>
      </c>
      <c r="C1219" s="2">
        <f>HYPERLINK("https://platform.v2.vetology.net/report/v/final/"&amp;2613739, 2613739)</f>
        <v>2613739</v>
      </c>
      <c r="D1219" s="2" t="s">
        <v>3570</v>
      </c>
      <c r="E1219" s="2" t="s">
        <v>3571</v>
      </c>
      <c r="F1219" s="2" t="s">
        <v>3572</v>
      </c>
      <c r="G1219" s="2" t="s">
        <v>141</v>
      </c>
      <c r="H1219" s="2" t="s">
        <v>43</v>
      </c>
      <c r="I1219" s="2" t="s">
        <v>199</v>
      </c>
      <c r="J1219" s="2"/>
      <c r="K1219" s="2" t="s">
        <v>38</v>
      </c>
      <c r="L1219" s="2" t="s">
        <v>38</v>
      </c>
      <c r="M1219" s="2" t="s">
        <v>38</v>
      </c>
      <c r="N1219" s="2" t="s">
        <v>38</v>
      </c>
      <c r="O1219" s="2" t="s">
        <v>38</v>
      </c>
      <c r="P1219" s="2" t="s">
        <v>38</v>
      </c>
      <c r="Q1219" s="2" t="s">
        <v>38</v>
      </c>
      <c r="R1219" s="2" t="s">
        <v>38</v>
      </c>
      <c r="S1219" s="2" t="s">
        <v>38</v>
      </c>
      <c r="T1219" s="2" t="s">
        <v>38</v>
      </c>
      <c r="U1219" s="2" t="s">
        <v>38</v>
      </c>
      <c r="V1219" s="2" t="s">
        <v>38</v>
      </c>
      <c r="W1219" s="2" t="s">
        <v>38</v>
      </c>
      <c r="X1219" s="2" t="s">
        <v>38</v>
      </c>
      <c r="Y1219" s="2" t="s">
        <v>38</v>
      </c>
      <c r="Z1219" s="2" t="s">
        <v>38</v>
      </c>
      <c r="AA1219" s="2" t="s">
        <v>38</v>
      </c>
      <c r="AB1219" s="2" t="s">
        <v>38</v>
      </c>
      <c r="AC1219" s="2" t="s">
        <v>38</v>
      </c>
      <c r="AD1219" s="2" t="s">
        <v>38</v>
      </c>
      <c r="AE1219" s="2" t="s">
        <v>39</v>
      </c>
    </row>
    <row r="1220" spans="1:31" ht="409.5">
      <c r="A1220" s="2">
        <v>2613656</v>
      </c>
      <c r="B1220" s="2">
        <f>HYPERLINK("https://platform.v2.vetology.net/cases/2613656/screening-report/18?type=pdf&amp;v=v6&amp;scorecard=1&amp;secret_key=BX%25IJ%24%2F65ieZ%29f6", 2613656)</f>
        <v>2613656</v>
      </c>
      <c r="C1220" s="2">
        <f>HYPERLINK("https://platform.v2.vetology.net/report/v/final/"&amp;2613656, 2613656)</f>
        <v>2613656</v>
      </c>
      <c r="D1220" s="2" t="s">
        <v>3573</v>
      </c>
      <c r="E1220" s="2" t="s">
        <v>3574</v>
      </c>
      <c r="F1220" s="2" t="s">
        <v>3575</v>
      </c>
      <c r="G1220" s="2" t="s">
        <v>135</v>
      </c>
      <c r="H1220" s="2" t="s">
        <v>88</v>
      </c>
      <c r="I1220" s="2" t="s">
        <v>89</v>
      </c>
      <c r="J1220" s="2" t="s">
        <v>66</v>
      </c>
      <c r="K1220" s="2" t="s">
        <v>38</v>
      </c>
      <c r="L1220" s="2" t="s">
        <v>38</v>
      </c>
      <c r="M1220" s="2" t="s">
        <v>38</v>
      </c>
      <c r="N1220" s="2" t="s">
        <v>38</v>
      </c>
      <c r="O1220" s="2" t="s">
        <v>38</v>
      </c>
      <c r="P1220" s="2" t="s">
        <v>38</v>
      </c>
      <c r="Q1220" s="2" t="s">
        <v>38</v>
      </c>
      <c r="R1220" s="2" t="s">
        <v>38</v>
      </c>
      <c r="S1220" s="2" t="s">
        <v>38</v>
      </c>
      <c r="T1220" s="2" t="s">
        <v>38</v>
      </c>
      <c r="U1220" s="2" t="s">
        <v>38</v>
      </c>
      <c r="V1220" s="2" t="s">
        <v>38</v>
      </c>
      <c r="W1220" s="2" t="s">
        <v>38</v>
      </c>
      <c r="X1220" s="2" t="s">
        <v>38</v>
      </c>
      <c r="Y1220" s="2" t="s">
        <v>38</v>
      </c>
      <c r="Z1220" s="2" t="s">
        <v>38</v>
      </c>
      <c r="AA1220" s="2" t="s">
        <v>38</v>
      </c>
      <c r="AB1220" s="2" t="s">
        <v>38</v>
      </c>
      <c r="AC1220" s="2" t="s">
        <v>38</v>
      </c>
      <c r="AD1220" s="2" t="s">
        <v>38</v>
      </c>
      <c r="AE1220" s="2" t="s">
        <v>38</v>
      </c>
    </row>
    <row r="1221" spans="1:31" ht="409.5">
      <c r="A1221" s="2">
        <v>2613560</v>
      </c>
      <c r="B1221" s="2">
        <f>HYPERLINK("https://platform.v2.vetology.net/cases/2613560/screening-report/18?type=pdf&amp;v=v6&amp;scorecard=1&amp;secret_key=BX%25IJ%24%2F65ieZ%29f6", 2613560)</f>
        <v>2613560</v>
      </c>
      <c r="C1221" s="2">
        <f>HYPERLINK("https://platform.v2.vetology.net/report/v/final/"&amp;2613560, 2613560)</f>
        <v>2613560</v>
      </c>
      <c r="D1221" s="2" t="s">
        <v>3576</v>
      </c>
      <c r="E1221" s="2" t="s">
        <v>3577</v>
      </c>
      <c r="F1221" s="2" t="s">
        <v>3578</v>
      </c>
      <c r="G1221" s="2" t="s">
        <v>58</v>
      </c>
      <c r="H1221" s="2" t="s">
        <v>360</v>
      </c>
      <c r="I1221" s="2" t="s">
        <v>284</v>
      </c>
      <c r="J1221" s="2" t="s">
        <v>285</v>
      </c>
      <c r="K1221" s="2" t="s">
        <v>38</v>
      </c>
      <c r="L1221" s="2" t="s">
        <v>38</v>
      </c>
      <c r="M1221" s="2" t="s">
        <v>38</v>
      </c>
      <c r="N1221" s="2" t="s">
        <v>38</v>
      </c>
      <c r="O1221" s="2" t="s">
        <v>38</v>
      </c>
      <c r="P1221" s="2" t="s">
        <v>38</v>
      </c>
      <c r="Q1221" s="2" t="s">
        <v>38</v>
      </c>
      <c r="R1221" s="2" t="s">
        <v>38</v>
      </c>
      <c r="S1221" s="2" t="s">
        <v>38</v>
      </c>
      <c r="T1221" s="2" t="s">
        <v>39</v>
      </c>
      <c r="U1221" s="2" t="s">
        <v>38</v>
      </c>
      <c r="V1221" s="2" t="s">
        <v>38</v>
      </c>
      <c r="W1221" s="2" t="s">
        <v>38</v>
      </c>
      <c r="X1221" s="2" t="s">
        <v>38</v>
      </c>
      <c r="Y1221" s="2" t="s">
        <v>38</v>
      </c>
      <c r="Z1221" s="2" t="s">
        <v>38</v>
      </c>
      <c r="AA1221" s="2" t="s">
        <v>38</v>
      </c>
      <c r="AB1221" s="2" t="s">
        <v>38</v>
      </c>
      <c r="AC1221" s="2" t="s">
        <v>38</v>
      </c>
      <c r="AD1221" s="2" t="s">
        <v>38</v>
      </c>
      <c r="AE1221" s="2" t="s">
        <v>38</v>
      </c>
    </row>
    <row r="1222" spans="1:31" ht="409.5">
      <c r="A1222" s="2">
        <v>2613486</v>
      </c>
      <c r="B1222" s="2">
        <f>HYPERLINK("https://platform.v2.vetology.net/cases/2613486/screening-report/18?type=pdf&amp;v=v6&amp;scorecard=1&amp;secret_key=BX%25IJ%24%2F65ieZ%29f6", 2613486)</f>
        <v>2613486</v>
      </c>
      <c r="C1222" s="2">
        <f>HYPERLINK("https://platform.v2.vetology.net/report/v/final/"&amp;2613486, 2613486)</f>
        <v>2613486</v>
      </c>
      <c r="D1222" s="2" t="s">
        <v>3579</v>
      </c>
      <c r="E1222" s="2" t="s">
        <v>3580</v>
      </c>
      <c r="F1222" s="2" t="s">
        <v>1075</v>
      </c>
      <c r="G1222" s="2" t="s">
        <v>70</v>
      </c>
      <c r="H1222" s="2" t="s">
        <v>3581</v>
      </c>
      <c r="I1222" s="2" t="s">
        <v>137</v>
      </c>
      <c r="J1222" s="2" t="s">
        <v>66</v>
      </c>
      <c r="K1222" s="2" t="s">
        <v>38</v>
      </c>
      <c r="L1222" s="2" t="s">
        <v>38</v>
      </c>
      <c r="M1222" s="2" t="s">
        <v>38</v>
      </c>
      <c r="N1222" s="2" t="s">
        <v>38</v>
      </c>
      <c r="O1222" s="2" t="s">
        <v>38</v>
      </c>
      <c r="P1222" s="2" t="s">
        <v>38</v>
      </c>
      <c r="Q1222" s="2" t="s">
        <v>38</v>
      </c>
      <c r="R1222" s="2" t="s">
        <v>38</v>
      </c>
      <c r="S1222" s="2" t="s">
        <v>38</v>
      </c>
      <c r="T1222" s="2" t="s">
        <v>39</v>
      </c>
      <c r="U1222" s="2" t="s">
        <v>38</v>
      </c>
      <c r="V1222" s="2" t="s">
        <v>39</v>
      </c>
      <c r="W1222" s="2" t="s">
        <v>38</v>
      </c>
      <c r="X1222" s="2" t="s">
        <v>38</v>
      </c>
      <c r="Y1222" s="2" t="s">
        <v>38</v>
      </c>
      <c r="Z1222" s="2" t="s">
        <v>38</v>
      </c>
      <c r="AA1222" s="2" t="s">
        <v>38</v>
      </c>
      <c r="AB1222" s="2" t="s">
        <v>38</v>
      </c>
      <c r="AC1222" s="2" t="s">
        <v>38</v>
      </c>
      <c r="AD1222" s="2" t="s">
        <v>38</v>
      </c>
      <c r="AE1222" s="2" t="s">
        <v>39</v>
      </c>
    </row>
    <row r="1223" spans="1:31" ht="409.5">
      <c r="A1223" s="2">
        <v>2613208</v>
      </c>
      <c r="B1223" s="2">
        <f>HYPERLINK("https://platform.v2.vetology.net/cases/2613208/screening-report/18?type=pdf&amp;v=v6&amp;scorecard=1&amp;secret_key=BX%25IJ%24%2F65ieZ%29f6", 2613208)</f>
        <v>2613208</v>
      </c>
      <c r="C1223" s="2">
        <f>HYPERLINK("https://platform.v2.vetology.net/report/v/final/"&amp;2613208, 2613208)</f>
        <v>2613208</v>
      </c>
      <c r="D1223" s="2" t="s">
        <v>3582</v>
      </c>
      <c r="E1223" s="2" t="s">
        <v>3583</v>
      </c>
      <c r="F1223" s="2" t="s">
        <v>3584</v>
      </c>
      <c r="G1223" s="2" t="s">
        <v>63</v>
      </c>
      <c r="H1223" s="2" t="s">
        <v>54</v>
      </c>
      <c r="I1223" s="2" t="s">
        <v>44</v>
      </c>
      <c r="J1223" s="2"/>
      <c r="K1223" s="2" t="s">
        <v>38</v>
      </c>
      <c r="L1223" s="2" t="s">
        <v>39</v>
      </c>
      <c r="M1223" s="2" t="s">
        <v>38</v>
      </c>
      <c r="N1223" s="2" t="s">
        <v>38</v>
      </c>
      <c r="O1223" s="2" t="s">
        <v>38</v>
      </c>
      <c r="P1223" s="2" t="s">
        <v>39</v>
      </c>
      <c r="Q1223" s="2" t="s">
        <v>38</v>
      </c>
      <c r="R1223" s="2" t="s">
        <v>38</v>
      </c>
      <c r="S1223" s="2" t="s">
        <v>38</v>
      </c>
      <c r="T1223" s="2" t="s">
        <v>39</v>
      </c>
      <c r="U1223" s="2" t="s">
        <v>38</v>
      </c>
      <c r="V1223" s="2" t="s">
        <v>38</v>
      </c>
      <c r="W1223" s="2" t="s">
        <v>38</v>
      </c>
      <c r="X1223" s="2" t="s">
        <v>39</v>
      </c>
      <c r="Y1223" s="2" t="s">
        <v>38</v>
      </c>
      <c r="Z1223" s="2" t="s">
        <v>38</v>
      </c>
      <c r="AA1223" s="2" t="s">
        <v>38</v>
      </c>
      <c r="AB1223" s="2" t="s">
        <v>38</v>
      </c>
      <c r="AC1223" s="2" t="s">
        <v>38</v>
      </c>
      <c r="AD1223" s="2" t="s">
        <v>38</v>
      </c>
      <c r="AE1223" s="2" t="s">
        <v>38</v>
      </c>
    </row>
    <row r="1224" spans="1:31" ht="409.5">
      <c r="A1224" s="2">
        <v>2613041</v>
      </c>
      <c r="B1224" s="2">
        <f>HYPERLINK("https://platform.v2.vetology.net/cases/2613041/screening-report/18?type=pdf&amp;v=v6&amp;scorecard=1&amp;secret_key=BX%25IJ%24%2F65ieZ%29f6", 2613041)</f>
        <v>2613041</v>
      </c>
      <c r="C1224" s="2">
        <f>HYPERLINK("https://platform.v2.vetology.net/report/v/final/"&amp;2613041, 2613041)</f>
        <v>2613041</v>
      </c>
      <c r="D1224" s="2" t="s">
        <v>3585</v>
      </c>
      <c r="E1224" s="2" t="s">
        <v>850</v>
      </c>
      <c r="F1224" s="2" t="s">
        <v>3586</v>
      </c>
      <c r="G1224" s="2" t="s">
        <v>150</v>
      </c>
      <c r="H1224" s="2" t="s">
        <v>166</v>
      </c>
      <c r="I1224" s="2" t="s">
        <v>167</v>
      </c>
      <c r="J1224" s="2" t="s">
        <v>168</v>
      </c>
      <c r="K1224" s="2" t="s">
        <v>38</v>
      </c>
      <c r="L1224" s="2" t="s">
        <v>39</v>
      </c>
      <c r="M1224" s="2" t="s">
        <v>38</v>
      </c>
      <c r="N1224" s="2" t="s">
        <v>38</v>
      </c>
      <c r="O1224" s="2" t="s">
        <v>38</v>
      </c>
      <c r="P1224" s="2" t="s">
        <v>38</v>
      </c>
      <c r="Q1224" s="2" t="s">
        <v>38</v>
      </c>
      <c r="R1224" s="2" t="s">
        <v>38</v>
      </c>
      <c r="S1224" s="2" t="s">
        <v>39</v>
      </c>
      <c r="T1224" s="2" t="s">
        <v>39</v>
      </c>
      <c r="U1224" s="2" t="s">
        <v>38</v>
      </c>
      <c r="V1224" s="2" t="s">
        <v>39</v>
      </c>
      <c r="W1224" s="2" t="s">
        <v>38</v>
      </c>
      <c r="X1224" s="2" t="s">
        <v>39</v>
      </c>
      <c r="Y1224" s="2" t="s">
        <v>38</v>
      </c>
      <c r="Z1224" s="2" t="s">
        <v>39</v>
      </c>
      <c r="AA1224" s="2" t="s">
        <v>38</v>
      </c>
      <c r="AB1224" s="2" t="s">
        <v>39</v>
      </c>
      <c r="AC1224" s="2" t="s">
        <v>39</v>
      </c>
      <c r="AD1224" s="2" t="s">
        <v>38</v>
      </c>
      <c r="AE1224" s="2" t="s">
        <v>38</v>
      </c>
    </row>
    <row r="1225" spans="1:31" ht="409.5">
      <c r="A1225" s="2">
        <v>2612936</v>
      </c>
      <c r="B1225" s="2">
        <f>HYPERLINK("https://platform.v2.vetology.net/cases/2612936/screening-report/18?type=pdf&amp;v=v6&amp;scorecard=1&amp;secret_key=BX%25IJ%24%2F65ieZ%29f6", 2612936)</f>
        <v>2612936</v>
      </c>
      <c r="C1225" s="2">
        <f>HYPERLINK("https://platform.v2.vetology.net/report/v/final/"&amp;2612936, 2612936)</f>
        <v>2612936</v>
      </c>
      <c r="D1225" s="2" t="s">
        <v>3587</v>
      </c>
      <c r="E1225" s="2" t="s">
        <v>3588</v>
      </c>
      <c r="F1225" s="2" t="s">
        <v>3589</v>
      </c>
      <c r="G1225" s="2" t="s">
        <v>63</v>
      </c>
      <c r="H1225" s="2" t="s">
        <v>360</v>
      </c>
      <c r="I1225" s="2" t="s">
        <v>284</v>
      </c>
      <c r="J1225" s="2" t="s">
        <v>285</v>
      </c>
      <c r="K1225" s="2" t="s">
        <v>38</v>
      </c>
      <c r="L1225" s="2" t="s">
        <v>39</v>
      </c>
      <c r="M1225" s="2" t="s">
        <v>38</v>
      </c>
      <c r="N1225" s="2" t="s">
        <v>38</v>
      </c>
      <c r="O1225" s="2" t="s">
        <v>38</v>
      </c>
      <c r="P1225" s="2" t="s">
        <v>38</v>
      </c>
      <c r="Q1225" s="2" t="s">
        <v>38</v>
      </c>
      <c r="R1225" s="2" t="s">
        <v>38</v>
      </c>
      <c r="S1225" s="2" t="s">
        <v>38</v>
      </c>
      <c r="T1225" s="2" t="s">
        <v>39</v>
      </c>
      <c r="U1225" s="2" t="s">
        <v>38</v>
      </c>
      <c r="V1225" s="2" t="s">
        <v>39</v>
      </c>
      <c r="W1225" s="2" t="s">
        <v>38</v>
      </c>
      <c r="X1225" s="2" t="s">
        <v>39</v>
      </c>
      <c r="Y1225" s="2" t="s">
        <v>38</v>
      </c>
      <c r="Z1225" s="2" t="s">
        <v>38</v>
      </c>
      <c r="AA1225" s="2" t="s">
        <v>38</v>
      </c>
      <c r="AB1225" s="2" t="s">
        <v>39</v>
      </c>
      <c r="AC1225" s="2" t="s">
        <v>38</v>
      </c>
      <c r="AD1225" s="2" t="s">
        <v>38</v>
      </c>
      <c r="AE1225" s="2" t="s">
        <v>38</v>
      </c>
    </row>
    <row r="1226" spans="1:31" ht="409.5">
      <c r="A1226" s="2">
        <v>2612759</v>
      </c>
      <c r="B1226" s="2">
        <f>HYPERLINK("https://platform.v2.vetology.net/cases/2612759/screening-report/18?type=pdf&amp;v=v6&amp;scorecard=1&amp;secret_key=BX%25IJ%24%2F65ieZ%29f6", 2612759)</f>
        <v>2612759</v>
      </c>
      <c r="C1226" s="2">
        <f>HYPERLINK("https://platform.v2.vetology.net/report/v/final/"&amp;2612759, 2612759)</f>
        <v>2612759</v>
      </c>
      <c r="D1226" s="2" t="s">
        <v>3590</v>
      </c>
      <c r="E1226" s="2" t="s">
        <v>3591</v>
      </c>
      <c r="F1226" s="2" t="s">
        <v>3592</v>
      </c>
      <c r="G1226" s="2" t="s">
        <v>58</v>
      </c>
      <c r="H1226" s="2" t="s">
        <v>88</v>
      </c>
      <c r="I1226" s="2" t="s">
        <v>89</v>
      </c>
      <c r="J1226" s="2" t="s">
        <v>66</v>
      </c>
      <c r="K1226" s="2" t="s">
        <v>38</v>
      </c>
      <c r="L1226" s="2" t="s">
        <v>39</v>
      </c>
      <c r="M1226" s="2" t="s">
        <v>39</v>
      </c>
      <c r="N1226" s="2" t="s">
        <v>38</v>
      </c>
      <c r="O1226" s="2" t="s">
        <v>38</v>
      </c>
      <c r="P1226" s="2" t="s">
        <v>39</v>
      </c>
      <c r="Q1226" s="2" t="s">
        <v>39</v>
      </c>
      <c r="R1226" s="2" t="s">
        <v>38</v>
      </c>
      <c r="S1226" s="2" t="s">
        <v>38</v>
      </c>
      <c r="T1226" s="2" t="s">
        <v>39</v>
      </c>
      <c r="U1226" s="2" t="s">
        <v>38</v>
      </c>
      <c r="V1226" s="2" t="s">
        <v>38</v>
      </c>
      <c r="W1226" s="2" t="s">
        <v>38</v>
      </c>
      <c r="X1226" s="2" t="s">
        <v>39</v>
      </c>
      <c r="Y1226" s="2" t="s">
        <v>38</v>
      </c>
      <c r="Z1226" s="2" t="s">
        <v>39</v>
      </c>
      <c r="AA1226" s="2" t="s">
        <v>38</v>
      </c>
      <c r="AB1226" s="2" t="s">
        <v>39</v>
      </c>
      <c r="AC1226" s="2" t="s">
        <v>38</v>
      </c>
      <c r="AD1226" s="2" t="s">
        <v>38</v>
      </c>
      <c r="AE1226" s="2" t="s">
        <v>39</v>
      </c>
    </row>
    <row r="1227" spans="1:31" ht="409.5">
      <c r="A1227" s="2">
        <v>2612748</v>
      </c>
      <c r="B1227" s="2">
        <f>HYPERLINK("https://platform.v2.vetology.net/cases/2612748/screening-report/18?type=pdf&amp;v=v6&amp;scorecard=1&amp;secret_key=BX%25IJ%24%2F65ieZ%29f6", 2612748)</f>
        <v>2612748</v>
      </c>
      <c r="C1227" s="2">
        <f>HYPERLINK("https://platform.v2.vetology.net/report/v/final/"&amp;2612748, 2612748)</f>
        <v>2612748</v>
      </c>
      <c r="D1227" s="2" t="s">
        <v>3593</v>
      </c>
      <c r="E1227" s="2" t="s">
        <v>3594</v>
      </c>
      <c r="F1227" s="2" t="s">
        <v>515</v>
      </c>
      <c r="G1227" s="2" t="s">
        <v>268</v>
      </c>
      <c r="H1227" s="2" t="s">
        <v>607</v>
      </c>
      <c r="I1227" s="2" t="s">
        <v>137</v>
      </c>
      <c r="J1227" s="2" t="s">
        <v>66</v>
      </c>
      <c r="K1227" s="2" t="s">
        <v>38</v>
      </c>
      <c r="L1227" s="2" t="s">
        <v>38</v>
      </c>
      <c r="M1227" s="2" t="s">
        <v>38</v>
      </c>
      <c r="N1227" s="2" t="s">
        <v>38</v>
      </c>
      <c r="O1227" s="2" t="s">
        <v>38</v>
      </c>
      <c r="P1227" s="2" t="s">
        <v>39</v>
      </c>
      <c r="Q1227" s="2" t="s">
        <v>38</v>
      </c>
      <c r="R1227" s="2" t="s">
        <v>38</v>
      </c>
      <c r="S1227" s="2" t="s">
        <v>38</v>
      </c>
      <c r="T1227" s="2" t="s">
        <v>38</v>
      </c>
      <c r="U1227" s="2" t="s">
        <v>38</v>
      </c>
      <c r="V1227" s="2" t="s">
        <v>38</v>
      </c>
      <c r="W1227" s="2" t="s">
        <v>38</v>
      </c>
      <c r="X1227" s="2" t="s">
        <v>38</v>
      </c>
      <c r="Y1227" s="2" t="s">
        <v>38</v>
      </c>
      <c r="Z1227" s="2" t="s">
        <v>38</v>
      </c>
      <c r="AA1227" s="2" t="s">
        <v>38</v>
      </c>
      <c r="AB1227" s="2" t="s">
        <v>39</v>
      </c>
      <c r="AC1227" s="2" t="s">
        <v>38</v>
      </c>
      <c r="AD1227" s="2" t="s">
        <v>38</v>
      </c>
      <c r="AE1227" s="2" t="s">
        <v>39</v>
      </c>
    </row>
    <row r="1228" spans="1:31" ht="409.5">
      <c r="A1228" s="2">
        <v>2612626</v>
      </c>
      <c r="B1228" s="2">
        <f>HYPERLINK("https://platform.v2.vetology.net/cases/2612626/screening-report/18?type=pdf&amp;v=v6&amp;scorecard=1&amp;secret_key=BX%25IJ%24%2F65ieZ%29f6", 2612626)</f>
        <v>2612626</v>
      </c>
      <c r="C1228" s="2">
        <f>HYPERLINK("https://platform.v2.vetology.net/report/v/final/"&amp;2612626, 2612626)</f>
        <v>2612626</v>
      </c>
      <c r="D1228" s="2" t="s">
        <v>3595</v>
      </c>
      <c r="E1228" s="2" t="s">
        <v>3596</v>
      </c>
      <c r="F1228" s="2" t="s">
        <v>1444</v>
      </c>
      <c r="G1228" s="2" t="s">
        <v>464</v>
      </c>
      <c r="H1228" s="2" t="s">
        <v>951</v>
      </c>
      <c r="I1228" s="2" t="s">
        <v>214</v>
      </c>
      <c r="J1228" s="2" t="s">
        <v>50</v>
      </c>
      <c r="K1228" s="2" t="s">
        <v>38</v>
      </c>
      <c r="L1228" s="2" t="s">
        <v>39</v>
      </c>
      <c r="M1228" s="2" t="s">
        <v>39</v>
      </c>
      <c r="N1228" s="2" t="s">
        <v>38</v>
      </c>
      <c r="O1228" s="2" t="s">
        <v>39</v>
      </c>
      <c r="P1228" s="2" t="s">
        <v>39</v>
      </c>
      <c r="Q1228" s="2" t="s">
        <v>39</v>
      </c>
      <c r="R1228" s="2" t="s">
        <v>38</v>
      </c>
      <c r="S1228" s="2" t="s">
        <v>38</v>
      </c>
      <c r="T1228" s="2" t="s">
        <v>39</v>
      </c>
      <c r="U1228" s="2" t="s">
        <v>38</v>
      </c>
      <c r="V1228" s="2" t="s">
        <v>39</v>
      </c>
      <c r="W1228" s="2" t="s">
        <v>38</v>
      </c>
      <c r="X1228" s="2" t="s">
        <v>39</v>
      </c>
      <c r="Y1228" s="2" t="s">
        <v>38</v>
      </c>
      <c r="Z1228" s="2" t="s">
        <v>39</v>
      </c>
      <c r="AA1228" s="2" t="s">
        <v>38</v>
      </c>
      <c r="AB1228" s="2" t="s">
        <v>39</v>
      </c>
      <c r="AC1228" s="2" t="s">
        <v>39</v>
      </c>
      <c r="AD1228" s="2" t="s">
        <v>38</v>
      </c>
      <c r="AE1228" s="2" t="s">
        <v>38</v>
      </c>
    </row>
    <row r="1229" spans="1:31" ht="409.5">
      <c r="A1229" s="2">
        <v>2612612</v>
      </c>
      <c r="B1229" s="2">
        <f>HYPERLINK("https://platform.v2.vetology.net/cases/2612612/screening-report/18?type=pdf&amp;v=v6&amp;scorecard=1&amp;secret_key=BX%25IJ%24%2F65ieZ%29f6", 2612612)</f>
        <v>2612612</v>
      </c>
      <c r="C1229" s="2">
        <f>HYPERLINK("https://platform.v2.vetology.net/report/v/final/"&amp;2612612, 2612612)</f>
        <v>2612612</v>
      </c>
      <c r="D1229" s="2" t="s">
        <v>3597</v>
      </c>
      <c r="E1229" s="2" t="s">
        <v>1093</v>
      </c>
      <c r="F1229" s="2" t="s">
        <v>3598</v>
      </c>
      <c r="G1229" s="2" t="s">
        <v>135</v>
      </c>
      <c r="H1229" s="2" t="s">
        <v>129</v>
      </c>
      <c r="I1229" s="2" t="s">
        <v>44</v>
      </c>
      <c r="J1229" s="2"/>
      <c r="K1229" s="2" t="s">
        <v>38</v>
      </c>
      <c r="L1229" s="2" t="s">
        <v>38</v>
      </c>
      <c r="M1229" s="2" t="s">
        <v>38</v>
      </c>
      <c r="N1229" s="2" t="s">
        <v>38</v>
      </c>
      <c r="O1229" s="2" t="s">
        <v>38</v>
      </c>
      <c r="P1229" s="2" t="s">
        <v>38</v>
      </c>
      <c r="Q1229" s="2" t="s">
        <v>38</v>
      </c>
      <c r="R1229" s="2" t="s">
        <v>38</v>
      </c>
      <c r="S1229" s="2" t="s">
        <v>38</v>
      </c>
      <c r="T1229" s="2" t="s">
        <v>38</v>
      </c>
      <c r="U1229" s="2" t="s">
        <v>38</v>
      </c>
      <c r="V1229" s="2" t="s">
        <v>38</v>
      </c>
      <c r="W1229" s="2" t="s">
        <v>38</v>
      </c>
      <c r="X1229" s="2" t="s">
        <v>38</v>
      </c>
      <c r="Y1229" s="2" t="s">
        <v>38</v>
      </c>
      <c r="Z1229" s="2" t="s">
        <v>38</v>
      </c>
      <c r="AA1229" s="2" t="s">
        <v>38</v>
      </c>
      <c r="AB1229" s="2" t="s">
        <v>39</v>
      </c>
      <c r="AC1229" s="2" t="s">
        <v>38</v>
      </c>
      <c r="AD1229" s="2" t="s">
        <v>38</v>
      </c>
      <c r="AE1229" s="2" t="s">
        <v>38</v>
      </c>
    </row>
    <row r="1230" spans="1:31" ht="409.5">
      <c r="A1230" s="2">
        <v>2612380</v>
      </c>
      <c r="B1230" s="2">
        <f>HYPERLINK("https://platform.v2.vetology.net/cases/2612380/screening-report/18?type=pdf&amp;v=v6&amp;scorecard=1&amp;secret_key=BX%25IJ%24%2F65ieZ%29f6", 2612380)</f>
        <v>2612380</v>
      </c>
      <c r="C1230" s="2">
        <f>HYPERLINK("https://platform.v2.vetology.net/report/v/final/"&amp;2612380, 2612380)</f>
        <v>2612380</v>
      </c>
      <c r="D1230" s="2" t="s">
        <v>758</v>
      </c>
      <c r="E1230" s="2" t="s">
        <v>387</v>
      </c>
      <c r="F1230" s="2" t="s">
        <v>149</v>
      </c>
      <c r="G1230" s="2" t="s">
        <v>150</v>
      </c>
      <c r="H1230" s="2" t="s">
        <v>54</v>
      </c>
      <c r="I1230" s="2" t="s">
        <v>44</v>
      </c>
      <c r="J1230" s="2" t="s">
        <v>106</v>
      </c>
      <c r="K1230" s="2" t="s">
        <v>38</v>
      </c>
      <c r="L1230" s="2" t="s">
        <v>38</v>
      </c>
      <c r="M1230" s="2" t="s">
        <v>39</v>
      </c>
      <c r="N1230" s="2" t="s">
        <v>38</v>
      </c>
      <c r="O1230" s="2" t="s">
        <v>38</v>
      </c>
      <c r="P1230" s="2" t="s">
        <v>39</v>
      </c>
      <c r="Q1230" s="2" t="s">
        <v>38</v>
      </c>
      <c r="R1230" s="2" t="s">
        <v>38</v>
      </c>
      <c r="S1230" s="2" t="s">
        <v>38</v>
      </c>
      <c r="T1230" s="2" t="s">
        <v>38</v>
      </c>
      <c r="U1230" s="2" t="s">
        <v>38</v>
      </c>
      <c r="V1230" s="2" t="s">
        <v>38</v>
      </c>
      <c r="W1230" s="2" t="s">
        <v>38</v>
      </c>
      <c r="X1230" s="2" t="s">
        <v>38</v>
      </c>
      <c r="Y1230" s="2" t="s">
        <v>38</v>
      </c>
      <c r="Z1230" s="2" t="s">
        <v>38</v>
      </c>
      <c r="AA1230" s="2" t="s">
        <v>38</v>
      </c>
      <c r="AB1230" s="2" t="s">
        <v>38</v>
      </c>
      <c r="AC1230" s="2" t="s">
        <v>39</v>
      </c>
      <c r="AD1230" s="2" t="s">
        <v>38</v>
      </c>
      <c r="AE1230" s="2" t="s">
        <v>38</v>
      </c>
    </row>
    <row r="1231" spans="1:31" ht="409.5">
      <c r="A1231" s="2">
        <v>2612235</v>
      </c>
      <c r="B1231" s="2">
        <f>HYPERLINK("https://platform.v2.vetology.net/cases/2612235/screening-report/18?type=pdf&amp;v=v6&amp;scorecard=1&amp;secret_key=BX%25IJ%24%2F65ieZ%29f6", 2612235)</f>
        <v>2612235</v>
      </c>
      <c r="C1231" s="2">
        <f>HYPERLINK("https://platform.v2.vetology.net/report/v/final/"&amp;2612235, 2612235)</f>
        <v>2612235</v>
      </c>
      <c r="D1231" s="2" t="s">
        <v>3599</v>
      </c>
      <c r="E1231" s="2" t="s">
        <v>3600</v>
      </c>
      <c r="F1231" s="2" t="s">
        <v>3601</v>
      </c>
      <c r="G1231" s="2" t="s">
        <v>464</v>
      </c>
      <c r="H1231" s="2" t="s">
        <v>3602</v>
      </c>
      <c r="I1231" s="2" t="s">
        <v>290</v>
      </c>
      <c r="J1231" s="2" t="s">
        <v>66</v>
      </c>
      <c r="K1231" s="2" t="s">
        <v>38</v>
      </c>
      <c r="L1231" s="2" t="s">
        <v>39</v>
      </c>
      <c r="M1231" s="2" t="s">
        <v>39</v>
      </c>
      <c r="N1231" s="2" t="s">
        <v>38</v>
      </c>
      <c r="O1231" s="2" t="s">
        <v>39</v>
      </c>
      <c r="P1231" s="2" t="s">
        <v>39</v>
      </c>
      <c r="Q1231" s="2" t="s">
        <v>39</v>
      </c>
      <c r="R1231" s="2" t="s">
        <v>38</v>
      </c>
      <c r="S1231" s="2" t="s">
        <v>39</v>
      </c>
      <c r="T1231" s="2" t="s">
        <v>38</v>
      </c>
      <c r="U1231" s="2" t="s">
        <v>38</v>
      </c>
      <c r="V1231" s="2" t="s">
        <v>38</v>
      </c>
      <c r="W1231" s="2" t="s">
        <v>38</v>
      </c>
      <c r="X1231" s="2" t="s">
        <v>38</v>
      </c>
      <c r="Y1231" s="2" t="s">
        <v>38</v>
      </c>
      <c r="Z1231" s="2" t="s">
        <v>39</v>
      </c>
      <c r="AA1231" s="2" t="s">
        <v>38</v>
      </c>
      <c r="AB1231" s="2" t="s">
        <v>39</v>
      </c>
      <c r="AC1231" s="2" t="s">
        <v>39</v>
      </c>
      <c r="AD1231" s="2" t="s">
        <v>38</v>
      </c>
      <c r="AE1231" s="2" t="s">
        <v>38</v>
      </c>
    </row>
    <row r="1232" spans="1:31" ht="409.5">
      <c r="A1232" s="2">
        <v>2612062</v>
      </c>
      <c r="B1232" s="2">
        <f>HYPERLINK("https://platform.v2.vetology.net/cases/2612062/screening-report/18?type=pdf&amp;v=v6&amp;scorecard=1&amp;secret_key=BX%25IJ%24%2F65ieZ%29f6", 2612062)</f>
        <v>2612062</v>
      </c>
      <c r="C1232" s="2">
        <f>HYPERLINK("https://platform.v2.vetology.net/report/v/final/"&amp;2612062, 2612062)</f>
        <v>2612062</v>
      </c>
      <c r="D1232" s="2" t="s">
        <v>3603</v>
      </c>
      <c r="E1232" s="2" t="s">
        <v>3604</v>
      </c>
      <c r="F1232" s="2" t="s">
        <v>81</v>
      </c>
      <c r="G1232" s="2" t="s">
        <v>150</v>
      </c>
      <c r="H1232" s="2" t="s">
        <v>129</v>
      </c>
      <c r="I1232" s="2" t="s">
        <v>44</v>
      </c>
      <c r="J1232" s="2"/>
      <c r="K1232" s="2" t="s">
        <v>38</v>
      </c>
      <c r="L1232" s="2" t="s">
        <v>39</v>
      </c>
      <c r="M1232" s="2" t="s">
        <v>38</v>
      </c>
      <c r="N1232" s="2" t="s">
        <v>38</v>
      </c>
      <c r="O1232" s="2" t="s">
        <v>38</v>
      </c>
      <c r="P1232" s="2" t="s">
        <v>38</v>
      </c>
      <c r="Q1232" s="2" t="s">
        <v>38</v>
      </c>
      <c r="R1232" s="2" t="s">
        <v>38</v>
      </c>
      <c r="S1232" s="2" t="s">
        <v>38</v>
      </c>
      <c r="T1232" s="2" t="s">
        <v>39</v>
      </c>
      <c r="U1232" s="2" t="s">
        <v>38</v>
      </c>
      <c r="V1232" s="2" t="s">
        <v>38</v>
      </c>
      <c r="W1232" s="2" t="s">
        <v>38</v>
      </c>
      <c r="X1232" s="2" t="s">
        <v>39</v>
      </c>
      <c r="Y1232" s="2" t="s">
        <v>38</v>
      </c>
      <c r="Z1232" s="2" t="s">
        <v>38</v>
      </c>
      <c r="AA1232" s="2" t="s">
        <v>38</v>
      </c>
      <c r="AB1232" s="2" t="s">
        <v>38</v>
      </c>
      <c r="AC1232" s="2" t="s">
        <v>38</v>
      </c>
      <c r="AD1232" s="2" t="s">
        <v>38</v>
      </c>
      <c r="AE1232" s="2" t="s">
        <v>38</v>
      </c>
    </row>
    <row r="1233" spans="1:31" ht="409.5">
      <c r="A1233" s="2">
        <v>2611728</v>
      </c>
      <c r="B1233" s="2">
        <f>HYPERLINK("https://platform.v2.vetology.net/cases/2611728/screening-report/18?type=pdf&amp;v=v6&amp;scorecard=1&amp;secret_key=BX%25IJ%24%2F65ieZ%29f6", 2611728)</f>
        <v>2611728</v>
      </c>
      <c r="C1233" s="2">
        <f>HYPERLINK("https://platform.v2.vetology.net/report/v/final/"&amp;2611728, 2611728)</f>
        <v>2611728</v>
      </c>
      <c r="D1233" s="2" t="s">
        <v>3605</v>
      </c>
      <c r="E1233" s="2" t="s">
        <v>3606</v>
      </c>
      <c r="F1233" s="2" t="s">
        <v>81</v>
      </c>
      <c r="G1233" s="2" t="s">
        <v>82</v>
      </c>
      <c r="H1233" s="2" t="s">
        <v>3607</v>
      </c>
      <c r="I1233" s="2" t="s">
        <v>119</v>
      </c>
      <c r="J1233" s="2" t="s">
        <v>112</v>
      </c>
      <c r="K1233" s="2" t="s">
        <v>39</v>
      </c>
      <c r="L1233" s="2" t="s">
        <v>39</v>
      </c>
      <c r="M1233" s="2" t="s">
        <v>39</v>
      </c>
      <c r="N1233" s="2" t="s">
        <v>39</v>
      </c>
      <c r="O1233" s="2" t="s">
        <v>39</v>
      </c>
      <c r="P1233" s="2" t="s">
        <v>39</v>
      </c>
      <c r="Q1233" s="2" t="s">
        <v>38</v>
      </c>
      <c r="R1233" s="2" t="s">
        <v>39</v>
      </c>
      <c r="S1233" s="2" t="s">
        <v>39</v>
      </c>
      <c r="T1233" s="2" t="s">
        <v>39</v>
      </c>
      <c r="U1233" s="2" t="s">
        <v>39</v>
      </c>
      <c r="V1233" s="2" t="s">
        <v>39</v>
      </c>
      <c r="W1233" s="2" t="s">
        <v>39</v>
      </c>
      <c r="X1233" s="2" t="s">
        <v>39</v>
      </c>
      <c r="Y1233" s="2" t="s">
        <v>39</v>
      </c>
      <c r="Z1233" s="2" t="s">
        <v>39</v>
      </c>
      <c r="AA1233" s="2" t="s">
        <v>39</v>
      </c>
      <c r="AB1233" s="2" t="s">
        <v>39</v>
      </c>
      <c r="AC1233" s="2" t="s">
        <v>39</v>
      </c>
      <c r="AD1233" s="2" t="s">
        <v>39</v>
      </c>
      <c r="AE1233" s="2" t="s">
        <v>39</v>
      </c>
    </row>
    <row r="1234" spans="1:31" ht="409.5">
      <c r="A1234" s="2">
        <v>2611494</v>
      </c>
      <c r="B1234" s="2">
        <f>HYPERLINK("https://platform.v2.vetology.net/cases/2611494/screening-report/18?type=pdf&amp;v=v6&amp;scorecard=1&amp;secret_key=BX%25IJ%24%2F65ieZ%29f6", 2611494)</f>
        <v>2611494</v>
      </c>
      <c r="C1234" s="2">
        <f>HYPERLINK("https://platform.v2.vetology.net/report/v/final/"&amp;2611494, 2611494)</f>
        <v>2611494</v>
      </c>
      <c r="D1234" s="2" t="s">
        <v>3608</v>
      </c>
      <c r="E1234" s="2" t="s">
        <v>3609</v>
      </c>
      <c r="F1234" s="2" t="s">
        <v>149</v>
      </c>
      <c r="G1234" s="2" t="s">
        <v>150</v>
      </c>
      <c r="H1234" s="2" t="s">
        <v>54</v>
      </c>
      <c r="I1234" s="2" t="s">
        <v>44</v>
      </c>
      <c r="J1234" s="2" t="s">
        <v>106</v>
      </c>
      <c r="K1234" s="2" t="s">
        <v>38</v>
      </c>
      <c r="L1234" s="2" t="s">
        <v>39</v>
      </c>
      <c r="M1234" s="2" t="s">
        <v>38</v>
      </c>
      <c r="N1234" s="2" t="s">
        <v>38</v>
      </c>
      <c r="O1234" s="2" t="s">
        <v>38</v>
      </c>
      <c r="P1234" s="2" t="s">
        <v>39</v>
      </c>
      <c r="Q1234" s="2" t="s">
        <v>38</v>
      </c>
      <c r="R1234" s="2" t="s">
        <v>38</v>
      </c>
      <c r="S1234" s="2" t="s">
        <v>38</v>
      </c>
      <c r="T1234" s="2" t="s">
        <v>38</v>
      </c>
      <c r="U1234" s="2" t="s">
        <v>38</v>
      </c>
      <c r="V1234" s="2" t="s">
        <v>38</v>
      </c>
      <c r="W1234" s="2" t="s">
        <v>38</v>
      </c>
      <c r="X1234" s="2" t="s">
        <v>38</v>
      </c>
      <c r="Y1234" s="2" t="s">
        <v>38</v>
      </c>
      <c r="Z1234" s="2" t="s">
        <v>38</v>
      </c>
      <c r="AA1234" s="2" t="s">
        <v>38</v>
      </c>
      <c r="AB1234" s="2" t="s">
        <v>39</v>
      </c>
      <c r="AC1234" s="2" t="s">
        <v>38</v>
      </c>
      <c r="AD1234" s="2" t="s">
        <v>38</v>
      </c>
      <c r="AE1234" s="2" t="s">
        <v>39</v>
      </c>
    </row>
    <row r="1235" spans="1:31" ht="409.5">
      <c r="A1235" s="2">
        <v>2611433</v>
      </c>
      <c r="B1235" s="2">
        <f>HYPERLINK("https://platform.v2.vetology.net/cases/2611433/screening-report/18?type=pdf&amp;v=v6&amp;scorecard=1&amp;secret_key=BX%25IJ%24%2F65ieZ%29f6", 2611433)</f>
        <v>2611433</v>
      </c>
      <c r="C1235" s="2">
        <f>HYPERLINK("https://platform.v2.vetology.net/report/v/final/"&amp;2611433, 2611433)</f>
        <v>2611433</v>
      </c>
      <c r="D1235" s="2" t="s">
        <v>3610</v>
      </c>
      <c r="E1235" s="2" t="s">
        <v>3611</v>
      </c>
      <c r="F1235" s="2" t="s">
        <v>2535</v>
      </c>
      <c r="G1235" s="2" t="s">
        <v>58</v>
      </c>
      <c r="H1235" s="2" t="s">
        <v>607</v>
      </c>
      <c r="I1235" s="2" t="s">
        <v>137</v>
      </c>
      <c r="J1235" s="2" t="s">
        <v>66</v>
      </c>
      <c r="K1235" s="2" t="s">
        <v>38</v>
      </c>
      <c r="L1235" s="2" t="s">
        <v>39</v>
      </c>
      <c r="M1235" s="2" t="s">
        <v>39</v>
      </c>
      <c r="N1235" s="2" t="s">
        <v>38</v>
      </c>
      <c r="O1235" s="2" t="s">
        <v>38</v>
      </c>
      <c r="P1235" s="2" t="s">
        <v>39</v>
      </c>
      <c r="Q1235" s="2" t="s">
        <v>38</v>
      </c>
      <c r="R1235" s="2" t="s">
        <v>38</v>
      </c>
      <c r="S1235" s="2" t="s">
        <v>39</v>
      </c>
      <c r="T1235" s="2" t="s">
        <v>39</v>
      </c>
      <c r="U1235" s="2" t="s">
        <v>38</v>
      </c>
      <c r="V1235" s="2" t="s">
        <v>38</v>
      </c>
      <c r="W1235" s="2" t="s">
        <v>38</v>
      </c>
      <c r="X1235" s="2" t="s">
        <v>39</v>
      </c>
      <c r="Y1235" s="2" t="s">
        <v>39</v>
      </c>
      <c r="Z1235" s="2" t="s">
        <v>38</v>
      </c>
      <c r="AA1235" s="2" t="s">
        <v>38</v>
      </c>
      <c r="AB1235" s="2" t="s">
        <v>39</v>
      </c>
      <c r="AC1235" s="2" t="s">
        <v>38</v>
      </c>
      <c r="AD1235" s="2" t="s">
        <v>38</v>
      </c>
      <c r="AE1235" s="2" t="s">
        <v>39</v>
      </c>
    </row>
    <row r="1236" spans="1:31" ht="409.5">
      <c r="A1236" s="2">
        <v>2611421</v>
      </c>
      <c r="B1236" s="2">
        <f>HYPERLINK("https://platform.v2.vetology.net/cases/2611421/screening-report/18?type=pdf&amp;v=v6&amp;scorecard=1&amp;secret_key=BX%25IJ%24%2F65ieZ%29f6", 2611421)</f>
        <v>2611421</v>
      </c>
      <c r="C1236" s="2">
        <f>HYPERLINK("https://platform.v2.vetology.net/report/v/final/"&amp;2611421, 2611421)</f>
        <v>2611421</v>
      </c>
      <c r="D1236" s="2" t="s">
        <v>3612</v>
      </c>
      <c r="E1236" s="2" t="s">
        <v>3613</v>
      </c>
      <c r="F1236" s="2" t="s">
        <v>3474</v>
      </c>
      <c r="G1236" s="2" t="s">
        <v>93</v>
      </c>
      <c r="H1236" s="2" t="s">
        <v>54</v>
      </c>
      <c r="I1236" s="2" t="s">
        <v>44</v>
      </c>
      <c r="J1236" s="2"/>
      <c r="K1236" s="2" t="s">
        <v>38</v>
      </c>
      <c r="L1236" s="2" t="s">
        <v>38</v>
      </c>
      <c r="M1236" s="2" t="s">
        <v>39</v>
      </c>
      <c r="N1236" s="2" t="s">
        <v>38</v>
      </c>
      <c r="O1236" s="2" t="s">
        <v>38</v>
      </c>
      <c r="P1236" s="2" t="s">
        <v>39</v>
      </c>
      <c r="Q1236" s="2" t="s">
        <v>38</v>
      </c>
      <c r="R1236" s="2" t="s">
        <v>38</v>
      </c>
      <c r="S1236" s="2" t="s">
        <v>38</v>
      </c>
      <c r="T1236" s="2" t="s">
        <v>39</v>
      </c>
      <c r="U1236" s="2" t="s">
        <v>38</v>
      </c>
      <c r="V1236" s="2" t="s">
        <v>38</v>
      </c>
      <c r="W1236" s="2" t="s">
        <v>38</v>
      </c>
      <c r="X1236" s="2" t="s">
        <v>38</v>
      </c>
      <c r="Y1236" s="2" t="s">
        <v>38</v>
      </c>
      <c r="Z1236" s="2" t="s">
        <v>38</v>
      </c>
      <c r="AA1236" s="2" t="s">
        <v>38</v>
      </c>
      <c r="AB1236" s="2" t="s">
        <v>39</v>
      </c>
      <c r="AC1236" s="2" t="s">
        <v>38</v>
      </c>
      <c r="AD1236" s="2" t="s">
        <v>38</v>
      </c>
      <c r="AE1236" s="2" t="s">
        <v>39</v>
      </c>
    </row>
    <row r="1237" spans="1:31" ht="409.5">
      <c r="A1237" s="2">
        <v>2611379</v>
      </c>
      <c r="B1237" s="2">
        <f>HYPERLINK("https://platform.v2.vetology.net/cases/2611379/screening-report/18?type=pdf&amp;v=v6&amp;scorecard=1&amp;secret_key=BX%25IJ%24%2F65ieZ%29f6", 2611379)</f>
        <v>2611379</v>
      </c>
      <c r="C1237" s="2">
        <f>HYPERLINK("https://platform.v2.vetology.net/report/v/final/"&amp;2611379, 2611379)</f>
        <v>2611379</v>
      </c>
      <c r="D1237" s="2" t="s">
        <v>3614</v>
      </c>
      <c r="E1237" s="2" t="s">
        <v>3615</v>
      </c>
      <c r="F1237" s="2" t="s">
        <v>3616</v>
      </c>
      <c r="G1237" s="2" t="s">
        <v>93</v>
      </c>
      <c r="H1237" s="2" t="s">
        <v>901</v>
      </c>
      <c r="I1237" s="2" t="s">
        <v>689</v>
      </c>
      <c r="J1237" s="2" t="s">
        <v>690</v>
      </c>
      <c r="K1237" s="2" t="s">
        <v>38</v>
      </c>
      <c r="L1237" s="2" t="s">
        <v>38</v>
      </c>
      <c r="M1237" s="2" t="s">
        <v>38</v>
      </c>
      <c r="N1237" s="2" t="s">
        <v>38</v>
      </c>
      <c r="O1237" s="2" t="s">
        <v>38</v>
      </c>
      <c r="P1237" s="2" t="s">
        <v>39</v>
      </c>
      <c r="Q1237" s="2" t="s">
        <v>38</v>
      </c>
      <c r="R1237" s="2" t="s">
        <v>38</v>
      </c>
      <c r="S1237" s="2" t="s">
        <v>38</v>
      </c>
      <c r="T1237" s="2" t="s">
        <v>38</v>
      </c>
      <c r="U1237" s="2" t="s">
        <v>38</v>
      </c>
      <c r="V1237" s="2" t="s">
        <v>38</v>
      </c>
      <c r="W1237" s="2" t="s">
        <v>38</v>
      </c>
      <c r="X1237" s="2" t="s">
        <v>38</v>
      </c>
      <c r="Y1237" s="2" t="s">
        <v>38</v>
      </c>
      <c r="Z1237" s="2" t="s">
        <v>38</v>
      </c>
      <c r="AA1237" s="2" t="s">
        <v>38</v>
      </c>
      <c r="AB1237" s="2" t="s">
        <v>39</v>
      </c>
      <c r="AC1237" s="2" t="s">
        <v>39</v>
      </c>
      <c r="AD1237" s="2" t="s">
        <v>38</v>
      </c>
      <c r="AE1237" s="2" t="s">
        <v>38</v>
      </c>
    </row>
    <row r="1238" spans="1:31" ht="409.5">
      <c r="A1238" s="2">
        <v>2610883</v>
      </c>
      <c r="B1238" s="2">
        <f>HYPERLINK("https://platform.v2.vetology.net/cases/2610883/screening-report/18?type=pdf&amp;v=v6&amp;scorecard=1&amp;secret_key=BX%25IJ%24%2F65ieZ%29f6", 2610883)</f>
        <v>2610883</v>
      </c>
      <c r="C1238" s="2">
        <f>HYPERLINK("https://platform.v2.vetology.net/report/v/final/"&amp;2610883, 2610883)</f>
        <v>2610883</v>
      </c>
      <c r="D1238" s="2" t="s">
        <v>3617</v>
      </c>
      <c r="E1238" s="2" t="s">
        <v>3618</v>
      </c>
      <c r="F1238" s="2" t="s">
        <v>81</v>
      </c>
      <c r="G1238" s="2" t="s">
        <v>82</v>
      </c>
      <c r="H1238" s="2" t="s">
        <v>607</v>
      </c>
      <c r="I1238" s="2" t="s">
        <v>137</v>
      </c>
      <c r="J1238" s="2" t="s">
        <v>66</v>
      </c>
      <c r="K1238" s="2" t="s">
        <v>38</v>
      </c>
      <c r="L1238" s="2" t="s">
        <v>39</v>
      </c>
      <c r="M1238" s="2" t="s">
        <v>39</v>
      </c>
      <c r="N1238" s="2" t="s">
        <v>38</v>
      </c>
      <c r="O1238" s="2" t="s">
        <v>38</v>
      </c>
      <c r="P1238" s="2" t="s">
        <v>39</v>
      </c>
      <c r="Q1238" s="2" t="s">
        <v>38</v>
      </c>
      <c r="R1238" s="2" t="s">
        <v>38</v>
      </c>
      <c r="S1238" s="2" t="s">
        <v>38</v>
      </c>
      <c r="T1238" s="2" t="s">
        <v>38</v>
      </c>
      <c r="U1238" s="2" t="s">
        <v>38</v>
      </c>
      <c r="V1238" s="2" t="s">
        <v>38</v>
      </c>
      <c r="W1238" s="2" t="s">
        <v>38</v>
      </c>
      <c r="X1238" s="2" t="s">
        <v>38</v>
      </c>
      <c r="Y1238" s="2" t="s">
        <v>38</v>
      </c>
      <c r="Z1238" s="2" t="s">
        <v>38</v>
      </c>
      <c r="AA1238" s="2" t="s">
        <v>38</v>
      </c>
      <c r="AB1238" s="2" t="s">
        <v>39</v>
      </c>
      <c r="AC1238" s="2" t="s">
        <v>39</v>
      </c>
      <c r="AD1238" s="2" t="s">
        <v>38</v>
      </c>
      <c r="AE1238" s="2" t="s">
        <v>39</v>
      </c>
    </row>
    <row r="1239" spans="1:31" ht="409.5">
      <c r="A1239" s="2">
        <v>2610507</v>
      </c>
      <c r="B1239" s="2">
        <f>HYPERLINK("https://platform.v2.vetology.net/cases/2610507/screening-report/18?type=pdf&amp;v=v6&amp;scorecard=1&amp;secret_key=BX%25IJ%24%2F65ieZ%29f6", 2610507)</f>
        <v>2610507</v>
      </c>
      <c r="C1239" s="2">
        <f>HYPERLINK("https://platform.v2.vetology.net/report/v/final/"&amp;2610507, 2610507)</f>
        <v>2610507</v>
      </c>
      <c r="D1239" s="2" t="s">
        <v>3619</v>
      </c>
      <c r="E1239" s="2" t="s">
        <v>3620</v>
      </c>
      <c r="F1239" s="2" t="s">
        <v>3621</v>
      </c>
      <c r="G1239" s="2" t="s">
        <v>3622</v>
      </c>
      <c r="H1239" s="2" t="s">
        <v>3623</v>
      </c>
      <c r="I1239" s="2" t="s">
        <v>1245</v>
      </c>
      <c r="J1239" s="2" t="s">
        <v>66</v>
      </c>
      <c r="K1239" s="2" t="s">
        <v>38</v>
      </c>
      <c r="L1239" s="2" t="s">
        <v>39</v>
      </c>
      <c r="M1239" s="2" t="s">
        <v>39</v>
      </c>
      <c r="N1239" s="2" t="s">
        <v>38</v>
      </c>
      <c r="O1239" s="2" t="s">
        <v>39</v>
      </c>
      <c r="P1239" s="2" t="s">
        <v>39</v>
      </c>
      <c r="Q1239" s="2" t="s">
        <v>38</v>
      </c>
      <c r="R1239" s="2" t="s">
        <v>38</v>
      </c>
      <c r="S1239" s="2" t="s">
        <v>39</v>
      </c>
      <c r="T1239" s="2" t="s">
        <v>39</v>
      </c>
      <c r="U1239" s="2" t="s">
        <v>39</v>
      </c>
      <c r="V1239" s="2" t="s">
        <v>38</v>
      </c>
      <c r="W1239" s="2" t="s">
        <v>38</v>
      </c>
      <c r="X1239" s="2" t="s">
        <v>39</v>
      </c>
      <c r="Y1239" s="2" t="s">
        <v>38</v>
      </c>
      <c r="Z1239" s="2" t="s">
        <v>39</v>
      </c>
      <c r="AA1239" s="2" t="s">
        <v>38</v>
      </c>
      <c r="AB1239" s="2" t="s">
        <v>39</v>
      </c>
      <c r="AC1239" s="2" t="s">
        <v>39</v>
      </c>
      <c r="AD1239" s="2" t="s">
        <v>38</v>
      </c>
      <c r="AE1239" s="2" t="s">
        <v>39</v>
      </c>
    </row>
    <row r="1240" spans="1:31" ht="409.5">
      <c r="A1240" s="2">
        <v>2610108</v>
      </c>
      <c r="B1240" s="2">
        <f>HYPERLINK("https://platform.v2.vetology.net/cases/2610108/screening-report/18?type=pdf&amp;v=v6&amp;scorecard=1&amp;secret_key=BX%25IJ%24%2F65ieZ%29f6", 2610108)</f>
        <v>2610108</v>
      </c>
      <c r="C1240" s="2">
        <f>HYPERLINK("https://platform.v2.vetology.net/report/v/final/"&amp;2610108, 2610108)</f>
        <v>2610108</v>
      </c>
      <c r="D1240" s="2" t="s">
        <v>3624</v>
      </c>
      <c r="E1240" s="2" t="s">
        <v>3625</v>
      </c>
      <c r="F1240" s="2" t="s">
        <v>3626</v>
      </c>
      <c r="G1240" s="2" t="s">
        <v>63</v>
      </c>
      <c r="H1240" s="2" t="s">
        <v>3627</v>
      </c>
      <c r="I1240" s="2" t="s">
        <v>1091</v>
      </c>
      <c r="J1240" s="2" t="s">
        <v>50</v>
      </c>
      <c r="K1240" s="2" t="s">
        <v>39</v>
      </c>
      <c r="L1240" s="2" t="s">
        <v>39</v>
      </c>
      <c r="M1240" s="2" t="s">
        <v>39</v>
      </c>
      <c r="N1240" s="2" t="s">
        <v>39</v>
      </c>
      <c r="O1240" s="2" t="s">
        <v>39</v>
      </c>
      <c r="P1240" s="2" t="s">
        <v>39</v>
      </c>
      <c r="Q1240" s="2" t="s">
        <v>39</v>
      </c>
      <c r="R1240" s="2" t="s">
        <v>38</v>
      </c>
      <c r="S1240" s="2" t="s">
        <v>39</v>
      </c>
      <c r="T1240" s="2" t="s">
        <v>38</v>
      </c>
      <c r="U1240" s="2" t="s">
        <v>38</v>
      </c>
      <c r="V1240" s="2" t="s">
        <v>38</v>
      </c>
      <c r="W1240" s="2" t="s">
        <v>38</v>
      </c>
      <c r="X1240" s="2" t="s">
        <v>38</v>
      </c>
      <c r="Y1240" s="2" t="s">
        <v>38</v>
      </c>
      <c r="Z1240" s="2" t="s">
        <v>39</v>
      </c>
      <c r="AA1240" s="2" t="s">
        <v>39</v>
      </c>
      <c r="AB1240" s="2" t="s">
        <v>39</v>
      </c>
      <c r="AC1240" s="2" t="s">
        <v>39</v>
      </c>
      <c r="AD1240" s="2" t="s">
        <v>38</v>
      </c>
      <c r="AE1240" s="2" t="s">
        <v>38</v>
      </c>
    </row>
    <row r="1241" spans="1:31" ht="409.5">
      <c r="A1241" s="2">
        <v>2609697</v>
      </c>
      <c r="B1241" s="2">
        <f>HYPERLINK("https://platform.v2.vetology.net/cases/2609697/screening-report/18?type=pdf&amp;v=v6&amp;scorecard=1&amp;secret_key=BX%25IJ%24%2F65ieZ%29f6", 2609697)</f>
        <v>2609697</v>
      </c>
      <c r="C1241" s="2">
        <f>HYPERLINK("https://platform.v2.vetology.net/report/v/final/"&amp;2609697, 2609697)</f>
        <v>2609697</v>
      </c>
      <c r="D1241" s="2" t="s">
        <v>3628</v>
      </c>
      <c r="E1241" s="2" t="s">
        <v>3629</v>
      </c>
      <c r="F1241" s="2" t="s">
        <v>1901</v>
      </c>
      <c r="G1241" s="2" t="s">
        <v>150</v>
      </c>
      <c r="H1241" s="2" t="s">
        <v>3630</v>
      </c>
      <c r="I1241" s="2" t="s">
        <v>321</v>
      </c>
      <c r="J1241" s="2" t="s">
        <v>66</v>
      </c>
      <c r="K1241" s="2" t="s">
        <v>38</v>
      </c>
      <c r="L1241" s="2" t="s">
        <v>38</v>
      </c>
      <c r="M1241" s="2" t="s">
        <v>39</v>
      </c>
      <c r="N1241" s="2" t="s">
        <v>38</v>
      </c>
      <c r="O1241" s="2" t="s">
        <v>39</v>
      </c>
      <c r="P1241" s="2" t="s">
        <v>39</v>
      </c>
      <c r="Q1241" s="2" t="s">
        <v>39</v>
      </c>
      <c r="R1241" s="2" t="s">
        <v>38</v>
      </c>
      <c r="S1241" s="2" t="s">
        <v>39</v>
      </c>
      <c r="T1241" s="2" t="s">
        <v>39</v>
      </c>
      <c r="U1241" s="2" t="s">
        <v>38</v>
      </c>
      <c r="V1241" s="2" t="s">
        <v>39</v>
      </c>
      <c r="W1241" s="2" t="s">
        <v>38</v>
      </c>
      <c r="X1241" s="2" t="s">
        <v>39</v>
      </c>
      <c r="Y1241" s="2" t="s">
        <v>38</v>
      </c>
      <c r="Z1241" s="2" t="s">
        <v>38</v>
      </c>
      <c r="AA1241" s="2" t="s">
        <v>38</v>
      </c>
      <c r="AB1241" s="2" t="s">
        <v>39</v>
      </c>
      <c r="AC1241" s="2" t="s">
        <v>39</v>
      </c>
      <c r="AD1241" s="2" t="s">
        <v>38</v>
      </c>
      <c r="AE1241" s="2" t="s">
        <v>39</v>
      </c>
    </row>
    <row r="1242" spans="1:31" ht="409.5">
      <c r="A1242" s="2">
        <v>2609570</v>
      </c>
      <c r="B1242" s="2">
        <f>HYPERLINK("https://platform.v2.vetology.net/cases/2609570/screening-report/18?type=pdf&amp;v=v6&amp;scorecard=1&amp;secret_key=BX%25IJ%24%2F65ieZ%29f6", 2609570)</f>
        <v>2609570</v>
      </c>
      <c r="C1242" s="2">
        <f>HYPERLINK("https://platform.v2.vetology.net/report/v/final/"&amp;2609570, 2609570)</f>
        <v>2609570</v>
      </c>
      <c r="D1242" s="2" t="s">
        <v>3631</v>
      </c>
      <c r="E1242" s="2" t="s">
        <v>3632</v>
      </c>
      <c r="F1242" s="2" t="s">
        <v>81</v>
      </c>
      <c r="G1242" s="2" t="s">
        <v>150</v>
      </c>
      <c r="H1242" s="2" t="s">
        <v>3633</v>
      </c>
      <c r="I1242" s="2" t="s">
        <v>44</v>
      </c>
      <c r="J1242" s="2"/>
      <c r="K1242" s="2" t="s">
        <v>38</v>
      </c>
      <c r="L1242" s="2" t="s">
        <v>39</v>
      </c>
      <c r="M1242" s="2" t="s">
        <v>39</v>
      </c>
      <c r="N1242" s="2" t="s">
        <v>38</v>
      </c>
      <c r="O1242" s="2" t="s">
        <v>38</v>
      </c>
      <c r="P1242" s="2" t="s">
        <v>38</v>
      </c>
      <c r="Q1242" s="2" t="s">
        <v>38</v>
      </c>
      <c r="R1242" s="2" t="s">
        <v>38</v>
      </c>
      <c r="S1242" s="2" t="s">
        <v>38</v>
      </c>
      <c r="T1242" s="2" t="s">
        <v>38</v>
      </c>
      <c r="U1242" s="2" t="s">
        <v>38</v>
      </c>
      <c r="V1242" s="2" t="s">
        <v>38</v>
      </c>
      <c r="W1242" s="2" t="s">
        <v>38</v>
      </c>
      <c r="X1242" s="2" t="s">
        <v>38</v>
      </c>
      <c r="Y1242" s="2" t="s">
        <v>38</v>
      </c>
      <c r="Z1242" s="2" t="s">
        <v>38</v>
      </c>
      <c r="AA1242" s="2" t="s">
        <v>38</v>
      </c>
      <c r="AB1242" s="2" t="s">
        <v>38</v>
      </c>
      <c r="AC1242" s="2" t="s">
        <v>38</v>
      </c>
      <c r="AD1242" s="2" t="s">
        <v>38</v>
      </c>
      <c r="AE1242" s="2" t="s">
        <v>38</v>
      </c>
    </row>
    <row r="1243" spans="1:31" ht="409.5">
      <c r="A1243" s="2">
        <v>2608600</v>
      </c>
      <c r="B1243" s="2">
        <f>HYPERLINK("https://platform.v2.vetology.net/cases/2608600/screening-report/18?type=pdf&amp;v=v6&amp;scorecard=1&amp;secret_key=BX%25IJ%24%2F65ieZ%29f6", 2608600)</f>
        <v>2608600</v>
      </c>
      <c r="C1243" s="2">
        <f>HYPERLINK("https://platform.v2.vetology.net/report/v/final/"&amp;2608600, 2608600)</f>
        <v>2608600</v>
      </c>
      <c r="D1243" s="2" t="s">
        <v>3634</v>
      </c>
      <c r="E1243" s="2" t="s">
        <v>3635</v>
      </c>
      <c r="F1243" s="2" t="s">
        <v>3636</v>
      </c>
      <c r="G1243" s="2" t="s">
        <v>135</v>
      </c>
      <c r="H1243" s="2" t="s">
        <v>3637</v>
      </c>
      <c r="I1243" s="2" t="s">
        <v>214</v>
      </c>
      <c r="J1243" s="2" t="s">
        <v>50</v>
      </c>
      <c r="K1243" s="2" t="s">
        <v>38</v>
      </c>
      <c r="L1243" s="2" t="s">
        <v>39</v>
      </c>
      <c r="M1243" s="2" t="s">
        <v>38</v>
      </c>
      <c r="N1243" s="2" t="s">
        <v>38</v>
      </c>
      <c r="O1243" s="2" t="s">
        <v>38</v>
      </c>
      <c r="P1243" s="2" t="s">
        <v>38</v>
      </c>
      <c r="Q1243" s="2" t="s">
        <v>38</v>
      </c>
      <c r="R1243" s="2" t="s">
        <v>38</v>
      </c>
      <c r="S1243" s="2" t="s">
        <v>38</v>
      </c>
      <c r="T1243" s="2" t="s">
        <v>39</v>
      </c>
      <c r="U1243" s="2" t="s">
        <v>38</v>
      </c>
      <c r="V1243" s="2" t="s">
        <v>38</v>
      </c>
      <c r="W1243" s="2" t="s">
        <v>38</v>
      </c>
      <c r="X1243" s="2" t="s">
        <v>39</v>
      </c>
      <c r="Y1243" s="2" t="s">
        <v>38</v>
      </c>
      <c r="Z1243" s="2" t="s">
        <v>39</v>
      </c>
      <c r="AA1243" s="2" t="s">
        <v>39</v>
      </c>
      <c r="AB1243" s="2" t="s">
        <v>39</v>
      </c>
      <c r="AC1243" s="2" t="s">
        <v>39</v>
      </c>
      <c r="AD1243" s="2" t="s">
        <v>38</v>
      </c>
      <c r="AE1243" s="2" t="s">
        <v>38</v>
      </c>
    </row>
    <row r="1244" spans="1:31" ht="409.5">
      <c r="A1244" s="2">
        <v>2608452</v>
      </c>
      <c r="B1244" s="2">
        <f>HYPERLINK("https://platform.v2.vetology.net/cases/2608452/screening-report/18?type=pdf&amp;v=v6&amp;scorecard=1&amp;secret_key=BX%25IJ%24%2F65ieZ%29f6", 2608452)</f>
        <v>2608452</v>
      </c>
      <c r="C1244" s="2">
        <f>HYPERLINK("https://platform.v2.vetology.net/report/v/final/"&amp;2608452, 2608452)</f>
        <v>2608452</v>
      </c>
      <c r="D1244" s="2" t="s">
        <v>3638</v>
      </c>
      <c r="E1244" s="2" t="s">
        <v>3639</v>
      </c>
      <c r="F1244" s="2" t="s">
        <v>81</v>
      </c>
      <c r="G1244" s="2" t="s">
        <v>268</v>
      </c>
      <c r="H1244" s="2" t="s">
        <v>3640</v>
      </c>
      <c r="I1244" s="2" t="s">
        <v>957</v>
      </c>
      <c r="J1244" s="2" t="s">
        <v>66</v>
      </c>
      <c r="K1244" s="2" t="s">
        <v>38</v>
      </c>
      <c r="L1244" s="2" t="s">
        <v>39</v>
      </c>
      <c r="M1244" s="2" t="s">
        <v>39</v>
      </c>
      <c r="N1244" s="2" t="s">
        <v>38</v>
      </c>
      <c r="O1244" s="2" t="s">
        <v>38</v>
      </c>
      <c r="P1244" s="2" t="s">
        <v>38</v>
      </c>
      <c r="Q1244" s="2" t="s">
        <v>38</v>
      </c>
      <c r="R1244" s="2" t="s">
        <v>38</v>
      </c>
      <c r="S1244" s="2" t="s">
        <v>38</v>
      </c>
      <c r="T1244" s="2" t="s">
        <v>38</v>
      </c>
      <c r="U1244" s="2" t="s">
        <v>38</v>
      </c>
      <c r="V1244" s="2" t="s">
        <v>39</v>
      </c>
      <c r="W1244" s="2" t="s">
        <v>38</v>
      </c>
      <c r="X1244" s="2" t="s">
        <v>39</v>
      </c>
      <c r="Y1244" s="2" t="s">
        <v>38</v>
      </c>
      <c r="Z1244" s="2" t="s">
        <v>38</v>
      </c>
      <c r="AA1244" s="2" t="s">
        <v>38</v>
      </c>
      <c r="AB1244" s="2" t="s">
        <v>39</v>
      </c>
      <c r="AC1244" s="2" t="s">
        <v>39</v>
      </c>
      <c r="AD1244" s="2" t="s">
        <v>38</v>
      </c>
      <c r="AE1244" s="2" t="s">
        <v>39</v>
      </c>
    </row>
    <row r="1245" spans="1:31" ht="409.5">
      <c r="A1245" s="2">
        <v>2608408</v>
      </c>
      <c r="B1245" s="2">
        <f>HYPERLINK("https://platform.v2.vetology.net/cases/2608408/screening-report/18?type=pdf&amp;v=v6&amp;scorecard=1&amp;secret_key=BX%25IJ%24%2F65ieZ%29f6", 2608408)</f>
        <v>2608408</v>
      </c>
      <c r="C1245" s="2">
        <f>HYPERLINK("https://platform.v2.vetology.net/report/v/final/"&amp;2608408, 2608408)</f>
        <v>2608408</v>
      </c>
      <c r="D1245" s="2" t="s">
        <v>2593</v>
      </c>
      <c r="E1245" s="2" t="s">
        <v>3641</v>
      </c>
      <c r="F1245" s="2" t="s">
        <v>81</v>
      </c>
      <c r="G1245" s="2" t="s">
        <v>150</v>
      </c>
      <c r="H1245" s="2" t="s">
        <v>1622</v>
      </c>
      <c r="I1245" s="2" t="s">
        <v>158</v>
      </c>
      <c r="J1245" s="2" t="s">
        <v>50</v>
      </c>
      <c r="K1245" s="2" t="s">
        <v>38</v>
      </c>
      <c r="L1245" s="2" t="s">
        <v>39</v>
      </c>
      <c r="M1245" s="2" t="s">
        <v>38</v>
      </c>
      <c r="N1245" s="2" t="s">
        <v>38</v>
      </c>
      <c r="O1245" s="2" t="s">
        <v>38</v>
      </c>
      <c r="P1245" s="2" t="s">
        <v>38</v>
      </c>
      <c r="Q1245" s="2" t="s">
        <v>38</v>
      </c>
      <c r="R1245" s="2" t="s">
        <v>38</v>
      </c>
      <c r="S1245" s="2" t="s">
        <v>38</v>
      </c>
      <c r="T1245" s="2" t="s">
        <v>39</v>
      </c>
      <c r="U1245" s="2" t="s">
        <v>38</v>
      </c>
      <c r="V1245" s="2" t="s">
        <v>38</v>
      </c>
      <c r="W1245" s="2" t="s">
        <v>38</v>
      </c>
      <c r="X1245" s="2" t="s">
        <v>38</v>
      </c>
      <c r="Y1245" s="2" t="s">
        <v>38</v>
      </c>
      <c r="Z1245" s="2" t="s">
        <v>38</v>
      </c>
      <c r="AA1245" s="2" t="s">
        <v>38</v>
      </c>
      <c r="AB1245" s="2" t="s">
        <v>39</v>
      </c>
      <c r="AC1245" s="2" t="s">
        <v>39</v>
      </c>
      <c r="AD1245" s="2" t="s">
        <v>38</v>
      </c>
      <c r="AE1245" s="2" t="s">
        <v>38</v>
      </c>
    </row>
    <row r="1246" spans="1:31" ht="409.5">
      <c r="A1246" s="2">
        <v>2608171</v>
      </c>
      <c r="B1246" s="2">
        <f>HYPERLINK("https://platform.v2.vetology.net/cases/2608171/screening-report/18?type=pdf&amp;v=v6&amp;scorecard=1&amp;secret_key=BX%25IJ%24%2F65ieZ%29f6", 2608171)</f>
        <v>2608171</v>
      </c>
      <c r="C1246" s="2">
        <f>HYPERLINK("https://platform.v2.vetology.net/report/v/final/"&amp;2608171, 2608171)</f>
        <v>2608171</v>
      </c>
      <c r="D1246" s="2" t="s">
        <v>3642</v>
      </c>
      <c r="E1246" s="2" t="s">
        <v>3643</v>
      </c>
      <c r="F1246" s="2" t="s">
        <v>81</v>
      </c>
      <c r="G1246" s="2" t="s">
        <v>268</v>
      </c>
      <c r="H1246" s="2" t="s">
        <v>54</v>
      </c>
      <c r="I1246" s="2" t="s">
        <v>44</v>
      </c>
      <c r="J1246" s="2"/>
      <c r="K1246" s="2" t="s">
        <v>38</v>
      </c>
      <c r="L1246" s="2" t="s">
        <v>38</v>
      </c>
      <c r="M1246" s="2" t="s">
        <v>38</v>
      </c>
      <c r="N1246" s="2" t="s">
        <v>38</v>
      </c>
      <c r="O1246" s="2" t="s">
        <v>38</v>
      </c>
      <c r="P1246" s="2" t="s">
        <v>38</v>
      </c>
      <c r="Q1246" s="2" t="s">
        <v>38</v>
      </c>
      <c r="R1246" s="2" t="s">
        <v>38</v>
      </c>
      <c r="S1246" s="2" t="s">
        <v>38</v>
      </c>
      <c r="T1246" s="2" t="s">
        <v>39</v>
      </c>
      <c r="U1246" s="2" t="s">
        <v>38</v>
      </c>
      <c r="V1246" s="2" t="s">
        <v>39</v>
      </c>
      <c r="W1246" s="2" t="s">
        <v>38</v>
      </c>
      <c r="X1246" s="2" t="s">
        <v>39</v>
      </c>
      <c r="Y1246" s="2" t="s">
        <v>38</v>
      </c>
      <c r="Z1246" s="2" t="s">
        <v>38</v>
      </c>
      <c r="AA1246" s="2" t="s">
        <v>38</v>
      </c>
      <c r="AB1246" s="2" t="s">
        <v>38</v>
      </c>
      <c r="AC1246" s="2" t="s">
        <v>38</v>
      </c>
      <c r="AD1246" s="2" t="s">
        <v>38</v>
      </c>
      <c r="AE1246" s="2" t="s">
        <v>38</v>
      </c>
    </row>
    <row r="1247" spans="1:31" ht="409.5">
      <c r="A1247" s="2">
        <v>2608008</v>
      </c>
      <c r="B1247" s="2">
        <f>HYPERLINK("https://platform.v2.vetology.net/cases/2608008/screening-report/18?type=pdf&amp;v=v6&amp;scorecard=1&amp;secret_key=BX%25IJ%24%2F65ieZ%29f6", 2608008)</f>
        <v>2608008</v>
      </c>
      <c r="C1247" s="2">
        <f>HYPERLINK("https://platform.v2.vetology.net/report/v/final/"&amp;2608008, 2608008)</f>
        <v>2608008</v>
      </c>
      <c r="D1247" s="2" t="s">
        <v>3644</v>
      </c>
      <c r="E1247" s="2" t="s">
        <v>3645</v>
      </c>
      <c r="F1247" s="2" t="s">
        <v>3646</v>
      </c>
      <c r="G1247" s="2" t="s">
        <v>150</v>
      </c>
      <c r="H1247" s="2" t="s">
        <v>2839</v>
      </c>
      <c r="I1247" s="2" t="s">
        <v>214</v>
      </c>
      <c r="J1247" s="2" t="s">
        <v>50</v>
      </c>
      <c r="K1247" s="2" t="s">
        <v>38</v>
      </c>
      <c r="L1247" s="2" t="s">
        <v>39</v>
      </c>
      <c r="M1247" s="2" t="s">
        <v>39</v>
      </c>
      <c r="N1247" s="2" t="s">
        <v>38</v>
      </c>
      <c r="O1247" s="2" t="s">
        <v>38</v>
      </c>
      <c r="P1247" s="2" t="s">
        <v>38</v>
      </c>
      <c r="Q1247" s="2" t="s">
        <v>38</v>
      </c>
      <c r="R1247" s="2" t="s">
        <v>38</v>
      </c>
      <c r="S1247" s="2" t="s">
        <v>38</v>
      </c>
      <c r="T1247" s="2" t="s">
        <v>38</v>
      </c>
      <c r="U1247" s="2" t="s">
        <v>38</v>
      </c>
      <c r="V1247" s="2" t="s">
        <v>38</v>
      </c>
      <c r="W1247" s="2" t="s">
        <v>38</v>
      </c>
      <c r="X1247" s="2" t="s">
        <v>38</v>
      </c>
      <c r="Y1247" s="2" t="s">
        <v>38</v>
      </c>
      <c r="Z1247" s="2" t="s">
        <v>38</v>
      </c>
      <c r="AA1247" s="2" t="s">
        <v>38</v>
      </c>
      <c r="AB1247" s="2" t="s">
        <v>38</v>
      </c>
      <c r="AC1247" s="2" t="s">
        <v>38</v>
      </c>
      <c r="AD1247" s="2" t="s">
        <v>38</v>
      </c>
      <c r="AE1247" s="2" t="s">
        <v>38</v>
      </c>
    </row>
    <row r="1248" spans="1:31" ht="409.5">
      <c r="A1248" s="2">
        <v>2607822</v>
      </c>
      <c r="B1248" s="2">
        <f>HYPERLINK("https://platform.v2.vetology.net/cases/2607822/screening-report/18?type=pdf&amp;v=v6&amp;scorecard=1&amp;secret_key=BX%25IJ%24%2F65ieZ%29f6", 2607822)</f>
        <v>2607822</v>
      </c>
      <c r="C1248" s="2">
        <f>HYPERLINK("https://platform.v2.vetology.net/report/v/final/"&amp;2607822, 2607822)</f>
        <v>2607822</v>
      </c>
      <c r="D1248" s="2" t="s">
        <v>3647</v>
      </c>
      <c r="E1248" s="2" t="s">
        <v>3648</v>
      </c>
      <c r="F1248" s="2" t="s">
        <v>3649</v>
      </c>
      <c r="G1248" s="2" t="s">
        <v>212</v>
      </c>
      <c r="H1248" s="2" t="s">
        <v>3650</v>
      </c>
      <c r="I1248" s="2" t="s">
        <v>1102</v>
      </c>
      <c r="J1248" s="2" t="s">
        <v>307</v>
      </c>
      <c r="K1248" s="2" t="s">
        <v>38</v>
      </c>
      <c r="L1248" s="2" t="s">
        <v>39</v>
      </c>
      <c r="M1248" s="2" t="s">
        <v>39</v>
      </c>
      <c r="N1248" s="2" t="s">
        <v>39</v>
      </c>
      <c r="O1248" s="2" t="s">
        <v>38</v>
      </c>
      <c r="P1248" s="2" t="s">
        <v>39</v>
      </c>
      <c r="Q1248" s="2" t="s">
        <v>38</v>
      </c>
      <c r="R1248" s="2" t="s">
        <v>38</v>
      </c>
      <c r="S1248" s="2" t="s">
        <v>38</v>
      </c>
      <c r="T1248" s="2" t="s">
        <v>38</v>
      </c>
      <c r="U1248" s="2" t="s">
        <v>38</v>
      </c>
      <c r="V1248" s="2" t="s">
        <v>38</v>
      </c>
      <c r="W1248" s="2" t="s">
        <v>38</v>
      </c>
      <c r="X1248" s="2" t="s">
        <v>38</v>
      </c>
      <c r="Y1248" s="2" t="s">
        <v>38</v>
      </c>
      <c r="Z1248" s="2" t="s">
        <v>38</v>
      </c>
      <c r="AA1248" s="2" t="s">
        <v>38</v>
      </c>
      <c r="AB1248" s="2" t="s">
        <v>39</v>
      </c>
      <c r="AC1248" s="2" t="s">
        <v>39</v>
      </c>
      <c r="AD1248" s="2" t="s">
        <v>38</v>
      </c>
      <c r="AE1248" s="2" t="s">
        <v>39</v>
      </c>
    </row>
    <row r="1249" spans="1:31" ht="409.5">
      <c r="A1249" s="2">
        <v>2607542</v>
      </c>
      <c r="B1249" s="2">
        <f>HYPERLINK("https://platform.v2.vetology.net/cases/2607542/screening-report/18?type=pdf&amp;v=v6&amp;scorecard=1&amp;secret_key=BX%25IJ%24%2F65ieZ%29f6", 2607542)</f>
        <v>2607542</v>
      </c>
      <c r="C1249" s="2">
        <f>HYPERLINK("https://platform.v2.vetology.net/report/v/final/"&amp;2607542, 2607542)</f>
        <v>2607542</v>
      </c>
      <c r="D1249" s="2" t="s">
        <v>3651</v>
      </c>
      <c r="E1249" s="2" t="s">
        <v>3652</v>
      </c>
      <c r="F1249" s="2" t="s">
        <v>3653</v>
      </c>
      <c r="G1249" s="2" t="s">
        <v>212</v>
      </c>
      <c r="H1249" s="2" t="s">
        <v>136</v>
      </c>
      <c r="I1249" s="2" t="s">
        <v>137</v>
      </c>
      <c r="J1249" s="2" t="s">
        <v>66</v>
      </c>
      <c r="K1249" s="2" t="s">
        <v>38</v>
      </c>
      <c r="L1249" s="2" t="s">
        <v>38</v>
      </c>
      <c r="M1249" s="2" t="s">
        <v>39</v>
      </c>
      <c r="N1249" s="2" t="s">
        <v>38</v>
      </c>
      <c r="O1249" s="2" t="s">
        <v>38</v>
      </c>
      <c r="P1249" s="2" t="s">
        <v>38</v>
      </c>
      <c r="Q1249" s="2" t="s">
        <v>38</v>
      </c>
      <c r="R1249" s="2" t="s">
        <v>38</v>
      </c>
      <c r="S1249" s="2" t="s">
        <v>38</v>
      </c>
      <c r="T1249" s="2" t="s">
        <v>38</v>
      </c>
      <c r="U1249" s="2" t="s">
        <v>38</v>
      </c>
      <c r="V1249" s="2" t="s">
        <v>38</v>
      </c>
      <c r="W1249" s="2" t="s">
        <v>38</v>
      </c>
      <c r="X1249" s="2" t="s">
        <v>38</v>
      </c>
      <c r="Y1249" s="2" t="s">
        <v>38</v>
      </c>
      <c r="Z1249" s="2" t="s">
        <v>38</v>
      </c>
      <c r="AA1249" s="2" t="s">
        <v>38</v>
      </c>
      <c r="AB1249" s="2" t="s">
        <v>39</v>
      </c>
      <c r="AC1249" s="2" t="s">
        <v>38</v>
      </c>
      <c r="AD1249" s="2" t="s">
        <v>38</v>
      </c>
      <c r="AE1249" s="2" t="s">
        <v>39</v>
      </c>
    </row>
    <row r="1250" spans="1:31" ht="409.5">
      <c r="A1250" s="2">
        <v>2607358</v>
      </c>
      <c r="B1250" s="2">
        <f>HYPERLINK("https://platform.v2.vetology.net/cases/2607358/screening-report/18?type=pdf&amp;v=v6&amp;scorecard=1&amp;secret_key=BX%25IJ%24%2F65ieZ%29f6", 2607358)</f>
        <v>2607358</v>
      </c>
      <c r="C1250" s="2">
        <f>HYPERLINK("https://platform.v2.vetology.net/report/v/final/"&amp;2607358, 2607358)</f>
        <v>2607358</v>
      </c>
      <c r="D1250" s="2" t="s">
        <v>3654</v>
      </c>
      <c r="E1250" s="2" t="s">
        <v>3655</v>
      </c>
      <c r="F1250" s="2" t="s">
        <v>3656</v>
      </c>
      <c r="G1250" s="2" t="s">
        <v>58</v>
      </c>
      <c r="H1250" s="2" t="s">
        <v>2742</v>
      </c>
      <c r="I1250" s="2" t="s">
        <v>89</v>
      </c>
      <c r="J1250" s="2" t="s">
        <v>66</v>
      </c>
      <c r="K1250" s="2" t="s">
        <v>38</v>
      </c>
      <c r="L1250" s="2" t="s">
        <v>38</v>
      </c>
      <c r="M1250" s="2" t="s">
        <v>38</v>
      </c>
      <c r="N1250" s="2" t="s">
        <v>38</v>
      </c>
      <c r="O1250" s="2" t="s">
        <v>38</v>
      </c>
      <c r="P1250" s="2" t="s">
        <v>38</v>
      </c>
      <c r="Q1250" s="2" t="s">
        <v>38</v>
      </c>
      <c r="R1250" s="2" t="s">
        <v>38</v>
      </c>
      <c r="S1250" s="2" t="s">
        <v>38</v>
      </c>
      <c r="T1250" s="2" t="s">
        <v>38</v>
      </c>
      <c r="U1250" s="2" t="s">
        <v>39</v>
      </c>
      <c r="V1250" s="2" t="s">
        <v>38</v>
      </c>
      <c r="W1250" s="2" t="s">
        <v>38</v>
      </c>
      <c r="X1250" s="2" t="s">
        <v>38</v>
      </c>
      <c r="Y1250" s="2" t="s">
        <v>38</v>
      </c>
      <c r="Z1250" s="2" t="s">
        <v>38</v>
      </c>
      <c r="AA1250" s="2" t="s">
        <v>38</v>
      </c>
      <c r="AB1250" s="2" t="s">
        <v>39</v>
      </c>
      <c r="AC1250" s="2" t="s">
        <v>38</v>
      </c>
      <c r="AD1250" s="2" t="s">
        <v>38</v>
      </c>
      <c r="AE1250" s="2" t="s">
        <v>39</v>
      </c>
    </row>
    <row r="1251" spans="1:31" ht="409.5">
      <c r="A1251" s="2">
        <v>2607125</v>
      </c>
      <c r="B1251" s="2">
        <f>HYPERLINK("https://platform.v2.vetology.net/cases/2607125/screening-report/18?type=pdf&amp;v=v6&amp;scorecard=1&amp;secret_key=BX%25IJ%24%2F65ieZ%29f6", 2607125)</f>
        <v>2607125</v>
      </c>
      <c r="C1251" s="2">
        <f>HYPERLINK("https://platform.v2.vetology.net/report/v/final/"&amp;2607125, 2607125)</f>
        <v>2607125</v>
      </c>
      <c r="D1251" s="2" t="s">
        <v>1738</v>
      </c>
      <c r="E1251" s="2" t="s">
        <v>728</v>
      </c>
      <c r="F1251" s="2" t="s">
        <v>1193</v>
      </c>
      <c r="G1251" s="2" t="s">
        <v>135</v>
      </c>
      <c r="H1251" s="2" t="s">
        <v>3657</v>
      </c>
      <c r="I1251" s="2" t="s">
        <v>306</v>
      </c>
      <c r="J1251" s="2" t="s">
        <v>307</v>
      </c>
      <c r="K1251" s="2" t="s">
        <v>38</v>
      </c>
      <c r="L1251" s="2" t="s">
        <v>38</v>
      </c>
      <c r="M1251" s="2" t="s">
        <v>39</v>
      </c>
      <c r="N1251" s="2" t="s">
        <v>39</v>
      </c>
      <c r="O1251" s="2" t="s">
        <v>39</v>
      </c>
      <c r="P1251" s="2" t="s">
        <v>39</v>
      </c>
      <c r="Q1251" s="2" t="s">
        <v>38</v>
      </c>
      <c r="R1251" s="2" t="s">
        <v>38</v>
      </c>
      <c r="S1251" s="2" t="s">
        <v>38</v>
      </c>
      <c r="T1251" s="2" t="s">
        <v>38</v>
      </c>
      <c r="U1251" s="2" t="s">
        <v>38</v>
      </c>
      <c r="V1251" s="2" t="s">
        <v>38</v>
      </c>
      <c r="W1251" s="2" t="s">
        <v>38</v>
      </c>
      <c r="X1251" s="2" t="s">
        <v>38</v>
      </c>
      <c r="Y1251" s="2" t="s">
        <v>38</v>
      </c>
      <c r="Z1251" s="2" t="s">
        <v>38</v>
      </c>
      <c r="AA1251" s="2" t="s">
        <v>38</v>
      </c>
      <c r="AB1251" s="2" t="s">
        <v>38</v>
      </c>
      <c r="AC1251" s="2" t="s">
        <v>38</v>
      </c>
      <c r="AD1251" s="2" t="s">
        <v>38</v>
      </c>
      <c r="AE1251" s="2" t="s">
        <v>38</v>
      </c>
    </row>
    <row r="1252" spans="1:31" ht="409.5">
      <c r="A1252" s="2">
        <v>2606860</v>
      </c>
      <c r="B1252" s="2">
        <f>HYPERLINK("https://platform.v2.vetology.net/cases/2606860/screening-report/18?type=pdf&amp;v=v6&amp;scorecard=1&amp;secret_key=BX%25IJ%24%2F65ieZ%29f6", 2606860)</f>
        <v>2606860</v>
      </c>
      <c r="C1252" s="2">
        <f>HYPERLINK("https://platform.v2.vetology.net/report/v/final/"&amp;2606860, 2606860)</f>
        <v>2606860</v>
      </c>
      <c r="D1252" s="2" t="s">
        <v>3658</v>
      </c>
      <c r="E1252" s="2" t="s">
        <v>3659</v>
      </c>
      <c r="F1252" s="2" t="s">
        <v>3660</v>
      </c>
      <c r="G1252" s="2" t="s">
        <v>63</v>
      </c>
      <c r="H1252" s="2" t="s">
        <v>54</v>
      </c>
      <c r="I1252" s="2" t="s">
        <v>44</v>
      </c>
      <c r="J1252" s="2"/>
      <c r="K1252" s="2" t="s">
        <v>38</v>
      </c>
      <c r="L1252" s="2" t="s">
        <v>38</v>
      </c>
      <c r="M1252" s="2" t="s">
        <v>38</v>
      </c>
      <c r="N1252" s="2" t="s">
        <v>38</v>
      </c>
      <c r="O1252" s="2" t="s">
        <v>38</v>
      </c>
      <c r="P1252" s="2" t="s">
        <v>38</v>
      </c>
      <c r="Q1252" s="2" t="s">
        <v>38</v>
      </c>
      <c r="R1252" s="2" t="s">
        <v>38</v>
      </c>
      <c r="S1252" s="2" t="s">
        <v>39</v>
      </c>
      <c r="T1252" s="2" t="s">
        <v>39</v>
      </c>
      <c r="U1252" s="2" t="s">
        <v>38</v>
      </c>
      <c r="V1252" s="2" t="s">
        <v>39</v>
      </c>
      <c r="W1252" s="2" t="s">
        <v>38</v>
      </c>
      <c r="X1252" s="2" t="s">
        <v>39</v>
      </c>
      <c r="Y1252" s="2" t="s">
        <v>38</v>
      </c>
      <c r="Z1252" s="2" t="s">
        <v>38</v>
      </c>
      <c r="AA1252" s="2" t="s">
        <v>38</v>
      </c>
      <c r="AB1252" s="2" t="s">
        <v>38</v>
      </c>
      <c r="AC1252" s="2" t="s">
        <v>38</v>
      </c>
      <c r="AD1252" s="2" t="s">
        <v>38</v>
      </c>
      <c r="AE1252" s="2" t="s">
        <v>38</v>
      </c>
    </row>
    <row r="1253" spans="1:31" ht="409.5">
      <c r="A1253" s="2">
        <v>2606808</v>
      </c>
      <c r="B1253" s="2">
        <f>HYPERLINK("https://platform.v2.vetology.net/cases/2606808/screening-report/18?type=pdf&amp;v=v6&amp;scorecard=1&amp;secret_key=BX%25IJ%24%2F65ieZ%29f6", 2606808)</f>
        <v>2606808</v>
      </c>
      <c r="C1253" s="2">
        <f>HYPERLINK("https://platform.v2.vetology.net/report/v/final/"&amp;2606808, 2606808)</f>
        <v>2606808</v>
      </c>
      <c r="D1253" s="2" t="s">
        <v>3661</v>
      </c>
      <c r="E1253" s="2" t="s">
        <v>3662</v>
      </c>
      <c r="F1253" s="2" t="s">
        <v>3663</v>
      </c>
      <c r="G1253" s="2" t="s">
        <v>575</v>
      </c>
      <c r="H1253" s="2" t="s">
        <v>218</v>
      </c>
      <c r="I1253" s="2" t="s">
        <v>137</v>
      </c>
      <c r="J1253" s="2" t="s">
        <v>66</v>
      </c>
      <c r="K1253" s="2" t="s">
        <v>38</v>
      </c>
      <c r="L1253" s="2" t="s">
        <v>39</v>
      </c>
      <c r="M1253" s="2" t="s">
        <v>39</v>
      </c>
      <c r="N1253" s="2" t="s">
        <v>39</v>
      </c>
      <c r="O1253" s="2" t="s">
        <v>38</v>
      </c>
      <c r="P1253" s="2" t="s">
        <v>39</v>
      </c>
      <c r="Q1253" s="2" t="s">
        <v>39</v>
      </c>
      <c r="R1253" s="2" t="s">
        <v>38</v>
      </c>
      <c r="S1253" s="2" t="s">
        <v>38</v>
      </c>
      <c r="T1253" s="2" t="s">
        <v>38</v>
      </c>
      <c r="U1253" s="2" t="s">
        <v>38</v>
      </c>
      <c r="V1253" s="2" t="s">
        <v>39</v>
      </c>
      <c r="W1253" s="2" t="s">
        <v>38</v>
      </c>
      <c r="X1253" s="2" t="s">
        <v>39</v>
      </c>
      <c r="Y1253" s="2" t="s">
        <v>38</v>
      </c>
      <c r="Z1253" s="2" t="s">
        <v>39</v>
      </c>
      <c r="AA1253" s="2" t="s">
        <v>38</v>
      </c>
      <c r="AB1253" s="2" t="s">
        <v>39</v>
      </c>
      <c r="AC1253" s="2" t="s">
        <v>39</v>
      </c>
      <c r="AD1253" s="2" t="s">
        <v>38</v>
      </c>
      <c r="AE1253" s="2" t="s">
        <v>39</v>
      </c>
    </row>
    <row r="1254" spans="1:31" ht="409.5">
      <c r="A1254" s="2">
        <v>2606543</v>
      </c>
      <c r="B1254" s="2">
        <f>HYPERLINK("https://platform.v2.vetology.net/cases/2606543/screening-report/18?type=pdf&amp;v=v6&amp;scorecard=1&amp;secret_key=BX%25IJ%24%2F65ieZ%29f6", 2606543)</f>
        <v>2606543</v>
      </c>
      <c r="C1254" s="2">
        <f>HYPERLINK("https://platform.v2.vetology.net/report/v/final/"&amp;2606543, 2606543)</f>
        <v>2606543</v>
      </c>
      <c r="D1254" s="2" t="s">
        <v>3664</v>
      </c>
      <c r="E1254" s="2" t="s">
        <v>3665</v>
      </c>
      <c r="F1254" s="2" t="s">
        <v>81</v>
      </c>
      <c r="G1254" s="2" t="s">
        <v>268</v>
      </c>
      <c r="H1254" s="2" t="s">
        <v>88</v>
      </c>
      <c r="I1254" s="2" t="s">
        <v>89</v>
      </c>
      <c r="J1254" s="2" t="s">
        <v>66</v>
      </c>
      <c r="K1254" s="2" t="s">
        <v>38</v>
      </c>
      <c r="L1254" s="2" t="s">
        <v>38</v>
      </c>
      <c r="M1254" s="2" t="s">
        <v>38</v>
      </c>
      <c r="N1254" s="2" t="s">
        <v>38</v>
      </c>
      <c r="O1254" s="2" t="s">
        <v>38</v>
      </c>
      <c r="P1254" s="2" t="s">
        <v>38</v>
      </c>
      <c r="Q1254" s="2" t="s">
        <v>38</v>
      </c>
      <c r="R1254" s="2" t="s">
        <v>38</v>
      </c>
      <c r="S1254" s="2" t="s">
        <v>38</v>
      </c>
      <c r="T1254" s="2" t="s">
        <v>39</v>
      </c>
      <c r="U1254" s="2" t="s">
        <v>38</v>
      </c>
      <c r="V1254" s="2" t="s">
        <v>38</v>
      </c>
      <c r="W1254" s="2" t="s">
        <v>38</v>
      </c>
      <c r="X1254" s="2" t="s">
        <v>39</v>
      </c>
      <c r="Y1254" s="2" t="s">
        <v>38</v>
      </c>
      <c r="Z1254" s="2" t="s">
        <v>38</v>
      </c>
      <c r="AA1254" s="2" t="s">
        <v>38</v>
      </c>
      <c r="AB1254" s="2" t="s">
        <v>38</v>
      </c>
      <c r="AC1254" s="2" t="s">
        <v>38</v>
      </c>
      <c r="AD1254" s="2" t="s">
        <v>38</v>
      </c>
      <c r="AE1254" s="2" t="s">
        <v>39</v>
      </c>
    </row>
    <row r="1255" spans="1:31" ht="409.5">
      <c r="A1255" s="2">
        <v>2606535</v>
      </c>
      <c r="B1255" s="2">
        <f>HYPERLINK("https://platform.v2.vetology.net/cases/2606535/screening-report/18?type=pdf&amp;v=v6&amp;scorecard=1&amp;secret_key=BX%25IJ%24%2F65ieZ%29f6", 2606535)</f>
        <v>2606535</v>
      </c>
      <c r="C1255" s="2">
        <f>HYPERLINK("https://platform.v2.vetology.net/report/v/final/"&amp;2606535, 2606535)</f>
        <v>2606535</v>
      </c>
      <c r="D1255" s="2" t="s">
        <v>3666</v>
      </c>
      <c r="E1255" s="2" t="s">
        <v>3667</v>
      </c>
      <c r="F1255" s="2" t="s">
        <v>2941</v>
      </c>
      <c r="G1255" s="2" t="s">
        <v>58</v>
      </c>
      <c r="H1255" s="2" t="s">
        <v>136</v>
      </c>
      <c r="I1255" s="2" t="s">
        <v>137</v>
      </c>
      <c r="J1255" s="2" t="s">
        <v>66</v>
      </c>
      <c r="K1255" s="2" t="s">
        <v>38</v>
      </c>
      <c r="L1255" s="2" t="s">
        <v>39</v>
      </c>
      <c r="M1255" s="2" t="s">
        <v>39</v>
      </c>
      <c r="N1255" s="2" t="s">
        <v>38</v>
      </c>
      <c r="O1255" s="2" t="s">
        <v>38</v>
      </c>
      <c r="P1255" s="2" t="s">
        <v>38</v>
      </c>
      <c r="Q1255" s="2" t="s">
        <v>38</v>
      </c>
      <c r="R1255" s="2" t="s">
        <v>38</v>
      </c>
      <c r="S1255" s="2" t="s">
        <v>38</v>
      </c>
      <c r="T1255" s="2" t="s">
        <v>39</v>
      </c>
      <c r="U1255" s="2" t="s">
        <v>38</v>
      </c>
      <c r="V1255" s="2" t="s">
        <v>39</v>
      </c>
      <c r="W1255" s="2" t="s">
        <v>38</v>
      </c>
      <c r="X1255" s="2" t="s">
        <v>39</v>
      </c>
      <c r="Y1255" s="2" t="s">
        <v>38</v>
      </c>
      <c r="Z1255" s="2" t="s">
        <v>38</v>
      </c>
      <c r="AA1255" s="2" t="s">
        <v>38</v>
      </c>
      <c r="AB1255" s="2" t="s">
        <v>39</v>
      </c>
      <c r="AC1255" s="2" t="s">
        <v>38</v>
      </c>
      <c r="AD1255" s="2" t="s">
        <v>38</v>
      </c>
      <c r="AE1255" s="2" t="s">
        <v>39</v>
      </c>
    </row>
    <row r="1256" spans="1:31" ht="409.5">
      <c r="A1256" s="2">
        <v>2606529</v>
      </c>
      <c r="B1256" s="2">
        <f>HYPERLINK("https://platform.v2.vetology.net/cases/2606529/screening-report/18?type=pdf&amp;v=v6&amp;scorecard=1&amp;secret_key=BX%25IJ%24%2F65ieZ%29f6", 2606529)</f>
        <v>2606529</v>
      </c>
      <c r="C1256" s="2">
        <f>HYPERLINK("https://platform.v2.vetology.net/report/v/final/"&amp;2606529, 2606529)</f>
        <v>2606529</v>
      </c>
      <c r="D1256" s="2" t="s">
        <v>3668</v>
      </c>
      <c r="E1256" s="2" t="s">
        <v>3669</v>
      </c>
      <c r="F1256" s="2" t="s">
        <v>81</v>
      </c>
      <c r="G1256" s="2" t="s">
        <v>82</v>
      </c>
      <c r="H1256" s="2" t="s">
        <v>43</v>
      </c>
      <c r="I1256" s="2" t="s">
        <v>44</v>
      </c>
      <c r="J1256" s="2"/>
      <c r="K1256" s="2" t="s">
        <v>38</v>
      </c>
      <c r="L1256" s="2" t="s">
        <v>39</v>
      </c>
      <c r="M1256" s="2" t="s">
        <v>39</v>
      </c>
      <c r="N1256" s="2" t="s">
        <v>38</v>
      </c>
      <c r="O1256" s="2" t="s">
        <v>38</v>
      </c>
      <c r="P1256" s="2" t="s">
        <v>38</v>
      </c>
      <c r="Q1256" s="2" t="s">
        <v>38</v>
      </c>
      <c r="R1256" s="2" t="s">
        <v>38</v>
      </c>
      <c r="S1256" s="2" t="s">
        <v>38</v>
      </c>
      <c r="T1256" s="2" t="s">
        <v>39</v>
      </c>
      <c r="U1256" s="2" t="s">
        <v>38</v>
      </c>
      <c r="V1256" s="2" t="s">
        <v>39</v>
      </c>
      <c r="W1256" s="2" t="s">
        <v>38</v>
      </c>
      <c r="X1256" s="2" t="s">
        <v>38</v>
      </c>
      <c r="Y1256" s="2" t="s">
        <v>38</v>
      </c>
      <c r="Z1256" s="2" t="s">
        <v>38</v>
      </c>
      <c r="AA1256" s="2" t="s">
        <v>38</v>
      </c>
      <c r="AB1256" s="2" t="s">
        <v>38</v>
      </c>
      <c r="AC1256" s="2" t="s">
        <v>38</v>
      </c>
      <c r="AD1256" s="2" t="s">
        <v>38</v>
      </c>
      <c r="AE1256" s="2" t="s">
        <v>38</v>
      </c>
    </row>
    <row r="1257" spans="1:31" ht="409.5">
      <c r="A1257" s="2">
        <v>2606464</v>
      </c>
      <c r="B1257" s="2">
        <f>HYPERLINK("https://platform.v2.vetology.net/cases/2606464/screening-report/18?type=pdf&amp;v=v6&amp;scorecard=1&amp;secret_key=BX%25IJ%24%2F65ieZ%29f6", 2606464)</f>
        <v>2606464</v>
      </c>
      <c r="C1257" s="2">
        <f>HYPERLINK("https://platform.v2.vetology.net/report/v/final/"&amp;2606464, 2606464)</f>
        <v>2606464</v>
      </c>
      <c r="D1257" s="2" t="s">
        <v>229</v>
      </c>
      <c r="E1257" s="2" t="s">
        <v>148</v>
      </c>
      <c r="F1257" s="2" t="s">
        <v>149</v>
      </c>
      <c r="G1257" s="2" t="s">
        <v>150</v>
      </c>
      <c r="H1257" s="2" t="s">
        <v>54</v>
      </c>
      <c r="I1257" s="2" t="s">
        <v>44</v>
      </c>
      <c r="J1257" s="2"/>
      <c r="K1257" s="2" t="s">
        <v>38</v>
      </c>
      <c r="L1257" s="2" t="s">
        <v>39</v>
      </c>
      <c r="M1257" s="2" t="s">
        <v>38</v>
      </c>
      <c r="N1257" s="2" t="s">
        <v>38</v>
      </c>
      <c r="O1257" s="2" t="s">
        <v>38</v>
      </c>
      <c r="P1257" s="2" t="s">
        <v>38</v>
      </c>
      <c r="Q1257" s="2" t="s">
        <v>38</v>
      </c>
      <c r="R1257" s="2" t="s">
        <v>38</v>
      </c>
      <c r="S1257" s="2" t="s">
        <v>38</v>
      </c>
      <c r="T1257" s="2" t="s">
        <v>38</v>
      </c>
      <c r="U1257" s="2" t="s">
        <v>38</v>
      </c>
      <c r="V1257" s="2" t="s">
        <v>38</v>
      </c>
      <c r="W1257" s="2" t="s">
        <v>38</v>
      </c>
      <c r="X1257" s="2" t="s">
        <v>38</v>
      </c>
      <c r="Y1257" s="2" t="s">
        <v>38</v>
      </c>
      <c r="Z1257" s="2" t="s">
        <v>39</v>
      </c>
      <c r="AA1257" s="2" t="s">
        <v>38</v>
      </c>
      <c r="AB1257" s="2" t="s">
        <v>38</v>
      </c>
      <c r="AC1257" s="2" t="s">
        <v>38</v>
      </c>
      <c r="AD1257" s="2" t="s">
        <v>38</v>
      </c>
      <c r="AE1257" s="2" t="s">
        <v>39</v>
      </c>
    </row>
    <row r="1258" spans="1:31" ht="409.5">
      <c r="A1258" s="2">
        <v>2606286</v>
      </c>
      <c r="B1258" s="2">
        <f>HYPERLINK("https://platform.v2.vetology.net/cases/2606286/screening-report/18?type=pdf&amp;v=v6&amp;scorecard=1&amp;secret_key=BX%25IJ%24%2F65ieZ%29f6", 2606286)</f>
        <v>2606286</v>
      </c>
      <c r="C1258" s="2">
        <f>HYPERLINK("https://platform.v2.vetology.net/report/v/final/"&amp;2606286, 2606286)</f>
        <v>2606286</v>
      </c>
      <c r="D1258" s="2" t="s">
        <v>3670</v>
      </c>
      <c r="E1258" s="2" t="s">
        <v>3671</v>
      </c>
      <c r="F1258" s="2" t="s">
        <v>81</v>
      </c>
      <c r="G1258" s="2" t="s">
        <v>82</v>
      </c>
      <c r="H1258" s="2" t="s">
        <v>2555</v>
      </c>
      <c r="I1258" s="2" t="s">
        <v>36</v>
      </c>
      <c r="J1258" s="2" t="s">
        <v>37</v>
      </c>
      <c r="K1258" s="2" t="s">
        <v>38</v>
      </c>
      <c r="L1258" s="2" t="s">
        <v>38</v>
      </c>
      <c r="M1258" s="2" t="s">
        <v>39</v>
      </c>
      <c r="N1258" s="2" t="s">
        <v>38</v>
      </c>
      <c r="O1258" s="2" t="s">
        <v>38</v>
      </c>
      <c r="P1258" s="2" t="s">
        <v>38</v>
      </c>
      <c r="Q1258" s="2" t="s">
        <v>38</v>
      </c>
      <c r="R1258" s="2" t="s">
        <v>38</v>
      </c>
      <c r="S1258" s="2" t="s">
        <v>38</v>
      </c>
      <c r="T1258" s="2" t="s">
        <v>39</v>
      </c>
      <c r="U1258" s="2" t="s">
        <v>38</v>
      </c>
      <c r="V1258" s="2" t="s">
        <v>39</v>
      </c>
      <c r="W1258" s="2" t="s">
        <v>38</v>
      </c>
      <c r="X1258" s="2" t="s">
        <v>39</v>
      </c>
      <c r="Y1258" s="2" t="s">
        <v>38</v>
      </c>
      <c r="Z1258" s="2" t="s">
        <v>38</v>
      </c>
      <c r="AA1258" s="2" t="s">
        <v>38</v>
      </c>
      <c r="AB1258" s="2" t="s">
        <v>38</v>
      </c>
      <c r="AC1258" s="2" t="s">
        <v>38</v>
      </c>
      <c r="AD1258" s="2" t="s">
        <v>38</v>
      </c>
      <c r="AE1258" s="2" t="s">
        <v>39</v>
      </c>
    </row>
    <row r="1259" spans="1:31" ht="409.5">
      <c r="A1259" s="2">
        <v>2606200</v>
      </c>
      <c r="B1259" s="2">
        <f>HYPERLINK("https://platform.v2.vetology.net/cases/2606200/screening-report/18?type=pdf&amp;v=v6&amp;scorecard=1&amp;secret_key=BX%25IJ%24%2F65ieZ%29f6", 2606200)</f>
        <v>2606200</v>
      </c>
      <c r="C1259" s="2">
        <f>HYPERLINK("https://platform.v2.vetology.net/report/v/final/"&amp;2606200, 2606200)</f>
        <v>2606200</v>
      </c>
      <c r="D1259" s="2" t="s">
        <v>3672</v>
      </c>
      <c r="E1259" s="2" t="s">
        <v>3673</v>
      </c>
      <c r="F1259" s="2" t="s">
        <v>3674</v>
      </c>
      <c r="G1259" s="2" t="s">
        <v>464</v>
      </c>
      <c r="H1259" s="2" t="s">
        <v>54</v>
      </c>
      <c r="I1259" s="2" t="s">
        <v>44</v>
      </c>
      <c r="J1259" s="2"/>
      <c r="K1259" s="2" t="s">
        <v>38</v>
      </c>
      <c r="L1259" s="2" t="s">
        <v>39</v>
      </c>
      <c r="M1259" s="2" t="s">
        <v>38</v>
      </c>
      <c r="N1259" s="2" t="s">
        <v>38</v>
      </c>
      <c r="O1259" s="2" t="s">
        <v>38</v>
      </c>
      <c r="P1259" s="2" t="s">
        <v>38</v>
      </c>
      <c r="Q1259" s="2" t="s">
        <v>38</v>
      </c>
      <c r="R1259" s="2" t="s">
        <v>38</v>
      </c>
      <c r="S1259" s="2" t="s">
        <v>38</v>
      </c>
      <c r="T1259" s="2" t="s">
        <v>38</v>
      </c>
      <c r="U1259" s="2" t="s">
        <v>38</v>
      </c>
      <c r="V1259" s="2" t="s">
        <v>38</v>
      </c>
      <c r="W1259" s="2" t="s">
        <v>38</v>
      </c>
      <c r="X1259" s="2" t="s">
        <v>38</v>
      </c>
      <c r="Y1259" s="2" t="s">
        <v>38</v>
      </c>
      <c r="Z1259" s="2" t="s">
        <v>38</v>
      </c>
      <c r="AA1259" s="2" t="s">
        <v>38</v>
      </c>
      <c r="AB1259" s="2" t="s">
        <v>38</v>
      </c>
      <c r="AC1259" s="2" t="s">
        <v>38</v>
      </c>
      <c r="AD1259" s="2" t="s">
        <v>38</v>
      </c>
      <c r="AE1259" s="2" t="s">
        <v>38</v>
      </c>
    </row>
    <row r="1260" spans="1:31" ht="409.5">
      <c r="A1260" s="2">
        <v>2606198</v>
      </c>
      <c r="B1260" s="2">
        <f>HYPERLINK("https://platform.v2.vetology.net/cases/2606198/screening-report/18?type=pdf&amp;v=v6&amp;scorecard=1&amp;secret_key=BX%25IJ%24%2F65ieZ%29f6", 2606198)</f>
        <v>2606198</v>
      </c>
      <c r="C1260" s="2">
        <f>HYPERLINK("https://platform.v2.vetology.net/report/v/final/"&amp;2606198, 2606198)</f>
        <v>2606198</v>
      </c>
      <c r="D1260" s="2" t="s">
        <v>3675</v>
      </c>
      <c r="E1260" s="2" t="s">
        <v>3676</v>
      </c>
      <c r="F1260" s="2" t="s">
        <v>3677</v>
      </c>
      <c r="G1260" s="2" t="s">
        <v>464</v>
      </c>
      <c r="H1260" s="2" t="s">
        <v>54</v>
      </c>
      <c r="I1260" s="2" t="s">
        <v>44</v>
      </c>
      <c r="J1260" s="2"/>
      <c r="K1260" s="2" t="s">
        <v>38</v>
      </c>
      <c r="L1260" s="2" t="s">
        <v>38</v>
      </c>
      <c r="M1260" s="2" t="s">
        <v>38</v>
      </c>
      <c r="N1260" s="2" t="s">
        <v>38</v>
      </c>
      <c r="O1260" s="2" t="s">
        <v>38</v>
      </c>
      <c r="P1260" s="2" t="s">
        <v>38</v>
      </c>
      <c r="Q1260" s="2" t="s">
        <v>38</v>
      </c>
      <c r="R1260" s="2" t="s">
        <v>38</v>
      </c>
      <c r="S1260" s="2" t="s">
        <v>38</v>
      </c>
      <c r="T1260" s="2" t="s">
        <v>38</v>
      </c>
      <c r="U1260" s="2" t="s">
        <v>38</v>
      </c>
      <c r="V1260" s="2" t="s">
        <v>38</v>
      </c>
      <c r="W1260" s="2" t="s">
        <v>38</v>
      </c>
      <c r="X1260" s="2" t="s">
        <v>38</v>
      </c>
      <c r="Y1260" s="2" t="s">
        <v>38</v>
      </c>
      <c r="Z1260" s="2" t="s">
        <v>38</v>
      </c>
      <c r="AA1260" s="2" t="s">
        <v>38</v>
      </c>
      <c r="AB1260" s="2" t="s">
        <v>38</v>
      </c>
      <c r="AC1260" s="2" t="s">
        <v>38</v>
      </c>
      <c r="AD1260" s="2" t="s">
        <v>38</v>
      </c>
      <c r="AE1260" s="2" t="s">
        <v>38</v>
      </c>
    </row>
    <row r="1261" spans="1:31" ht="409.5">
      <c r="A1261" s="2">
        <v>2606183</v>
      </c>
      <c r="B1261" s="2">
        <f>HYPERLINK("https://platform.v2.vetology.net/cases/2606183/screening-report/18?type=pdf&amp;v=v6&amp;scorecard=1&amp;secret_key=BX%25IJ%24%2F65ieZ%29f6", 2606183)</f>
        <v>2606183</v>
      </c>
      <c r="C1261" s="2">
        <f>HYPERLINK("https://platform.v2.vetology.net/report/v/final/"&amp;2606183, 2606183)</f>
        <v>2606183</v>
      </c>
      <c r="D1261" s="2" t="s">
        <v>3678</v>
      </c>
      <c r="E1261" s="2" t="s">
        <v>3679</v>
      </c>
      <c r="F1261" s="2" t="s">
        <v>81</v>
      </c>
      <c r="G1261" s="2" t="s">
        <v>82</v>
      </c>
      <c r="H1261" s="2" t="s">
        <v>613</v>
      </c>
      <c r="I1261" s="2" t="s">
        <v>418</v>
      </c>
      <c r="J1261" s="2" t="s">
        <v>419</v>
      </c>
      <c r="K1261" s="2" t="s">
        <v>38</v>
      </c>
      <c r="L1261" s="2" t="s">
        <v>39</v>
      </c>
      <c r="M1261" s="2" t="s">
        <v>39</v>
      </c>
      <c r="N1261" s="2" t="s">
        <v>38</v>
      </c>
      <c r="O1261" s="2" t="s">
        <v>38</v>
      </c>
      <c r="P1261" s="2" t="s">
        <v>39</v>
      </c>
      <c r="Q1261" s="2" t="s">
        <v>38</v>
      </c>
      <c r="R1261" s="2" t="s">
        <v>38</v>
      </c>
      <c r="S1261" s="2" t="s">
        <v>38</v>
      </c>
      <c r="T1261" s="2" t="s">
        <v>39</v>
      </c>
      <c r="U1261" s="2" t="s">
        <v>38</v>
      </c>
      <c r="V1261" s="2" t="s">
        <v>39</v>
      </c>
      <c r="W1261" s="2" t="s">
        <v>38</v>
      </c>
      <c r="X1261" s="2" t="s">
        <v>39</v>
      </c>
      <c r="Y1261" s="2" t="s">
        <v>38</v>
      </c>
      <c r="Z1261" s="2" t="s">
        <v>38</v>
      </c>
      <c r="AA1261" s="2" t="s">
        <v>38</v>
      </c>
      <c r="AB1261" s="2" t="s">
        <v>39</v>
      </c>
      <c r="AC1261" s="2" t="s">
        <v>39</v>
      </c>
      <c r="AD1261" s="2" t="s">
        <v>38</v>
      </c>
      <c r="AE1261" s="2" t="s">
        <v>39</v>
      </c>
    </row>
    <row r="1262" spans="1:31" ht="409.5">
      <c r="A1262" s="2">
        <v>2606164</v>
      </c>
      <c r="B1262" s="2">
        <f>HYPERLINK("https://platform.v2.vetology.net/cases/2606164/screening-report/18?type=pdf&amp;v=v6&amp;scorecard=1&amp;secret_key=BX%25IJ%24%2F65ieZ%29f6", 2606164)</f>
        <v>2606164</v>
      </c>
      <c r="C1262" s="2">
        <f>HYPERLINK("https://platform.v2.vetology.net/report/v/final/"&amp;2606164, 2606164)</f>
        <v>2606164</v>
      </c>
      <c r="D1262" s="2" t="s">
        <v>3680</v>
      </c>
      <c r="E1262" s="2" t="s">
        <v>429</v>
      </c>
      <c r="F1262" s="2" t="s">
        <v>81</v>
      </c>
      <c r="G1262" s="2" t="s">
        <v>82</v>
      </c>
      <c r="H1262" s="2" t="s">
        <v>54</v>
      </c>
      <c r="I1262" s="2" t="s">
        <v>44</v>
      </c>
      <c r="J1262" s="2" t="s">
        <v>106</v>
      </c>
      <c r="K1262" s="2" t="s">
        <v>38</v>
      </c>
      <c r="L1262" s="2" t="s">
        <v>39</v>
      </c>
      <c r="M1262" s="2" t="s">
        <v>38</v>
      </c>
      <c r="N1262" s="2" t="s">
        <v>38</v>
      </c>
      <c r="O1262" s="2" t="s">
        <v>38</v>
      </c>
      <c r="P1262" s="2" t="s">
        <v>38</v>
      </c>
      <c r="Q1262" s="2" t="s">
        <v>38</v>
      </c>
      <c r="R1262" s="2" t="s">
        <v>38</v>
      </c>
      <c r="S1262" s="2" t="s">
        <v>38</v>
      </c>
      <c r="T1262" s="2" t="s">
        <v>38</v>
      </c>
      <c r="U1262" s="2" t="s">
        <v>38</v>
      </c>
      <c r="V1262" s="2" t="s">
        <v>38</v>
      </c>
      <c r="W1262" s="2" t="s">
        <v>38</v>
      </c>
      <c r="X1262" s="2" t="s">
        <v>38</v>
      </c>
      <c r="Y1262" s="2" t="s">
        <v>38</v>
      </c>
      <c r="Z1262" s="2" t="s">
        <v>38</v>
      </c>
      <c r="AA1262" s="2" t="s">
        <v>38</v>
      </c>
      <c r="AB1262" s="2" t="s">
        <v>38</v>
      </c>
      <c r="AC1262" s="2" t="s">
        <v>38</v>
      </c>
      <c r="AD1262" s="2" t="s">
        <v>38</v>
      </c>
      <c r="AE1262" s="2" t="s">
        <v>38</v>
      </c>
    </row>
    <row r="1263" spans="1:31" ht="409.5">
      <c r="A1263" s="2">
        <v>2606156</v>
      </c>
      <c r="B1263" s="2">
        <f>HYPERLINK("https://platform.v2.vetology.net/cases/2606156/screening-report/18?type=pdf&amp;v=v6&amp;scorecard=1&amp;secret_key=BX%25IJ%24%2F65ieZ%29f6", 2606156)</f>
        <v>2606156</v>
      </c>
      <c r="C1263" s="2">
        <f>HYPERLINK("https://platform.v2.vetology.net/report/v/final/"&amp;2606156, 2606156)</f>
        <v>2606156</v>
      </c>
      <c r="D1263" s="2" t="s">
        <v>3681</v>
      </c>
      <c r="E1263" s="2" t="s">
        <v>3682</v>
      </c>
      <c r="F1263" s="2" t="s">
        <v>3683</v>
      </c>
      <c r="G1263" s="2" t="s">
        <v>58</v>
      </c>
      <c r="H1263" s="2" t="s">
        <v>94</v>
      </c>
      <c r="I1263" s="2" t="s">
        <v>89</v>
      </c>
      <c r="J1263" s="2" t="s">
        <v>66</v>
      </c>
      <c r="K1263" s="2" t="s">
        <v>38</v>
      </c>
      <c r="L1263" s="2" t="s">
        <v>38</v>
      </c>
      <c r="M1263" s="2" t="s">
        <v>39</v>
      </c>
      <c r="N1263" s="2" t="s">
        <v>38</v>
      </c>
      <c r="O1263" s="2" t="s">
        <v>38</v>
      </c>
      <c r="P1263" s="2" t="s">
        <v>38</v>
      </c>
      <c r="Q1263" s="2" t="s">
        <v>38</v>
      </c>
      <c r="R1263" s="2" t="s">
        <v>38</v>
      </c>
      <c r="S1263" s="2" t="s">
        <v>38</v>
      </c>
      <c r="T1263" s="2" t="s">
        <v>38</v>
      </c>
      <c r="U1263" s="2" t="s">
        <v>38</v>
      </c>
      <c r="V1263" s="2" t="s">
        <v>38</v>
      </c>
      <c r="W1263" s="2" t="s">
        <v>38</v>
      </c>
      <c r="X1263" s="2" t="s">
        <v>38</v>
      </c>
      <c r="Y1263" s="2" t="s">
        <v>38</v>
      </c>
      <c r="Z1263" s="2" t="s">
        <v>38</v>
      </c>
      <c r="AA1263" s="2" t="s">
        <v>38</v>
      </c>
      <c r="AB1263" s="2" t="s">
        <v>39</v>
      </c>
      <c r="AC1263" s="2" t="s">
        <v>38</v>
      </c>
      <c r="AD1263" s="2" t="s">
        <v>38</v>
      </c>
      <c r="AE1263" s="2" t="s">
        <v>39</v>
      </c>
    </row>
    <row r="1264" spans="1:31" ht="409.5">
      <c r="A1264" s="2">
        <v>2605640</v>
      </c>
      <c r="B1264" s="2">
        <f>HYPERLINK("https://platform.v2.vetology.net/cases/2605640/screening-report/18?type=pdf&amp;v=v6&amp;scorecard=1&amp;secret_key=BX%25IJ%24%2F65ieZ%29f6", 2605640)</f>
        <v>2605640</v>
      </c>
      <c r="C1264" s="2">
        <f>HYPERLINK("https://platform.v2.vetology.net/report/v/final/"&amp;2605640, 2605640)</f>
        <v>2605640</v>
      </c>
      <c r="D1264" s="2" t="s">
        <v>3684</v>
      </c>
      <c r="E1264" s="2" t="s">
        <v>3685</v>
      </c>
      <c r="F1264" s="2" t="s">
        <v>3686</v>
      </c>
      <c r="G1264" s="2" t="s">
        <v>58</v>
      </c>
      <c r="H1264" s="2" t="s">
        <v>78</v>
      </c>
      <c r="I1264" s="2" t="s">
        <v>44</v>
      </c>
      <c r="J1264" s="2"/>
      <c r="K1264" s="2" t="s">
        <v>38</v>
      </c>
      <c r="L1264" s="2" t="s">
        <v>38</v>
      </c>
      <c r="M1264" s="2" t="s">
        <v>38</v>
      </c>
      <c r="N1264" s="2" t="s">
        <v>38</v>
      </c>
      <c r="O1264" s="2" t="s">
        <v>38</v>
      </c>
      <c r="P1264" s="2" t="s">
        <v>38</v>
      </c>
      <c r="Q1264" s="2" t="s">
        <v>38</v>
      </c>
      <c r="R1264" s="2" t="s">
        <v>38</v>
      </c>
      <c r="S1264" s="2" t="s">
        <v>38</v>
      </c>
      <c r="T1264" s="2" t="s">
        <v>39</v>
      </c>
      <c r="U1264" s="2" t="s">
        <v>38</v>
      </c>
      <c r="V1264" s="2" t="s">
        <v>38</v>
      </c>
      <c r="W1264" s="2" t="s">
        <v>38</v>
      </c>
      <c r="X1264" s="2" t="s">
        <v>39</v>
      </c>
      <c r="Y1264" s="2" t="s">
        <v>38</v>
      </c>
      <c r="Z1264" s="2" t="s">
        <v>38</v>
      </c>
      <c r="AA1264" s="2" t="s">
        <v>38</v>
      </c>
      <c r="AB1264" s="2" t="s">
        <v>38</v>
      </c>
      <c r="AC1264" s="2" t="s">
        <v>38</v>
      </c>
      <c r="AD1264" s="2" t="s">
        <v>38</v>
      </c>
      <c r="AE1264" s="2" t="s">
        <v>38</v>
      </c>
    </row>
    <row r="1265" spans="1:31" ht="409.5">
      <c r="A1265" s="2">
        <v>2605615</v>
      </c>
      <c r="B1265" s="2">
        <f>HYPERLINK("https://platform.v2.vetology.net/cases/2605615/screening-report/18?type=pdf&amp;v=v6&amp;scorecard=1&amp;secret_key=BX%25IJ%24%2F65ieZ%29f6", 2605615)</f>
        <v>2605615</v>
      </c>
      <c r="C1265" s="2">
        <f>HYPERLINK("https://platform.v2.vetology.net/report/v/final/"&amp;2605615, 2605615)</f>
        <v>2605615</v>
      </c>
      <c r="D1265" s="2" t="s">
        <v>229</v>
      </c>
      <c r="E1265" s="2" t="s">
        <v>148</v>
      </c>
      <c r="F1265" s="2" t="s">
        <v>149</v>
      </c>
      <c r="G1265" s="2" t="s">
        <v>150</v>
      </c>
      <c r="H1265" s="2" t="s">
        <v>78</v>
      </c>
      <c r="I1265" s="2" t="s">
        <v>44</v>
      </c>
      <c r="J1265" s="2" t="s">
        <v>106</v>
      </c>
      <c r="K1265" s="2" t="s">
        <v>38</v>
      </c>
      <c r="L1265" s="2" t="s">
        <v>39</v>
      </c>
      <c r="M1265" s="2" t="s">
        <v>39</v>
      </c>
      <c r="N1265" s="2" t="s">
        <v>38</v>
      </c>
      <c r="O1265" s="2" t="s">
        <v>38</v>
      </c>
      <c r="P1265" s="2" t="s">
        <v>38</v>
      </c>
      <c r="Q1265" s="2" t="s">
        <v>38</v>
      </c>
      <c r="R1265" s="2" t="s">
        <v>38</v>
      </c>
      <c r="S1265" s="2" t="s">
        <v>38</v>
      </c>
      <c r="T1265" s="2" t="s">
        <v>38</v>
      </c>
      <c r="U1265" s="2" t="s">
        <v>38</v>
      </c>
      <c r="V1265" s="2" t="s">
        <v>39</v>
      </c>
      <c r="W1265" s="2" t="s">
        <v>38</v>
      </c>
      <c r="X1265" s="2" t="s">
        <v>38</v>
      </c>
      <c r="Y1265" s="2" t="s">
        <v>38</v>
      </c>
      <c r="Z1265" s="2" t="s">
        <v>38</v>
      </c>
      <c r="AA1265" s="2" t="s">
        <v>38</v>
      </c>
      <c r="AB1265" s="2" t="s">
        <v>38</v>
      </c>
      <c r="AC1265" s="2" t="s">
        <v>39</v>
      </c>
      <c r="AD1265" s="2" t="s">
        <v>38</v>
      </c>
      <c r="AE1265" s="2" t="s">
        <v>38</v>
      </c>
    </row>
    <row r="1266" spans="1:31" ht="409.5">
      <c r="A1266" s="2">
        <v>2605598</v>
      </c>
      <c r="B1266" s="2">
        <f>HYPERLINK("https://platform.v2.vetology.net/cases/2605598/screening-report/18?type=pdf&amp;v=v6&amp;scorecard=1&amp;secret_key=BX%25IJ%24%2F65ieZ%29f6", 2605598)</f>
        <v>2605598</v>
      </c>
      <c r="C1266" s="2">
        <f>HYPERLINK("https://platform.v2.vetology.net/report/v/final/"&amp;2605598, 2605598)</f>
        <v>2605598</v>
      </c>
      <c r="D1266" s="2" t="s">
        <v>3687</v>
      </c>
      <c r="E1266" s="2" t="s">
        <v>3688</v>
      </c>
      <c r="F1266" s="2" t="s">
        <v>81</v>
      </c>
      <c r="G1266" s="2" t="s">
        <v>82</v>
      </c>
      <c r="H1266" s="2" t="s">
        <v>78</v>
      </c>
      <c r="I1266" s="2" t="s">
        <v>44</v>
      </c>
      <c r="J1266" s="2"/>
      <c r="K1266" s="2" t="s">
        <v>38</v>
      </c>
      <c r="L1266" s="2" t="s">
        <v>39</v>
      </c>
      <c r="M1266" s="2" t="s">
        <v>39</v>
      </c>
      <c r="N1266" s="2" t="s">
        <v>38</v>
      </c>
      <c r="O1266" s="2" t="s">
        <v>38</v>
      </c>
      <c r="P1266" s="2" t="s">
        <v>38</v>
      </c>
      <c r="Q1266" s="2" t="s">
        <v>38</v>
      </c>
      <c r="R1266" s="2" t="s">
        <v>38</v>
      </c>
      <c r="S1266" s="2" t="s">
        <v>39</v>
      </c>
      <c r="T1266" s="2" t="s">
        <v>39</v>
      </c>
      <c r="U1266" s="2" t="s">
        <v>38</v>
      </c>
      <c r="V1266" s="2" t="s">
        <v>39</v>
      </c>
      <c r="W1266" s="2" t="s">
        <v>38</v>
      </c>
      <c r="X1266" s="2" t="s">
        <v>39</v>
      </c>
      <c r="Y1266" s="2" t="s">
        <v>38</v>
      </c>
      <c r="Z1266" s="2" t="s">
        <v>39</v>
      </c>
      <c r="AA1266" s="2" t="s">
        <v>38</v>
      </c>
      <c r="AB1266" s="2" t="s">
        <v>39</v>
      </c>
      <c r="AC1266" s="2" t="s">
        <v>39</v>
      </c>
      <c r="AD1266" s="2" t="s">
        <v>38</v>
      </c>
      <c r="AE1266" s="2" t="s">
        <v>38</v>
      </c>
    </row>
    <row r="1267" spans="1:31" ht="409.5">
      <c r="A1267" s="2">
        <v>2605497</v>
      </c>
      <c r="B1267" s="2">
        <f>HYPERLINK("https://platform.v2.vetology.net/cases/2605497/screening-report/18?type=pdf&amp;v=v6&amp;scorecard=1&amp;secret_key=BX%25IJ%24%2F65ieZ%29f6", 2605497)</f>
        <v>2605497</v>
      </c>
      <c r="C1267" s="2">
        <f>HYPERLINK("https://platform.v2.vetology.net/report/v/final/"&amp;2605497, 2605497)</f>
        <v>2605497</v>
      </c>
      <c r="D1267" s="2" t="s">
        <v>3689</v>
      </c>
      <c r="E1267" s="2" t="s">
        <v>3690</v>
      </c>
      <c r="F1267" s="2" t="s">
        <v>3691</v>
      </c>
      <c r="G1267" s="2" t="s">
        <v>464</v>
      </c>
      <c r="H1267" s="2" t="s">
        <v>88</v>
      </c>
      <c r="I1267" s="2" t="s">
        <v>89</v>
      </c>
      <c r="J1267" s="2" t="s">
        <v>66</v>
      </c>
      <c r="K1267" s="2" t="s">
        <v>38</v>
      </c>
      <c r="L1267" s="2" t="s">
        <v>39</v>
      </c>
      <c r="M1267" s="2" t="s">
        <v>39</v>
      </c>
      <c r="N1267" s="2" t="s">
        <v>38</v>
      </c>
      <c r="O1267" s="2" t="s">
        <v>39</v>
      </c>
      <c r="P1267" s="2" t="s">
        <v>38</v>
      </c>
      <c r="Q1267" s="2" t="s">
        <v>38</v>
      </c>
      <c r="R1267" s="2" t="s">
        <v>38</v>
      </c>
      <c r="S1267" s="2" t="s">
        <v>38</v>
      </c>
      <c r="T1267" s="2" t="s">
        <v>39</v>
      </c>
      <c r="U1267" s="2" t="s">
        <v>38</v>
      </c>
      <c r="V1267" s="2" t="s">
        <v>38</v>
      </c>
      <c r="W1267" s="2" t="s">
        <v>38</v>
      </c>
      <c r="X1267" s="2" t="s">
        <v>39</v>
      </c>
      <c r="Y1267" s="2" t="s">
        <v>38</v>
      </c>
      <c r="Z1267" s="2" t="s">
        <v>38</v>
      </c>
      <c r="AA1267" s="2" t="s">
        <v>38</v>
      </c>
      <c r="AB1267" s="2" t="s">
        <v>39</v>
      </c>
      <c r="AC1267" s="2" t="s">
        <v>39</v>
      </c>
      <c r="AD1267" s="2" t="s">
        <v>38</v>
      </c>
      <c r="AE1267" s="2" t="s">
        <v>38</v>
      </c>
    </row>
    <row r="1268" spans="1:31" ht="409.5">
      <c r="A1268" s="2">
        <v>2605445</v>
      </c>
      <c r="B1268" s="2">
        <f>HYPERLINK("https://platform.v2.vetology.net/cases/2605445/screening-report/18?type=pdf&amp;v=v6&amp;scorecard=1&amp;secret_key=BX%25IJ%24%2F65ieZ%29f6", 2605445)</f>
        <v>2605445</v>
      </c>
      <c r="C1268" s="2">
        <f>HYPERLINK("https://platform.v2.vetology.net/report/v/final/"&amp;2605445, 2605445)</f>
        <v>2605445</v>
      </c>
      <c r="D1268" s="2" t="s">
        <v>3692</v>
      </c>
      <c r="E1268" s="2" t="s">
        <v>3693</v>
      </c>
      <c r="F1268" s="2" t="s">
        <v>3694</v>
      </c>
      <c r="G1268" s="2" t="s">
        <v>464</v>
      </c>
      <c r="H1268" s="2" t="s">
        <v>94</v>
      </c>
      <c r="I1268" s="2" t="s">
        <v>89</v>
      </c>
      <c r="J1268" s="2" t="s">
        <v>66</v>
      </c>
      <c r="K1268" s="2" t="s">
        <v>38</v>
      </c>
      <c r="L1268" s="2" t="s">
        <v>39</v>
      </c>
      <c r="M1268" s="2" t="s">
        <v>39</v>
      </c>
      <c r="N1268" s="2" t="s">
        <v>38</v>
      </c>
      <c r="O1268" s="2" t="s">
        <v>38</v>
      </c>
      <c r="P1268" s="2" t="s">
        <v>38</v>
      </c>
      <c r="Q1268" s="2" t="s">
        <v>38</v>
      </c>
      <c r="R1268" s="2" t="s">
        <v>38</v>
      </c>
      <c r="S1268" s="2" t="s">
        <v>38</v>
      </c>
      <c r="T1268" s="2" t="s">
        <v>39</v>
      </c>
      <c r="U1268" s="2" t="s">
        <v>38</v>
      </c>
      <c r="V1268" s="2" t="s">
        <v>38</v>
      </c>
      <c r="W1268" s="2" t="s">
        <v>38</v>
      </c>
      <c r="X1268" s="2" t="s">
        <v>38</v>
      </c>
      <c r="Y1268" s="2" t="s">
        <v>38</v>
      </c>
      <c r="Z1268" s="2" t="s">
        <v>39</v>
      </c>
      <c r="AA1268" s="2" t="s">
        <v>38</v>
      </c>
      <c r="AB1268" s="2" t="s">
        <v>38</v>
      </c>
      <c r="AC1268" s="2" t="s">
        <v>38</v>
      </c>
      <c r="AD1268" s="2" t="s">
        <v>38</v>
      </c>
      <c r="AE1268" s="2" t="s">
        <v>38</v>
      </c>
    </row>
    <row r="1269" spans="1:31" ht="409.5">
      <c r="A1269" s="2">
        <v>2605339</v>
      </c>
      <c r="B1269" s="2">
        <f>HYPERLINK("https://platform.v2.vetology.net/cases/2605339/screening-report/18?type=pdf&amp;v=v6&amp;scorecard=1&amp;secret_key=BX%25IJ%24%2F65ieZ%29f6", 2605339)</f>
        <v>2605339</v>
      </c>
      <c r="C1269" s="2">
        <f>HYPERLINK("https://platform.v2.vetology.net/report/v/final/"&amp;2605339, 2605339)</f>
        <v>2605339</v>
      </c>
      <c r="D1269" s="2" t="s">
        <v>3695</v>
      </c>
      <c r="E1269" s="2" t="s">
        <v>3696</v>
      </c>
      <c r="F1269" s="2" t="s">
        <v>3697</v>
      </c>
      <c r="G1269" s="2" t="s">
        <v>58</v>
      </c>
      <c r="H1269" s="2" t="s">
        <v>54</v>
      </c>
      <c r="I1269" s="2" t="s">
        <v>44</v>
      </c>
      <c r="J1269" s="2"/>
      <c r="K1269" s="2" t="s">
        <v>38</v>
      </c>
      <c r="L1269" s="2" t="s">
        <v>38</v>
      </c>
      <c r="M1269" s="2" t="s">
        <v>38</v>
      </c>
      <c r="N1269" s="2" t="s">
        <v>38</v>
      </c>
      <c r="O1269" s="2" t="s">
        <v>38</v>
      </c>
      <c r="P1269" s="2" t="s">
        <v>38</v>
      </c>
      <c r="Q1269" s="2" t="s">
        <v>38</v>
      </c>
      <c r="R1269" s="2" t="s">
        <v>38</v>
      </c>
      <c r="S1269" s="2" t="s">
        <v>38</v>
      </c>
      <c r="T1269" s="2" t="s">
        <v>38</v>
      </c>
      <c r="U1269" s="2" t="s">
        <v>38</v>
      </c>
      <c r="V1269" s="2" t="s">
        <v>38</v>
      </c>
      <c r="W1269" s="2" t="s">
        <v>38</v>
      </c>
      <c r="X1269" s="2" t="s">
        <v>38</v>
      </c>
      <c r="Y1269" s="2" t="s">
        <v>38</v>
      </c>
      <c r="Z1269" s="2" t="s">
        <v>38</v>
      </c>
      <c r="AA1269" s="2" t="s">
        <v>38</v>
      </c>
      <c r="AB1269" s="2" t="s">
        <v>38</v>
      </c>
      <c r="AC1269" s="2" t="s">
        <v>38</v>
      </c>
      <c r="AD1269" s="2" t="s">
        <v>38</v>
      </c>
      <c r="AE1269" s="2" t="s">
        <v>38</v>
      </c>
    </row>
    <row r="1270" spans="1:31" ht="409.5">
      <c r="A1270" s="2">
        <v>2605282</v>
      </c>
      <c r="B1270" s="2">
        <f>HYPERLINK("https://platform.v2.vetology.net/cases/2605282/screening-report/18?type=pdf&amp;v=v6&amp;scorecard=1&amp;secret_key=BX%25IJ%24%2F65ieZ%29f6", 2605282)</f>
        <v>2605282</v>
      </c>
      <c r="C1270" s="2">
        <f>HYPERLINK("https://platform.v2.vetology.net/report/v/final/"&amp;2605282, 2605282)</f>
        <v>2605282</v>
      </c>
      <c r="D1270" s="2" t="s">
        <v>3698</v>
      </c>
      <c r="E1270" s="2" t="s">
        <v>3699</v>
      </c>
      <c r="F1270" s="2" t="s">
        <v>81</v>
      </c>
      <c r="G1270" s="2" t="s">
        <v>268</v>
      </c>
      <c r="H1270" s="2" t="s">
        <v>94</v>
      </c>
      <c r="I1270" s="2" t="s">
        <v>89</v>
      </c>
      <c r="J1270" s="2" t="s">
        <v>66</v>
      </c>
      <c r="K1270" s="2" t="s">
        <v>38</v>
      </c>
      <c r="L1270" s="2" t="s">
        <v>38</v>
      </c>
      <c r="M1270" s="2" t="s">
        <v>38</v>
      </c>
      <c r="N1270" s="2" t="s">
        <v>38</v>
      </c>
      <c r="O1270" s="2" t="s">
        <v>38</v>
      </c>
      <c r="P1270" s="2" t="s">
        <v>38</v>
      </c>
      <c r="Q1270" s="2" t="s">
        <v>38</v>
      </c>
      <c r="R1270" s="2" t="s">
        <v>38</v>
      </c>
      <c r="S1270" s="2" t="s">
        <v>38</v>
      </c>
      <c r="T1270" s="2" t="s">
        <v>39</v>
      </c>
      <c r="U1270" s="2" t="s">
        <v>38</v>
      </c>
      <c r="V1270" s="2" t="s">
        <v>39</v>
      </c>
      <c r="W1270" s="2" t="s">
        <v>38</v>
      </c>
      <c r="X1270" s="2" t="s">
        <v>39</v>
      </c>
      <c r="Y1270" s="2" t="s">
        <v>38</v>
      </c>
      <c r="Z1270" s="2" t="s">
        <v>38</v>
      </c>
      <c r="AA1270" s="2" t="s">
        <v>38</v>
      </c>
      <c r="AB1270" s="2" t="s">
        <v>38</v>
      </c>
      <c r="AC1270" s="2" t="s">
        <v>38</v>
      </c>
      <c r="AD1270" s="2" t="s">
        <v>38</v>
      </c>
      <c r="AE1270" s="2" t="s">
        <v>39</v>
      </c>
    </row>
    <row r="1271" spans="1:31" ht="409.5">
      <c r="A1271" s="2">
        <v>2605198</v>
      </c>
      <c r="B1271" s="2">
        <f>HYPERLINK("https://platform.v2.vetology.net/cases/2605198/screening-report/18?type=pdf&amp;v=v6&amp;scorecard=1&amp;secret_key=BX%25IJ%24%2F65ieZ%29f6", 2605198)</f>
        <v>2605198</v>
      </c>
      <c r="C1271" s="2">
        <f>HYPERLINK("https://platform.v2.vetology.net/report/v/final/"&amp;2605198, 2605198)</f>
        <v>2605198</v>
      </c>
      <c r="D1271" s="2" t="s">
        <v>3700</v>
      </c>
      <c r="E1271" s="2" t="s">
        <v>3701</v>
      </c>
      <c r="F1271" s="2" t="s">
        <v>3702</v>
      </c>
      <c r="G1271" s="2" t="s">
        <v>135</v>
      </c>
      <c r="H1271" s="2" t="s">
        <v>136</v>
      </c>
      <c r="I1271" s="2" t="s">
        <v>137</v>
      </c>
      <c r="J1271" s="2" t="s">
        <v>66</v>
      </c>
      <c r="K1271" s="2" t="s">
        <v>38</v>
      </c>
      <c r="L1271" s="2" t="s">
        <v>39</v>
      </c>
      <c r="M1271" s="2" t="s">
        <v>38</v>
      </c>
      <c r="N1271" s="2" t="s">
        <v>38</v>
      </c>
      <c r="O1271" s="2" t="s">
        <v>38</v>
      </c>
      <c r="P1271" s="2" t="s">
        <v>38</v>
      </c>
      <c r="Q1271" s="2" t="s">
        <v>38</v>
      </c>
      <c r="R1271" s="2" t="s">
        <v>38</v>
      </c>
      <c r="S1271" s="2" t="s">
        <v>38</v>
      </c>
      <c r="T1271" s="2" t="s">
        <v>38</v>
      </c>
      <c r="U1271" s="2" t="s">
        <v>38</v>
      </c>
      <c r="V1271" s="2" t="s">
        <v>38</v>
      </c>
      <c r="W1271" s="2" t="s">
        <v>38</v>
      </c>
      <c r="X1271" s="2" t="s">
        <v>38</v>
      </c>
      <c r="Y1271" s="2" t="s">
        <v>38</v>
      </c>
      <c r="Z1271" s="2" t="s">
        <v>38</v>
      </c>
      <c r="AA1271" s="2" t="s">
        <v>38</v>
      </c>
      <c r="AB1271" s="2" t="s">
        <v>39</v>
      </c>
      <c r="AC1271" s="2" t="s">
        <v>38</v>
      </c>
      <c r="AD1271" s="2" t="s">
        <v>38</v>
      </c>
      <c r="AE1271" s="2" t="s">
        <v>38</v>
      </c>
    </row>
    <row r="1272" spans="1:31" ht="409.5">
      <c r="A1272" s="2">
        <v>2605101</v>
      </c>
      <c r="B1272" s="2">
        <f>HYPERLINK("https://platform.v2.vetology.net/cases/2605101/screening-report/18?type=pdf&amp;v=v6&amp;scorecard=1&amp;secret_key=BX%25IJ%24%2F65ieZ%29f6", 2605101)</f>
        <v>2605101</v>
      </c>
      <c r="C1272" s="2">
        <f>HYPERLINK("https://platform.v2.vetology.net/report/v/final/"&amp;2605101, 2605101)</f>
        <v>2605101</v>
      </c>
      <c r="D1272" s="2" t="s">
        <v>3703</v>
      </c>
      <c r="E1272" s="2" t="s">
        <v>3704</v>
      </c>
      <c r="F1272" s="2" t="s">
        <v>3705</v>
      </c>
      <c r="G1272" s="2" t="s">
        <v>63</v>
      </c>
      <c r="H1272" s="2" t="s">
        <v>1255</v>
      </c>
      <c r="I1272" s="2" t="s">
        <v>214</v>
      </c>
      <c r="J1272" s="2" t="s">
        <v>50</v>
      </c>
      <c r="K1272" s="2" t="s">
        <v>38</v>
      </c>
      <c r="L1272" s="2" t="s">
        <v>38</v>
      </c>
      <c r="M1272" s="2" t="s">
        <v>38</v>
      </c>
      <c r="N1272" s="2" t="s">
        <v>38</v>
      </c>
      <c r="O1272" s="2" t="s">
        <v>38</v>
      </c>
      <c r="P1272" s="2" t="s">
        <v>38</v>
      </c>
      <c r="Q1272" s="2" t="s">
        <v>38</v>
      </c>
      <c r="R1272" s="2" t="s">
        <v>38</v>
      </c>
      <c r="S1272" s="2" t="s">
        <v>38</v>
      </c>
      <c r="T1272" s="2" t="s">
        <v>39</v>
      </c>
      <c r="U1272" s="2" t="s">
        <v>38</v>
      </c>
      <c r="V1272" s="2" t="s">
        <v>38</v>
      </c>
      <c r="W1272" s="2" t="s">
        <v>38</v>
      </c>
      <c r="X1272" s="2" t="s">
        <v>39</v>
      </c>
      <c r="Y1272" s="2" t="s">
        <v>38</v>
      </c>
      <c r="Z1272" s="2" t="s">
        <v>39</v>
      </c>
      <c r="AA1272" s="2" t="s">
        <v>38</v>
      </c>
      <c r="AB1272" s="2" t="s">
        <v>38</v>
      </c>
      <c r="AC1272" s="2" t="s">
        <v>38</v>
      </c>
      <c r="AD1272" s="2" t="s">
        <v>38</v>
      </c>
      <c r="AE1272" s="2" t="s">
        <v>38</v>
      </c>
    </row>
    <row r="1273" spans="1:31" ht="409.5">
      <c r="A1273" s="2">
        <v>2604891</v>
      </c>
      <c r="B1273" s="2">
        <f>HYPERLINK("https://platform.v2.vetology.net/cases/2604891/screening-report/18?type=pdf&amp;v=v6&amp;scorecard=1&amp;secret_key=BX%25IJ%24%2F65ieZ%29f6", 2604891)</f>
        <v>2604891</v>
      </c>
      <c r="C1273" s="2">
        <f>HYPERLINK("https://platform.v2.vetology.net/report/v/final/"&amp;2604891, 2604891)</f>
        <v>2604891</v>
      </c>
      <c r="D1273" s="2" t="s">
        <v>3706</v>
      </c>
      <c r="E1273" s="2" t="s">
        <v>3707</v>
      </c>
      <c r="F1273" s="2" t="s">
        <v>81</v>
      </c>
      <c r="G1273" s="2" t="s">
        <v>82</v>
      </c>
      <c r="H1273" s="2" t="s">
        <v>129</v>
      </c>
      <c r="I1273" s="2" t="s">
        <v>44</v>
      </c>
      <c r="J1273" s="2"/>
      <c r="K1273" s="2" t="s">
        <v>38</v>
      </c>
      <c r="L1273" s="2" t="s">
        <v>38</v>
      </c>
      <c r="M1273" s="2" t="s">
        <v>38</v>
      </c>
      <c r="N1273" s="2" t="s">
        <v>38</v>
      </c>
      <c r="O1273" s="2" t="s">
        <v>38</v>
      </c>
      <c r="P1273" s="2" t="s">
        <v>38</v>
      </c>
      <c r="Q1273" s="2" t="s">
        <v>38</v>
      </c>
      <c r="R1273" s="2" t="s">
        <v>38</v>
      </c>
      <c r="S1273" s="2" t="s">
        <v>38</v>
      </c>
      <c r="T1273" s="2" t="s">
        <v>39</v>
      </c>
      <c r="U1273" s="2" t="s">
        <v>38</v>
      </c>
      <c r="V1273" s="2" t="s">
        <v>38</v>
      </c>
      <c r="W1273" s="2" t="s">
        <v>38</v>
      </c>
      <c r="X1273" s="2" t="s">
        <v>38</v>
      </c>
      <c r="Y1273" s="2" t="s">
        <v>38</v>
      </c>
      <c r="Z1273" s="2" t="s">
        <v>38</v>
      </c>
      <c r="AA1273" s="2" t="s">
        <v>38</v>
      </c>
      <c r="AB1273" s="2" t="s">
        <v>39</v>
      </c>
      <c r="AC1273" s="2" t="s">
        <v>38</v>
      </c>
      <c r="AD1273" s="2" t="s">
        <v>38</v>
      </c>
      <c r="AE1273" s="2" t="s">
        <v>38</v>
      </c>
    </row>
    <row r="1274" spans="1:31" ht="409.5">
      <c r="A1274" s="2">
        <v>2604689</v>
      </c>
      <c r="B1274" s="2">
        <f>HYPERLINK("https://platform.v2.vetology.net/cases/2604689/screening-report/18?type=pdf&amp;v=v6&amp;scorecard=1&amp;secret_key=BX%25IJ%24%2F65ieZ%29f6", 2604689)</f>
        <v>2604689</v>
      </c>
      <c r="C1274" s="2">
        <f>HYPERLINK("https://platform.v2.vetology.net/report/v/final/"&amp;2604689, 2604689)</f>
        <v>2604689</v>
      </c>
      <c r="D1274" s="2" t="s">
        <v>3708</v>
      </c>
      <c r="E1274" s="2" t="s">
        <v>3709</v>
      </c>
      <c r="F1274" s="2" t="s">
        <v>2535</v>
      </c>
      <c r="G1274" s="2" t="s">
        <v>58</v>
      </c>
      <c r="H1274" s="2" t="s">
        <v>3710</v>
      </c>
      <c r="I1274" s="2" t="s">
        <v>167</v>
      </c>
      <c r="J1274" s="2" t="s">
        <v>168</v>
      </c>
      <c r="K1274" s="2" t="s">
        <v>38</v>
      </c>
      <c r="L1274" s="2" t="s">
        <v>39</v>
      </c>
      <c r="M1274" s="2" t="s">
        <v>38</v>
      </c>
      <c r="N1274" s="2" t="s">
        <v>38</v>
      </c>
      <c r="O1274" s="2" t="s">
        <v>38</v>
      </c>
      <c r="P1274" s="2" t="s">
        <v>38</v>
      </c>
      <c r="Q1274" s="2" t="s">
        <v>38</v>
      </c>
      <c r="R1274" s="2" t="s">
        <v>38</v>
      </c>
      <c r="S1274" s="2" t="s">
        <v>39</v>
      </c>
      <c r="T1274" s="2" t="s">
        <v>39</v>
      </c>
      <c r="U1274" s="2" t="s">
        <v>38</v>
      </c>
      <c r="V1274" s="2" t="s">
        <v>38</v>
      </c>
      <c r="W1274" s="2" t="s">
        <v>38</v>
      </c>
      <c r="X1274" s="2" t="s">
        <v>39</v>
      </c>
      <c r="Y1274" s="2" t="s">
        <v>38</v>
      </c>
      <c r="Z1274" s="2" t="s">
        <v>38</v>
      </c>
      <c r="AA1274" s="2" t="s">
        <v>38</v>
      </c>
      <c r="AB1274" s="2" t="s">
        <v>38</v>
      </c>
      <c r="AC1274" s="2" t="s">
        <v>38</v>
      </c>
      <c r="AD1274" s="2" t="s">
        <v>38</v>
      </c>
      <c r="AE1274" s="2" t="s">
        <v>38</v>
      </c>
    </row>
    <row r="1275" spans="1:31" ht="409.5">
      <c r="A1275" s="2">
        <v>2603948</v>
      </c>
      <c r="B1275" s="2">
        <f>HYPERLINK("https://platform.v2.vetology.net/cases/2603948/screening-report/18?type=pdf&amp;v=v6&amp;scorecard=1&amp;secret_key=BX%25IJ%24%2F65ieZ%29f6", 2603948)</f>
        <v>2603948</v>
      </c>
      <c r="C1275" s="2">
        <f>HYPERLINK("https://platform.v2.vetology.net/report/v/final/"&amp;2603948, 2603948)</f>
        <v>2603948</v>
      </c>
      <c r="D1275" s="2" t="s">
        <v>3711</v>
      </c>
      <c r="E1275" s="2" t="s">
        <v>3712</v>
      </c>
      <c r="F1275" s="2" t="s">
        <v>81</v>
      </c>
      <c r="G1275" s="2" t="s">
        <v>82</v>
      </c>
      <c r="H1275" s="2" t="s">
        <v>78</v>
      </c>
      <c r="I1275" s="2" t="s">
        <v>44</v>
      </c>
      <c r="J1275" s="2"/>
      <c r="K1275" s="2" t="s">
        <v>38</v>
      </c>
      <c r="L1275" s="2" t="s">
        <v>39</v>
      </c>
      <c r="M1275" s="2" t="s">
        <v>39</v>
      </c>
      <c r="N1275" s="2" t="s">
        <v>38</v>
      </c>
      <c r="O1275" s="2" t="s">
        <v>38</v>
      </c>
      <c r="P1275" s="2" t="s">
        <v>38</v>
      </c>
      <c r="Q1275" s="2" t="s">
        <v>38</v>
      </c>
      <c r="R1275" s="2" t="s">
        <v>38</v>
      </c>
      <c r="S1275" s="2" t="s">
        <v>38</v>
      </c>
      <c r="T1275" s="2" t="s">
        <v>38</v>
      </c>
      <c r="U1275" s="2" t="s">
        <v>38</v>
      </c>
      <c r="V1275" s="2" t="s">
        <v>38</v>
      </c>
      <c r="W1275" s="2" t="s">
        <v>38</v>
      </c>
      <c r="X1275" s="2" t="s">
        <v>38</v>
      </c>
      <c r="Y1275" s="2" t="s">
        <v>38</v>
      </c>
      <c r="Z1275" s="2" t="s">
        <v>38</v>
      </c>
      <c r="AA1275" s="2" t="s">
        <v>38</v>
      </c>
      <c r="AB1275" s="2" t="s">
        <v>38</v>
      </c>
      <c r="AC1275" s="2" t="s">
        <v>38</v>
      </c>
      <c r="AD1275" s="2" t="s">
        <v>38</v>
      </c>
      <c r="AE1275" s="2" t="s">
        <v>38</v>
      </c>
    </row>
    <row r="1276" spans="1:31" ht="409.5">
      <c r="A1276" s="2">
        <v>2603906</v>
      </c>
      <c r="B1276" s="2">
        <f>HYPERLINK("https://platform.v2.vetology.net/cases/2603906/screening-report/18?type=pdf&amp;v=v6&amp;scorecard=1&amp;secret_key=BX%25IJ%24%2F65ieZ%29f6", 2603906)</f>
        <v>2603906</v>
      </c>
      <c r="C1276" s="2">
        <f>HYPERLINK("https://platform.v2.vetology.net/report/v/final/"&amp;2603906, 2603906)</f>
        <v>2603906</v>
      </c>
      <c r="D1276" s="2" t="s">
        <v>3713</v>
      </c>
      <c r="E1276" s="2" t="s">
        <v>3714</v>
      </c>
      <c r="F1276" s="2" t="s">
        <v>81</v>
      </c>
      <c r="G1276" s="2" t="s">
        <v>82</v>
      </c>
      <c r="H1276" s="2" t="s">
        <v>3715</v>
      </c>
      <c r="I1276" s="2" t="s">
        <v>1468</v>
      </c>
      <c r="J1276" s="2" t="s">
        <v>1469</v>
      </c>
      <c r="K1276" s="2" t="s">
        <v>38</v>
      </c>
      <c r="L1276" s="2" t="s">
        <v>39</v>
      </c>
      <c r="M1276" s="2" t="s">
        <v>38</v>
      </c>
      <c r="N1276" s="2" t="s">
        <v>38</v>
      </c>
      <c r="O1276" s="2" t="s">
        <v>38</v>
      </c>
      <c r="P1276" s="2" t="s">
        <v>39</v>
      </c>
      <c r="Q1276" s="2" t="s">
        <v>38</v>
      </c>
      <c r="R1276" s="2" t="s">
        <v>38</v>
      </c>
      <c r="S1276" s="2" t="s">
        <v>38</v>
      </c>
      <c r="T1276" s="2" t="s">
        <v>39</v>
      </c>
      <c r="U1276" s="2" t="s">
        <v>39</v>
      </c>
      <c r="V1276" s="2" t="s">
        <v>39</v>
      </c>
      <c r="W1276" s="2" t="s">
        <v>38</v>
      </c>
      <c r="X1276" s="2" t="s">
        <v>39</v>
      </c>
      <c r="Y1276" s="2" t="s">
        <v>39</v>
      </c>
      <c r="Z1276" s="2" t="s">
        <v>39</v>
      </c>
      <c r="AA1276" s="2" t="s">
        <v>38</v>
      </c>
      <c r="AB1276" s="2" t="s">
        <v>39</v>
      </c>
      <c r="AC1276" s="2" t="s">
        <v>39</v>
      </c>
      <c r="AD1276" s="2" t="s">
        <v>38</v>
      </c>
      <c r="AE1276" s="2" t="s">
        <v>38</v>
      </c>
    </row>
    <row r="1277" spans="1:31" ht="409.5">
      <c r="A1277" s="2">
        <v>2603870</v>
      </c>
      <c r="B1277" s="2">
        <f>HYPERLINK("https://platform.v2.vetology.net/cases/2603870/screening-report/18?type=pdf&amp;v=v6&amp;scorecard=1&amp;secret_key=BX%25IJ%24%2F65ieZ%29f6", 2603870)</f>
        <v>2603870</v>
      </c>
      <c r="C1277" s="2">
        <f>HYPERLINK("https://platform.v2.vetology.net/report/v/final/"&amp;2603870, 2603870)</f>
        <v>2603870</v>
      </c>
      <c r="D1277" s="2" t="s">
        <v>3716</v>
      </c>
      <c r="E1277" s="2" t="s">
        <v>3717</v>
      </c>
      <c r="F1277" s="2"/>
      <c r="G1277" s="2" t="s">
        <v>141</v>
      </c>
      <c r="H1277" s="2" t="s">
        <v>78</v>
      </c>
      <c r="I1277" s="2" t="s">
        <v>44</v>
      </c>
      <c r="J1277" s="2" t="s">
        <v>106</v>
      </c>
      <c r="K1277" s="2" t="s">
        <v>38</v>
      </c>
      <c r="L1277" s="2" t="s">
        <v>38</v>
      </c>
      <c r="M1277" s="2" t="s">
        <v>38</v>
      </c>
      <c r="N1277" s="2" t="s">
        <v>38</v>
      </c>
      <c r="O1277" s="2" t="s">
        <v>38</v>
      </c>
      <c r="P1277" s="2" t="s">
        <v>38</v>
      </c>
      <c r="Q1277" s="2" t="s">
        <v>38</v>
      </c>
      <c r="R1277" s="2" t="s">
        <v>38</v>
      </c>
      <c r="S1277" s="2" t="s">
        <v>38</v>
      </c>
      <c r="T1277" s="2" t="s">
        <v>38</v>
      </c>
      <c r="U1277" s="2" t="s">
        <v>38</v>
      </c>
      <c r="V1277" s="2" t="s">
        <v>38</v>
      </c>
      <c r="W1277" s="2" t="s">
        <v>38</v>
      </c>
      <c r="X1277" s="2" t="s">
        <v>38</v>
      </c>
      <c r="Y1277" s="2" t="s">
        <v>38</v>
      </c>
      <c r="Z1277" s="2" t="s">
        <v>38</v>
      </c>
      <c r="AA1277" s="2" t="s">
        <v>38</v>
      </c>
      <c r="AB1277" s="2" t="s">
        <v>38</v>
      </c>
      <c r="AC1277" s="2" t="s">
        <v>38</v>
      </c>
      <c r="AD1277" s="2" t="s">
        <v>38</v>
      </c>
      <c r="AE1277" s="2" t="s">
        <v>38</v>
      </c>
    </row>
    <row r="1278" spans="1:31" ht="409.5">
      <c r="A1278" s="2">
        <v>2603845</v>
      </c>
      <c r="B1278" s="2">
        <f>HYPERLINK("https://platform.v2.vetology.net/cases/2603845/screening-report/18?type=pdf&amp;v=v6&amp;scorecard=1&amp;secret_key=BX%25IJ%24%2F65ieZ%29f6", 2603845)</f>
        <v>2603845</v>
      </c>
      <c r="C1278" s="2">
        <f>HYPERLINK("https://platform.v2.vetology.net/report/v/final/"&amp;2603845, 2603845)</f>
        <v>2603845</v>
      </c>
      <c r="D1278" s="2" t="s">
        <v>414</v>
      </c>
      <c r="E1278" s="2" t="s">
        <v>415</v>
      </c>
      <c r="F1278" s="2" t="s">
        <v>3718</v>
      </c>
      <c r="G1278" s="2" t="s">
        <v>135</v>
      </c>
      <c r="H1278" s="2" t="s">
        <v>3719</v>
      </c>
      <c r="I1278" s="2" t="s">
        <v>36</v>
      </c>
      <c r="J1278" s="2" t="s">
        <v>37</v>
      </c>
      <c r="K1278" s="2" t="s">
        <v>38</v>
      </c>
      <c r="L1278" s="2" t="s">
        <v>39</v>
      </c>
      <c r="M1278" s="2" t="s">
        <v>38</v>
      </c>
      <c r="N1278" s="2" t="s">
        <v>38</v>
      </c>
      <c r="O1278" s="2" t="s">
        <v>38</v>
      </c>
      <c r="P1278" s="2" t="s">
        <v>39</v>
      </c>
      <c r="Q1278" s="2" t="s">
        <v>38</v>
      </c>
      <c r="R1278" s="2" t="s">
        <v>38</v>
      </c>
      <c r="S1278" s="2" t="s">
        <v>38</v>
      </c>
      <c r="T1278" s="2" t="s">
        <v>38</v>
      </c>
      <c r="U1278" s="2" t="s">
        <v>38</v>
      </c>
      <c r="V1278" s="2" t="s">
        <v>38</v>
      </c>
      <c r="W1278" s="2" t="s">
        <v>38</v>
      </c>
      <c r="X1278" s="2" t="s">
        <v>38</v>
      </c>
      <c r="Y1278" s="2" t="s">
        <v>38</v>
      </c>
      <c r="Z1278" s="2" t="s">
        <v>38</v>
      </c>
      <c r="AA1278" s="2" t="s">
        <v>38</v>
      </c>
      <c r="AB1278" s="2" t="s">
        <v>38</v>
      </c>
      <c r="AC1278" s="2" t="s">
        <v>38</v>
      </c>
      <c r="AD1278" s="2" t="s">
        <v>38</v>
      </c>
      <c r="AE1278" s="2" t="s">
        <v>39</v>
      </c>
    </row>
    <row r="1279" spans="1:31" ht="409.5">
      <c r="A1279" s="2">
        <v>2603468</v>
      </c>
      <c r="B1279" s="2">
        <f>HYPERLINK("https://platform.v2.vetology.net/cases/2603468/screening-report/18?type=pdf&amp;v=v6&amp;scorecard=1&amp;secret_key=BX%25IJ%24%2F65ieZ%29f6", 2603468)</f>
        <v>2603468</v>
      </c>
      <c r="C1279" s="2">
        <f>HYPERLINK("https://platform.v2.vetology.net/report/v/final/"&amp;2603468, 2603468)</f>
        <v>2603468</v>
      </c>
      <c r="D1279" s="2" t="s">
        <v>3720</v>
      </c>
      <c r="E1279" s="2" t="s">
        <v>3721</v>
      </c>
      <c r="F1279" s="2" t="s">
        <v>3722</v>
      </c>
      <c r="G1279" s="2" t="s">
        <v>575</v>
      </c>
      <c r="H1279" s="2" t="s">
        <v>3723</v>
      </c>
      <c r="I1279" s="2" t="s">
        <v>1091</v>
      </c>
      <c r="J1279" s="2" t="s">
        <v>50</v>
      </c>
      <c r="K1279" s="2" t="s">
        <v>39</v>
      </c>
      <c r="L1279" s="2" t="s">
        <v>39</v>
      </c>
      <c r="M1279" s="2" t="s">
        <v>39</v>
      </c>
      <c r="N1279" s="2" t="s">
        <v>39</v>
      </c>
      <c r="O1279" s="2" t="s">
        <v>39</v>
      </c>
      <c r="P1279" s="2" t="s">
        <v>39</v>
      </c>
      <c r="Q1279" s="2" t="s">
        <v>38</v>
      </c>
      <c r="R1279" s="2" t="s">
        <v>38</v>
      </c>
      <c r="S1279" s="2" t="s">
        <v>39</v>
      </c>
      <c r="T1279" s="2" t="s">
        <v>39</v>
      </c>
      <c r="U1279" s="2" t="s">
        <v>39</v>
      </c>
      <c r="V1279" s="2" t="s">
        <v>39</v>
      </c>
      <c r="W1279" s="2" t="s">
        <v>38</v>
      </c>
      <c r="X1279" s="2" t="s">
        <v>39</v>
      </c>
      <c r="Y1279" s="2" t="s">
        <v>38</v>
      </c>
      <c r="Z1279" s="2" t="s">
        <v>39</v>
      </c>
      <c r="AA1279" s="2" t="s">
        <v>38</v>
      </c>
      <c r="AB1279" s="2" t="s">
        <v>39</v>
      </c>
      <c r="AC1279" s="2" t="s">
        <v>39</v>
      </c>
      <c r="AD1279" s="2" t="s">
        <v>38</v>
      </c>
      <c r="AE1279" s="2" t="s">
        <v>39</v>
      </c>
    </row>
    <row r="1280" spans="1:31" ht="409.5">
      <c r="A1280" s="2">
        <v>2603397</v>
      </c>
      <c r="B1280" s="2">
        <f>HYPERLINK("https://platform.v2.vetology.net/cases/2603397/screening-report/18?type=pdf&amp;v=v6&amp;scorecard=1&amp;secret_key=BX%25IJ%24%2F65ieZ%29f6", 2603397)</f>
        <v>2603397</v>
      </c>
      <c r="C1280" s="2">
        <f>HYPERLINK("https://platform.v2.vetology.net/report/v/final/"&amp;2603397, 2603397)</f>
        <v>2603397</v>
      </c>
      <c r="D1280" s="2" t="s">
        <v>3724</v>
      </c>
      <c r="E1280" s="2" t="s">
        <v>3725</v>
      </c>
      <c r="F1280" s="2" t="s">
        <v>3726</v>
      </c>
      <c r="G1280" s="2" t="s">
        <v>58</v>
      </c>
      <c r="H1280" s="2" t="s">
        <v>1101</v>
      </c>
      <c r="I1280" s="2" t="s">
        <v>1102</v>
      </c>
      <c r="J1280" s="2" t="s">
        <v>307</v>
      </c>
      <c r="K1280" s="2" t="s">
        <v>38</v>
      </c>
      <c r="L1280" s="2" t="s">
        <v>39</v>
      </c>
      <c r="M1280" s="2" t="s">
        <v>39</v>
      </c>
      <c r="N1280" s="2" t="s">
        <v>39</v>
      </c>
      <c r="O1280" s="2" t="s">
        <v>38</v>
      </c>
      <c r="P1280" s="2" t="s">
        <v>39</v>
      </c>
      <c r="Q1280" s="2" t="s">
        <v>39</v>
      </c>
      <c r="R1280" s="2" t="s">
        <v>38</v>
      </c>
      <c r="S1280" s="2" t="s">
        <v>38</v>
      </c>
      <c r="T1280" s="2" t="s">
        <v>39</v>
      </c>
      <c r="U1280" s="2" t="s">
        <v>39</v>
      </c>
      <c r="V1280" s="2" t="s">
        <v>38</v>
      </c>
      <c r="W1280" s="2" t="s">
        <v>38</v>
      </c>
      <c r="X1280" s="2" t="s">
        <v>38</v>
      </c>
      <c r="Y1280" s="2" t="s">
        <v>38</v>
      </c>
      <c r="Z1280" s="2" t="s">
        <v>39</v>
      </c>
      <c r="AA1280" s="2" t="s">
        <v>38</v>
      </c>
      <c r="AB1280" s="2" t="s">
        <v>38</v>
      </c>
      <c r="AC1280" s="2" t="s">
        <v>39</v>
      </c>
      <c r="AD1280" s="2" t="s">
        <v>38</v>
      </c>
      <c r="AE1280" s="2" t="s">
        <v>38</v>
      </c>
    </row>
    <row r="1281" spans="1:31" ht="409.5">
      <c r="A1281" s="2">
        <v>2602032</v>
      </c>
      <c r="B1281" s="2">
        <f>HYPERLINK("https://platform.v2.vetology.net/cases/2602032/screening-report/18?type=pdf&amp;v=v6&amp;scorecard=1&amp;secret_key=BX%25IJ%24%2F65ieZ%29f6", 2602032)</f>
        <v>2602032</v>
      </c>
      <c r="C1281" s="2">
        <f>HYPERLINK("https://platform.v2.vetology.net/report/v/final/"&amp;2602032, 2602032)</f>
        <v>2602032</v>
      </c>
      <c r="D1281" s="2" t="s">
        <v>2842</v>
      </c>
      <c r="E1281" s="2" t="s">
        <v>3408</v>
      </c>
      <c r="F1281" s="2" t="s">
        <v>3727</v>
      </c>
      <c r="G1281" s="2" t="s">
        <v>135</v>
      </c>
      <c r="H1281" s="2" t="s">
        <v>129</v>
      </c>
      <c r="I1281" s="2" t="s">
        <v>44</v>
      </c>
      <c r="J1281" s="2"/>
      <c r="K1281" s="2" t="s">
        <v>38</v>
      </c>
      <c r="L1281" s="2" t="s">
        <v>39</v>
      </c>
      <c r="M1281" s="2" t="s">
        <v>39</v>
      </c>
      <c r="N1281" s="2" t="s">
        <v>38</v>
      </c>
      <c r="O1281" s="2" t="s">
        <v>38</v>
      </c>
      <c r="P1281" s="2" t="s">
        <v>38</v>
      </c>
      <c r="Q1281" s="2" t="s">
        <v>38</v>
      </c>
      <c r="R1281" s="2" t="s">
        <v>38</v>
      </c>
      <c r="S1281" s="2" t="s">
        <v>38</v>
      </c>
      <c r="T1281" s="2" t="s">
        <v>39</v>
      </c>
      <c r="U1281" s="2" t="s">
        <v>38</v>
      </c>
      <c r="V1281" s="2" t="s">
        <v>39</v>
      </c>
      <c r="W1281" s="2" t="s">
        <v>38</v>
      </c>
      <c r="X1281" s="2" t="s">
        <v>39</v>
      </c>
      <c r="Y1281" s="2" t="s">
        <v>38</v>
      </c>
      <c r="Z1281" s="2" t="s">
        <v>38</v>
      </c>
      <c r="AA1281" s="2" t="s">
        <v>38</v>
      </c>
      <c r="AB1281" s="2" t="s">
        <v>38</v>
      </c>
      <c r="AC1281" s="2" t="s">
        <v>38</v>
      </c>
      <c r="AD1281" s="2" t="s">
        <v>38</v>
      </c>
      <c r="AE1281" s="2" t="s">
        <v>38</v>
      </c>
    </row>
    <row r="1282" spans="1:31" ht="409.5">
      <c r="A1282" s="2">
        <v>2601944</v>
      </c>
      <c r="B1282" s="2">
        <f>HYPERLINK("https://platform.v2.vetology.net/cases/2601944/screening-report/18?type=pdf&amp;v=v6&amp;scorecard=1&amp;secret_key=BX%25IJ%24%2F65ieZ%29f6", 2601944)</f>
        <v>2601944</v>
      </c>
      <c r="C1282" s="2">
        <f>HYPERLINK("https://platform.v2.vetology.net/report/v/final/"&amp;2601944, 2601944)</f>
        <v>2601944</v>
      </c>
      <c r="D1282" s="2" t="s">
        <v>3728</v>
      </c>
      <c r="E1282" s="2" t="s">
        <v>3729</v>
      </c>
      <c r="F1282" s="2" t="s">
        <v>3730</v>
      </c>
      <c r="G1282" s="2" t="s">
        <v>63</v>
      </c>
      <c r="H1282" s="2" t="s">
        <v>54</v>
      </c>
      <c r="I1282" s="2" t="s">
        <v>199</v>
      </c>
      <c r="J1282" s="2"/>
      <c r="K1282" s="2" t="s">
        <v>38</v>
      </c>
      <c r="L1282" s="2" t="s">
        <v>38</v>
      </c>
      <c r="M1282" s="2" t="s">
        <v>38</v>
      </c>
      <c r="N1282" s="2" t="s">
        <v>38</v>
      </c>
      <c r="O1282" s="2" t="s">
        <v>38</v>
      </c>
      <c r="P1282" s="2" t="s">
        <v>38</v>
      </c>
      <c r="Q1282" s="2" t="s">
        <v>38</v>
      </c>
      <c r="R1282" s="2" t="s">
        <v>38</v>
      </c>
      <c r="S1282" s="2" t="s">
        <v>38</v>
      </c>
      <c r="T1282" s="2" t="s">
        <v>38</v>
      </c>
      <c r="U1282" s="2" t="s">
        <v>38</v>
      </c>
      <c r="V1282" s="2" t="s">
        <v>38</v>
      </c>
      <c r="W1282" s="2" t="s">
        <v>38</v>
      </c>
      <c r="X1282" s="2" t="s">
        <v>38</v>
      </c>
      <c r="Y1282" s="2" t="s">
        <v>38</v>
      </c>
      <c r="Z1282" s="2" t="s">
        <v>38</v>
      </c>
      <c r="AA1282" s="2" t="s">
        <v>38</v>
      </c>
      <c r="AB1282" s="2" t="s">
        <v>39</v>
      </c>
      <c r="AC1282" s="2" t="s">
        <v>38</v>
      </c>
      <c r="AD1282" s="2" t="s">
        <v>38</v>
      </c>
      <c r="AE1282" s="2" t="s">
        <v>38</v>
      </c>
    </row>
    <row r="1283" spans="1:31" ht="409.5">
      <c r="A1283" s="2">
        <v>2601932</v>
      </c>
      <c r="B1283" s="2">
        <f>HYPERLINK("https://platform.v2.vetology.net/cases/2601932/screening-report/18?type=pdf&amp;v=v6&amp;scorecard=1&amp;secret_key=BX%25IJ%24%2F65ieZ%29f6", 2601932)</f>
        <v>2601932</v>
      </c>
      <c r="C1283" s="2">
        <f>HYPERLINK("https://platform.v2.vetology.net/report/v/final/"&amp;2601932, 2601932)</f>
        <v>2601932</v>
      </c>
      <c r="D1283" s="2" t="s">
        <v>3731</v>
      </c>
      <c r="E1283" s="2" t="s">
        <v>3732</v>
      </c>
      <c r="F1283" s="2" t="s">
        <v>919</v>
      </c>
      <c r="G1283" s="2" t="s">
        <v>58</v>
      </c>
      <c r="H1283" s="2" t="s">
        <v>1416</v>
      </c>
      <c r="I1283" s="2" t="s">
        <v>284</v>
      </c>
      <c r="J1283" s="2" t="s">
        <v>285</v>
      </c>
      <c r="K1283" s="2" t="s">
        <v>38</v>
      </c>
      <c r="L1283" s="2" t="s">
        <v>39</v>
      </c>
      <c r="M1283" s="2" t="s">
        <v>38</v>
      </c>
      <c r="N1283" s="2" t="s">
        <v>38</v>
      </c>
      <c r="O1283" s="2" t="s">
        <v>38</v>
      </c>
      <c r="P1283" s="2" t="s">
        <v>38</v>
      </c>
      <c r="Q1283" s="2" t="s">
        <v>38</v>
      </c>
      <c r="R1283" s="2" t="s">
        <v>38</v>
      </c>
      <c r="S1283" s="2" t="s">
        <v>38</v>
      </c>
      <c r="T1283" s="2" t="s">
        <v>39</v>
      </c>
      <c r="U1283" s="2" t="s">
        <v>38</v>
      </c>
      <c r="V1283" s="2" t="s">
        <v>39</v>
      </c>
      <c r="W1283" s="2" t="s">
        <v>38</v>
      </c>
      <c r="X1283" s="2" t="s">
        <v>39</v>
      </c>
      <c r="Y1283" s="2" t="s">
        <v>38</v>
      </c>
      <c r="Z1283" s="2" t="s">
        <v>38</v>
      </c>
      <c r="AA1283" s="2" t="s">
        <v>38</v>
      </c>
      <c r="AB1283" s="2" t="s">
        <v>38</v>
      </c>
      <c r="AC1283" s="2" t="s">
        <v>38</v>
      </c>
      <c r="AD1283" s="2" t="s">
        <v>38</v>
      </c>
      <c r="AE1283" s="2" t="s">
        <v>38</v>
      </c>
    </row>
    <row r="1284" spans="1:31" ht="409.5">
      <c r="A1284" s="2">
        <v>2601553</v>
      </c>
      <c r="B1284" s="2">
        <f>HYPERLINK("https://platform.v2.vetology.net/cases/2601553/screening-report/18?type=pdf&amp;v=v6&amp;scorecard=1&amp;secret_key=BX%25IJ%24%2F65ieZ%29f6", 2601553)</f>
        <v>2601553</v>
      </c>
      <c r="C1284" s="2">
        <f>HYPERLINK("https://platform.v2.vetology.net/report/v/final/"&amp;2601553, 2601553)</f>
        <v>2601553</v>
      </c>
      <c r="D1284" s="2" t="s">
        <v>3733</v>
      </c>
      <c r="E1284" s="2" t="s">
        <v>3734</v>
      </c>
      <c r="F1284" s="2" t="s">
        <v>3735</v>
      </c>
      <c r="G1284" s="2" t="s">
        <v>93</v>
      </c>
      <c r="H1284" s="2" t="s">
        <v>78</v>
      </c>
      <c r="I1284" s="2" t="s">
        <v>44</v>
      </c>
      <c r="J1284" s="2"/>
      <c r="K1284" s="2" t="s">
        <v>38</v>
      </c>
      <c r="L1284" s="2" t="s">
        <v>38</v>
      </c>
      <c r="M1284" s="2" t="s">
        <v>38</v>
      </c>
      <c r="N1284" s="2" t="s">
        <v>38</v>
      </c>
      <c r="O1284" s="2" t="s">
        <v>38</v>
      </c>
      <c r="P1284" s="2" t="s">
        <v>38</v>
      </c>
      <c r="Q1284" s="2" t="s">
        <v>38</v>
      </c>
      <c r="R1284" s="2" t="s">
        <v>38</v>
      </c>
      <c r="S1284" s="2" t="s">
        <v>38</v>
      </c>
      <c r="T1284" s="2" t="s">
        <v>39</v>
      </c>
      <c r="U1284" s="2" t="s">
        <v>38</v>
      </c>
      <c r="V1284" s="2" t="s">
        <v>38</v>
      </c>
      <c r="W1284" s="2" t="s">
        <v>38</v>
      </c>
      <c r="X1284" s="2" t="s">
        <v>38</v>
      </c>
      <c r="Y1284" s="2" t="s">
        <v>38</v>
      </c>
      <c r="Z1284" s="2" t="s">
        <v>38</v>
      </c>
      <c r="AA1284" s="2" t="s">
        <v>38</v>
      </c>
      <c r="AB1284" s="2" t="s">
        <v>38</v>
      </c>
      <c r="AC1284" s="2" t="s">
        <v>38</v>
      </c>
      <c r="AD1284" s="2" t="s">
        <v>38</v>
      </c>
      <c r="AE1284" s="2" t="s">
        <v>38</v>
      </c>
    </row>
    <row r="1285" spans="1:31" ht="409.5">
      <c r="A1285" s="2">
        <v>2601480</v>
      </c>
      <c r="B1285" s="2">
        <f>HYPERLINK("https://platform.v2.vetology.net/cases/2601480/screening-report/18?type=pdf&amp;v=v6&amp;scorecard=1&amp;secret_key=BX%25IJ%24%2F65ieZ%29f6", 2601480)</f>
        <v>2601480</v>
      </c>
      <c r="C1285" s="2">
        <f>HYPERLINK("https://platform.v2.vetology.net/report/v/final/"&amp;2601480, 2601480)</f>
        <v>2601480</v>
      </c>
      <c r="D1285" s="2" t="s">
        <v>3736</v>
      </c>
      <c r="E1285" s="2" t="s">
        <v>3737</v>
      </c>
      <c r="F1285" s="2" t="s">
        <v>81</v>
      </c>
      <c r="G1285" s="2" t="s">
        <v>82</v>
      </c>
      <c r="H1285" s="2" t="s">
        <v>1500</v>
      </c>
      <c r="I1285" s="2" t="s">
        <v>290</v>
      </c>
      <c r="J1285" s="2" t="s">
        <v>66</v>
      </c>
      <c r="K1285" s="2" t="s">
        <v>38</v>
      </c>
      <c r="L1285" s="2" t="s">
        <v>38</v>
      </c>
      <c r="M1285" s="2" t="s">
        <v>39</v>
      </c>
      <c r="N1285" s="2" t="s">
        <v>38</v>
      </c>
      <c r="O1285" s="2" t="s">
        <v>38</v>
      </c>
      <c r="P1285" s="2" t="s">
        <v>38</v>
      </c>
      <c r="Q1285" s="2" t="s">
        <v>38</v>
      </c>
      <c r="R1285" s="2" t="s">
        <v>38</v>
      </c>
      <c r="S1285" s="2" t="s">
        <v>39</v>
      </c>
      <c r="T1285" s="2" t="s">
        <v>39</v>
      </c>
      <c r="U1285" s="2" t="s">
        <v>38</v>
      </c>
      <c r="V1285" s="2" t="s">
        <v>39</v>
      </c>
      <c r="W1285" s="2" t="s">
        <v>38</v>
      </c>
      <c r="X1285" s="2" t="s">
        <v>39</v>
      </c>
      <c r="Y1285" s="2" t="s">
        <v>38</v>
      </c>
      <c r="Z1285" s="2" t="s">
        <v>39</v>
      </c>
      <c r="AA1285" s="2" t="s">
        <v>38</v>
      </c>
      <c r="AB1285" s="2" t="s">
        <v>39</v>
      </c>
      <c r="AC1285" s="2" t="s">
        <v>38</v>
      </c>
      <c r="AD1285" s="2" t="s">
        <v>38</v>
      </c>
      <c r="AE1285" s="2" t="s">
        <v>38</v>
      </c>
    </row>
    <row r="1286" spans="1:31" ht="409.5">
      <c r="A1286" s="2">
        <v>2601211</v>
      </c>
      <c r="B1286" s="2">
        <f>HYPERLINK("https://platform.v2.vetology.net/cases/2601211/screening-report/18?type=pdf&amp;v=v6&amp;scorecard=1&amp;secret_key=BX%25IJ%24%2F65ieZ%29f6", 2601211)</f>
        <v>2601211</v>
      </c>
      <c r="C1286" s="2">
        <f>HYPERLINK("https://platform.v2.vetology.net/report/v/final/"&amp;2601211, 2601211)</f>
        <v>2601211</v>
      </c>
      <c r="D1286" s="2" t="s">
        <v>3738</v>
      </c>
      <c r="E1286" s="2" t="s">
        <v>3739</v>
      </c>
      <c r="F1286" s="2" t="s">
        <v>3740</v>
      </c>
      <c r="G1286" s="2" t="s">
        <v>34</v>
      </c>
      <c r="H1286" s="2" t="s">
        <v>105</v>
      </c>
      <c r="I1286" s="2" t="s">
        <v>44</v>
      </c>
      <c r="J1286" s="2"/>
      <c r="K1286" s="2" t="s">
        <v>38</v>
      </c>
      <c r="L1286" s="2" t="s">
        <v>38</v>
      </c>
      <c r="M1286" s="2" t="s">
        <v>39</v>
      </c>
      <c r="N1286" s="2" t="s">
        <v>38</v>
      </c>
      <c r="O1286" s="2" t="s">
        <v>38</v>
      </c>
      <c r="P1286" s="2" t="s">
        <v>38</v>
      </c>
      <c r="Q1286" s="2" t="s">
        <v>38</v>
      </c>
      <c r="R1286" s="2" t="s">
        <v>38</v>
      </c>
      <c r="S1286" s="2" t="s">
        <v>38</v>
      </c>
      <c r="T1286" s="2" t="s">
        <v>39</v>
      </c>
      <c r="U1286" s="2" t="s">
        <v>38</v>
      </c>
      <c r="V1286" s="2" t="s">
        <v>38</v>
      </c>
      <c r="W1286" s="2" t="s">
        <v>38</v>
      </c>
      <c r="X1286" s="2" t="s">
        <v>38</v>
      </c>
      <c r="Y1286" s="2" t="s">
        <v>38</v>
      </c>
      <c r="Z1286" s="2" t="s">
        <v>38</v>
      </c>
      <c r="AA1286" s="2" t="s">
        <v>38</v>
      </c>
      <c r="AB1286" s="2" t="s">
        <v>38</v>
      </c>
      <c r="AC1286" s="2" t="s">
        <v>38</v>
      </c>
      <c r="AD1286" s="2" t="s">
        <v>38</v>
      </c>
      <c r="AE1286" s="2" t="s">
        <v>38</v>
      </c>
    </row>
    <row r="1287" spans="1:31" ht="409.5">
      <c r="A1287" s="2">
        <v>2601159</v>
      </c>
      <c r="B1287" s="2">
        <f>HYPERLINK("https://platform.v2.vetology.net/cases/2601159/screening-report/18?type=pdf&amp;v=v6&amp;scorecard=1&amp;secret_key=BX%25IJ%24%2F65ieZ%29f6", 2601159)</f>
        <v>2601159</v>
      </c>
      <c r="C1287" s="2">
        <f>HYPERLINK("https://platform.v2.vetology.net/report/v/final/"&amp;2601159, 2601159)</f>
        <v>2601159</v>
      </c>
      <c r="D1287" s="2" t="s">
        <v>3741</v>
      </c>
      <c r="E1287" s="2" t="s">
        <v>3742</v>
      </c>
      <c r="F1287" s="2" t="s">
        <v>3743</v>
      </c>
      <c r="G1287" s="2" t="s">
        <v>135</v>
      </c>
      <c r="H1287" s="2" t="s">
        <v>1416</v>
      </c>
      <c r="I1287" s="2" t="s">
        <v>284</v>
      </c>
      <c r="J1287" s="2" t="s">
        <v>285</v>
      </c>
      <c r="K1287" s="2" t="s">
        <v>38</v>
      </c>
      <c r="L1287" s="2" t="s">
        <v>38</v>
      </c>
      <c r="M1287" s="2" t="s">
        <v>38</v>
      </c>
      <c r="N1287" s="2" t="s">
        <v>38</v>
      </c>
      <c r="O1287" s="2" t="s">
        <v>38</v>
      </c>
      <c r="P1287" s="2" t="s">
        <v>38</v>
      </c>
      <c r="Q1287" s="2" t="s">
        <v>38</v>
      </c>
      <c r="R1287" s="2" t="s">
        <v>38</v>
      </c>
      <c r="S1287" s="2" t="s">
        <v>38</v>
      </c>
      <c r="T1287" s="2" t="s">
        <v>38</v>
      </c>
      <c r="U1287" s="2" t="s">
        <v>38</v>
      </c>
      <c r="V1287" s="2" t="s">
        <v>38</v>
      </c>
      <c r="W1287" s="2" t="s">
        <v>38</v>
      </c>
      <c r="X1287" s="2" t="s">
        <v>38</v>
      </c>
      <c r="Y1287" s="2" t="s">
        <v>38</v>
      </c>
      <c r="Z1287" s="2" t="s">
        <v>38</v>
      </c>
      <c r="AA1287" s="2" t="s">
        <v>38</v>
      </c>
      <c r="AB1287" s="2" t="s">
        <v>38</v>
      </c>
      <c r="AC1287" s="2" t="s">
        <v>38</v>
      </c>
      <c r="AD1287" s="2" t="s">
        <v>38</v>
      </c>
      <c r="AE1287" s="2" t="s">
        <v>38</v>
      </c>
    </row>
    <row r="1288" spans="1:31" ht="409.5">
      <c r="A1288" s="2">
        <v>2597856</v>
      </c>
      <c r="B1288" s="2">
        <f>HYPERLINK("https://platform.v2.vetology.net/cases/2597856/screening-report/18?type=pdf&amp;v=v6&amp;scorecard=1&amp;secret_key=BX%25IJ%24%2F65ieZ%29f6", 2597856)</f>
        <v>2597856</v>
      </c>
      <c r="C1288" s="2">
        <f>HYPERLINK("https://platform.v2.vetology.net/report/v/final/"&amp;2597856, 2597856)</f>
        <v>2597856</v>
      </c>
      <c r="D1288" s="2" t="s">
        <v>3744</v>
      </c>
      <c r="E1288" s="2" t="s">
        <v>3745</v>
      </c>
      <c r="F1288" s="2" t="s">
        <v>3746</v>
      </c>
      <c r="G1288" s="2" t="s">
        <v>464</v>
      </c>
      <c r="H1288" s="2" t="s">
        <v>88</v>
      </c>
      <c r="I1288" s="2" t="s">
        <v>89</v>
      </c>
      <c r="J1288" s="2" t="s">
        <v>66</v>
      </c>
      <c r="K1288" s="2" t="s">
        <v>38</v>
      </c>
      <c r="L1288" s="2" t="s">
        <v>39</v>
      </c>
      <c r="M1288" s="2" t="s">
        <v>38</v>
      </c>
      <c r="N1288" s="2" t="s">
        <v>38</v>
      </c>
      <c r="O1288" s="2" t="s">
        <v>38</v>
      </c>
      <c r="P1288" s="2" t="s">
        <v>38</v>
      </c>
      <c r="Q1288" s="2" t="s">
        <v>38</v>
      </c>
      <c r="R1288" s="2" t="s">
        <v>38</v>
      </c>
      <c r="S1288" s="2" t="s">
        <v>38</v>
      </c>
      <c r="T1288" s="2" t="s">
        <v>38</v>
      </c>
      <c r="U1288" s="2" t="s">
        <v>38</v>
      </c>
      <c r="V1288" s="2" t="s">
        <v>38</v>
      </c>
      <c r="W1288" s="2" t="s">
        <v>38</v>
      </c>
      <c r="X1288" s="2" t="s">
        <v>38</v>
      </c>
      <c r="Y1288" s="2" t="s">
        <v>38</v>
      </c>
      <c r="Z1288" s="2" t="s">
        <v>38</v>
      </c>
      <c r="AA1288" s="2" t="s">
        <v>38</v>
      </c>
      <c r="AB1288" s="2" t="s">
        <v>38</v>
      </c>
      <c r="AC1288" s="2" t="s">
        <v>38</v>
      </c>
      <c r="AD1288" s="2" t="s">
        <v>38</v>
      </c>
      <c r="AE1288" s="2" t="s">
        <v>39</v>
      </c>
    </row>
    <row r="1289" spans="1:31" ht="409.5">
      <c r="A1289" s="2">
        <v>2597378</v>
      </c>
      <c r="B1289" s="2">
        <f>HYPERLINK("https://platform.v2.vetology.net/cases/2597378/screening-report/18?type=pdf&amp;v=v6&amp;scorecard=1&amp;secret_key=BX%25IJ%24%2F65ieZ%29f6", 2597378)</f>
        <v>2597378</v>
      </c>
      <c r="C1289" s="2">
        <f>HYPERLINK("https://platform.v2.vetology.net/report/v/final/"&amp;2597378, 2597378)</f>
        <v>2597378</v>
      </c>
      <c r="D1289" s="2" t="s">
        <v>3747</v>
      </c>
      <c r="E1289" s="2" t="s">
        <v>3748</v>
      </c>
      <c r="F1289" s="2" t="s">
        <v>3523</v>
      </c>
      <c r="G1289" s="2" t="s">
        <v>141</v>
      </c>
      <c r="H1289" s="2" t="s">
        <v>851</v>
      </c>
      <c r="I1289" s="2" t="s">
        <v>214</v>
      </c>
      <c r="J1289" s="2" t="s">
        <v>50</v>
      </c>
      <c r="K1289" s="2" t="s">
        <v>38</v>
      </c>
      <c r="L1289" s="2" t="s">
        <v>39</v>
      </c>
      <c r="M1289" s="2" t="s">
        <v>39</v>
      </c>
      <c r="N1289" s="2" t="s">
        <v>38</v>
      </c>
      <c r="O1289" s="2" t="s">
        <v>38</v>
      </c>
      <c r="P1289" s="2" t="s">
        <v>38</v>
      </c>
      <c r="Q1289" s="2" t="s">
        <v>38</v>
      </c>
      <c r="R1289" s="2" t="s">
        <v>38</v>
      </c>
      <c r="S1289" s="2" t="s">
        <v>38</v>
      </c>
      <c r="T1289" s="2" t="s">
        <v>39</v>
      </c>
      <c r="U1289" s="2" t="s">
        <v>38</v>
      </c>
      <c r="V1289" s="2" t="s">
        <v>39</v>
      </c>
      <c r="W1289" s="2" t="s">
        <v>38</v>
      </c>
      <c r="X1289" s="2" t="s">
        <v>39</v>
      </c>
      <c r="Y1289" s="2" t="s">
        <v>38</v>
      </c>
      <c r="Z1289" s="2" t="s">
        <v>39</v>
      </c>
      <c r="AA1289" s="2" t="s">
        <v>38</v>
      </c>
      <c r="AB1289" s="2" t="s">
        <v>39</v>
      </c>
      <c r="AC1289" s="2" t="s">
        <v>38</v>
      </c>
      <c r="AD1289" s="2" t="s">
        <v>38</v>
      </c>
      <c r="AE1289" s="2" t="s">
        <v>38</v>
      </c>
    </row>
    <row r="1290" spans="1:31" ht="409.5">
      <c r="A1290" s="2">
        <v>2597186</v>
      </c>
      <c r="B1290" s="2">
        <f>HYPERLINK("https://platform.v2.vetology.net/cases/2597186/screening-report/18?type=pdf&amp;v=v6&amp;scorecard=1&amp;secret_key=BX%25IJ%24%2F65ieZ%29f6", 2597186)</f>
        <v>2597186</v>
      </c>
      <c r="C1290" s="2">
        <f>HYPERLINK("https://platform.v2.vetology.net/report/v/final/"&amp;2597186, 2597186)</f>
        <v>2597186</v>
      </c>
      <c r="D1290" s="2" t="s">
        <v>3749</v>
      </c>
      <c r="E1290" s="2" t="s">
        <v>3750</v>
      </c>
      <c r="F1290" s="2" t="s">
        <v>3751</v>
      </c>
      <c r="G1290" s="2" t="s">
        <v>575</v>
      </c>
      <c r="H1290" s="2" t="s">
        <v>71</v>
      </c>
      <c r="I1290" s="2" t="s">
        <v>44</v>
      </c>
      <c r="J1290" s="2"/>
      <c r="K1290" s="2" t="s">
        <v>38</v>
      </c>
      <c r="L1290" s="2" t="s">
        <v>39</v>
      </c>
      <c r="M1290" s="2" t="s">
        <v>39</v>
      </c>
      <c r="N1290" s="2" t="s">
        <v>38</v>
      </c>
      <c r="O1290" s="2" t="s">
        <v>38</v>
      </c>
      <c r="P1290" s="2" t="s">
        <v>39</v>
      </c>
      <c r="Q1290" s="2" t="s">
        <v>38</v>
      </c>
      <c r="R1290" s="2" t="s">
        <v>38</v>
      </c>
      <c r="S1290" s="2" t="s">
        <v>38</v>
      </c>
      <c r="T1290" s="2" t="s">
        <v>39</v>
      </c>
      <c r="U1290" s="2" t="s">
        <v>38</v>
      </c>
      <c r="V1290" s="2" t="s">
        <v>38</v>
      </c>
      <c r="W1290" s="2" t="s">
        <v>38</v>
      </c>
      <c r="X1290" s="2" t="s">
        <v>38</v>
      </c>
      <c r="Y1290" s="2" t="s">
        <v>38</v>
      </c>
      <c r="Z1290" s="2" t="s">
        <v>38</v>
      </c>
      <c r="AA1290" s="2" t="s">
        <v>38</v>
      </c>
      <c r="AB1290" s="2" t="s">
        <v>38</v>
      </c>
      <c r="AC1290" s="2" t="s">
        <v>38</v>
      </c>
      <c r="AD1290" s="2" t="s">
        <v>38</v>
      </c>
      <c r="AE1290" s="2" t="s">
        <v>38</v>
      </c>
    </row>
    <row r="1291" spans="1:31" ht="409.5">
      <c r="A1291" s="2">
        <v>2597154</v>
      </c>
      <c r="B1291" s="2">
        <f>HYPERLINK("https://platform.v2.vetology.net/cases/2597154/screening-report/18?type=pdf&amp;v=v6&amp;scorecard=1&amp;secret_key=BX%25IJ%24%2F65ieZ%29f6", 2597154)</f>
        <v>2597154</v>
      </c>
      <c r="C1291" s="2">
        <f>HYPERLINK("https://platform.v2.vetology.net/report/v/final/"&amp;2597154, 2597154)</f>
        <v>2597154</v>
      </c>
      <c r="D1291" s="2" t="s">
        <v>3752</v>
      </c>
      <c r="E1291" s="2" t="s">
        <v>3753</v>
      </c>
      <c r="F1291" s="2" t="s">
        <v>3754</v>
      </c>
      <c r="G1291" s="2" t="s">
        <v>135</v>
      </c>
      <c r="H1291" s="2" t="s">
        <v>360</v>
      </c>
      <c r="I1291" s="2" t="s">
        <v>284</v>
      </c>
      <c r="J1291" s="2" t="s">
        <v>285</v>
      </c>
      <c r="K1291" s="2" t="s">
        <v>38</v>
      </c>
      <c r="L1291" s="2" t="s">
        <v>38</v>
      </c>
      <c r="M1291" s="2" t="s">
        <v>38</v>
      </c>
      <c r="N1291" s="2" t="s">
        <v>38</v>
      </c>
      <c r="O1291" s="2" t="s">
        <v>38</v>
      </c>
      <c r="P1291" s="2" t="s">
        <v>38</v>
      </c>
      <c r="Q1291" s="2" t="s">
        <v>38</v>
      </c>
      <c r="R1291" s="2" t="s">
        <v>38</v>
      </c>
      <c r="S1291" s="2" t="s">
        <v>38</v>
      </c>
      <c r="T1291" s="2" t="s">
        <v>38</v>
      </c>
      <c r="U1291" s="2" t="s">
        <v>38</v>
      </c>
      <c r="V1291" s="2" t="s">
        <v>38</v>
      </c>
      <c r="W1291" s="2" t="s">
        <v>38</v>
      </c>
      <c r="X1291" s="2" t="s">
        <v>38</v>
      </c>
      <c r="Y1291" s="2" t="s">
        <v>38</v>
      </c>
      <c r="Z1291" s="2" t="s">
        <v>38</v>
      </c>
      <c r="AA1291" s="2" t="s">
        <v>38</v>
      </c>
      <c r="AB1291" s="2" t="s">
        <v>38</v>
      </c>
      <c r="AC1291" s="2" t="s">
        <v>38</v>
      </c>
      <c r="AD1291" s="2" t="s">
        <v>38</v>
      </c>
      <c r="AE1291" s="2" t="s">
        <v>38</v>
      </c>
    </row>
    <row r="1292" spans="1:31" ht="409.5">
      <c r="A1292" s="2">
        <v>2596935</v>
      </c>
      <c r="B1292" s="2">
        <f>HYPERLINK("https://platform.v2.vetology.net/cases/2596935/screening-report/18?type=pdf&amp;v=v6&amp;scorecard=1&amp;secret_key=BX%25IJ%24%2F65ieZ%29f6", 2596935)</f>
        <v>2596935</v>
      </c>
      <c r="C1292" s="2">
        <f>HYPERLINK("https://platform.v2.vetology.net/report/v/final/"&amp;2596935, 2596935)</f>
        <v>2596935</v>
      </c>
      <c r="D1292" s="2" t="s">
        <v>3755</v>
      </c>
      <c r="E1292" s="2" t="s">
        <v>3756</v>
      </c>
      <c r="F1292" s="2" t="s">
        <v>3757</v>
      </c>
      <c r="G1292" s="2" t="s">
        <v>63</v>
      </c>
      <c r="H1292" s="2" t="s">
        <v>442</v>
      </c>
      <c r="I1292" s="2" t="s">
        <v>36</v>
      </c>
      <c r="J1292" s="2" t="s">
        <v>37</v>
      </c>
      <c r="K1292" s="2" t="s">
        <v>38</v>
      </c>
      <c r="L1292" s="2" t="s">
        <v>39</v>
      </c>
      <c r="M1292" s="2" t="s">
        <v>38</v>
      </c>
      <c r="N1292" s="2" t="s">
        <v>38</v>
      </c>
      <c r="O1292" s="2" t="s">
        <v>38</v>
      </c>
      <c r="P1292" s="2" t="s">
        <v>38</v>
      </c>
      <c r="Q1292" s="2" t="s">
        <v>38</v>
      </c>
      <c r="R1292" s="2" t="s">
        <v>38</v>
      </c>
      <c r="S1292" s="2" t="s">
        <v>38</v>
      </c>
      <c r="T1292" s="2" t="s">
        <v>38</v>
      </c>
      <c r="U1292" s="2" t="s">
        <v>38</v>
      </c>
      <c r="V1292" s="2" t="s">
        <v>38</v>
      </c>
      <c r="W1292" s="2" t="s">
        <v>38</v>
      </c>
      <c r="X1292" s="2" t="s">
        <v>38</v>
      </c>
      <c r="Y1292" s="2" t="s">
        <v>38</v>
      </c>
      <c r="Z1292" s="2" t="s">
        <v>38</v>
      </c>
      <c r="AA1292" s="2" t="s">
        <v>38</v>
      </c>
      <c r="AB1292" s="2" t="s">
        <v>38</v>
      </c>
      <c r="AC1292" s="2" t="s">
        <v>38</v>
      </c>
      <c r="AD1292" s="2" t="s">
        <v>38</v>
      </c>
      <c r="AE1292" s="2" t="s">
        <v>38</v>
      </c>
    </row>
    <row r="1293" spans="1:31" ht="409.5">
      <c r="A1293" s="2">
        <v>2596847</v>
      </c>
      <c r="B1293" s="2">
        <f>HYPERLINK("https://platform.v2.vetology.net/cases/2596847/screening-report/18?type=pdf&amp;v=v6&amp;scorecard=1&amp;secret_key=BX%25IJ%24%2F65ieZ%29f6", 2596847)</f>
        <v>2596847</v>
      </c>
      <c r="C1293" s="2">
        <f>HYPERLINK("https://platform.v2.vetology.net/report/v/final/"&amp;2596847, 2596847)</f>
        <v>2596847</v>
      </c>
      <c r="D1293" s="2" t="s">
        <v>3758</v>
      </c>
      <c r="E1293" s="2" t="s">
        <v>3759</v>
      </c>
      <c r="F1293" s="2" t="s">
        <v>3760</v>
      </c>
      <c r="G1293" s="2" t="s">
        <v>63</v>
      </c>
      <c r="H1293" s="2" t="s">
        <v>3761</v>
      </c>
      <c r="I1293" s="2" t="s">
        <v>503</v>
      </c>
      <c r="J1293" s="2" t="s">
        <v>66</v>
      </c>
      <c r="K1293" s="2" t="s">
        <v>38</v>
      </c>
      <c r="L1293" s="2" t="s">
        <v>39</v>
      </c>
      <c r="M1293" s="2" t="s">
        <v>39</v>
      </c>
      <c r="N1293" s="2" t="s">
        <v>39</v>
      </c>
      <c r="O1293" s="2" t="s">
        <v>38</v>
      </c>
      <c r="P1293" s="2" t="s">
        <v>39</v>
      </c>
      <c r="Q1293" s="2" t="s">
        <v>38</v>
      </c>
      <c r="R1293" s="2" t="s">
        <v>38</v>
      </c>
      <c r="S1293" s="2" t="s">
        <v>38</v>
      </c>
      <c r="T1293" s="2" t="s">
        <v>38</v>
      </c>
      <c r="U1293" s="2" t="s">
        <v>38</v>
      </c>
      <c r="V1293" s="2" t="s">
        <v>38</v>
      </c>
      <c r="W1293" s="2" t="s">
        <v>38</v>
      </c>
      <c r="X1293" s="2" t="s">
        <v>38</v>
      </c>
      <c r="Y1293" s="2" t="s">
        <v>38</v>
      </c>
      <c r="Z1293" s="2" t="s">
        <v>39</v>
      </c>
      <c r="AA1293" s="2" t="s">
        <v>38</v>
      </c>
      <c r="AB1293" s="2" t="s">
        <v>39</v>
      </c>
      <c r="AC1293" s="2" t="s">
        <v>39</v>
      </c>
      <c r="AD1293" s="2" t="s">
        <v>38</v>
      </c>
      <c r="AE1293" s="2" t="s">
        <v>38</v>
      </c>
    </row>
    <row r="1294" spans="1:31" ht="409.5">
      <c r="A1294" s="2">
        <v>2596814</v>
      </c>
      <c r="B1294" s="2">
        <f>HYPERLINK("https://platform.v2.vetology.net/cases/2596814/screening-report/18?type=pdf&amp;v=v6&amp;scorecard=1&amp;secret_key=BX%25IJ%24%2F65ieZ%29f6", 2596814)</f>
        <v>2596814</v>
      </c>
      <c r="C1294" s="2">
        <f>HYPERLINK("https://platform.v2.vetology.net/report/v/final/"&amp;2596814, 2596814)</f>
        <v>2596814</v>
      </c>
      <c r="D1294" s="2" t="s">
        <v>3762</v>
      </c>
      <c r="E1294" s="2" t="s">
        <v>3763</v>
      </c>
      <c r="F1294" s="2"/>
      <c r="G1294" s="2" t="s">
        <v>141</v>
      </c>
      <c r="H1294" s="2" t="s">
        <v>129</v>
      </c>
      <c r="I1294" s="2" t="s">
        <v>44</v>
      </c>
      <c r="J1294" s="2" t="s">
        <v>106</v>
      </c>
      <c r="K1294" s="2" t="s">
        <v>38</v>
      </c>
      <c r="L1294" s="2" t="s">
        <v>38</v>
      </c>
      <c r="M1294" s="2" t="s">
        <v>38</v>
      </c>
      <c r="N1294" s="2" t="s">
        <v>38</v>
      </c>
      <c r="O1294" s="2" t="s">
        <v>38</v>
      </c>
      <c r="P1294" s="2" t="s">
        <v>38</v>
      </c>
      <c r="Q1294" s="2" t="s">
        <v>38</v>
      </c>
      <c r="R1294" s="2" t="s">
        <v>38</v>
      </c>
      <c r="S1294" s="2" t="s">
        <v>38</v>
      </c>
      <c r="T1294" s="2" t="s">
        <v>38</v>
      </c>
      <c r="U1294" s="2" t="s">
        <v>38</v>
      </c>
      <c r="V1294" s="2" t="s">
        <v>38</v>
      </c>
      <c r="W1294" s="2" t="s">
        <v>38</v>
      </c>
      <c r="X1294" s="2" t="s">
        <v>38</v>
      </c>
      <c r="Y1294" s="2" t="s">
        <v>38</v>
      </c>
      <c r="Z1294" s="2" t="s">
        <v>38</v>
      </c>
      <c r="AA1294" s="2" t="s">
        <v>38</v>
      </c>
      <c r="AB1294" s="2" t="s">
        <v>38</v>
      </c>
      <c r="AC1294" s="2" t="s">
        <v>38</v>
      </c>
      <c r="AD1294" s="2" t="s">
        <v>38</v>
      </c>
      <c r="AE1294" s="2" t="s">
        <v>38</v>
      </c>
    </row>
    <row r="1295" spans="1:31" ht="409.5">
      <c r="A1295" s="2">
        <v>2596772</v>
      </c>
      <c r="B1295" s="2">
        <f>HYPERLINK("https://platform.v2.vetology.net/cases/2596772/screening-report/18?type=pdf&amp;v=v6&amp;scorecard=1&amp;secret_key=BX%25IJ%24%2F65ieZ%29f6", 2596772)</f>
        <v>2596772</v>
      </c>
      <c r="C1295" s="2">
        <f>HYPERLINK("https://platform.v2.vetology.net/report/v/final/"&amp;2596772, 2596772)</f>
        <v>2596772</v>
      </c>
      <c r="D1295" s="2" t="s">
        <v>3407</v>
      </c>
      <c r="E1295" s="2" t="s">
        <v>3408</v>
      </c>
      <c r="F1295" s="2" t="s">
        <v>3764</v>
      </c>
      <c r="G1295" s="2" t="s">
        <v>135</v>
      </c>
      <c r="H1295" s="2" t="s">
        <v>54</v>
      </c>
      <c r="I1295" s="2" t="s">
        <v>44</v>
      </c>
      <c r="J1295" s="2"/>
      <c r="K1295" s="2" t="s">
        <v>38</v>
      </c>
      <c r="L1295" s="2" t="s">
        <v>38</v>
      </c>
      <c r="M1295" s="2" t="s">
        <v>38</v>
      </c>
      <c r="N1295" s="2" t="s">
        <v>38</v>
      </c>
      <c r="O1295" s="2" t="s">
        <v>38</v>
      </c>
      <c r="P1295" s="2" t="s">
        <v>38</v>
      </c>
      <c r="Q1295" s="2" t="s">
        <v>38</v>
      </c>
      <c r="R1295" s="2" t="s">
        <v>38</v>
      </c>
      <c r="S1295" s="2" t="s">
        <v>38</v>
      </c>
      <c r="T1295" s="2" t="s">
        <v>39</v>
      </c>
      <c r="U1295" s="2" t="s">
        <v>38</v>
      </c>
      <c r="V1295" s="2" t="s">
        <v>39</v>
      </c>
      <c r="W1295" s="2" t="s">
        <v>38</v>
      </c>
      <c r="X1295" s="2" t="s">
        <v>39</v>
      </c>
      <c r="Y1295" s="2" t="s">
        <v>38</v>
      </c>
      <c r="Z1295" s="2" t="s">
        <v>38</v>
      </c>
      <c r="AA1295" s="2" t="s">
        <v>38</v>
      </c>
      <c r="AB1295" s="2" t="s">
        <v>38</v>
      </c>
      <c r="AC1295" s="2" t="s">
        <v>38</v>
      </c>
      <c r="AD1295" s="2" t="s">
        <v>38</v>
      </c>
      <c r="AE1295" s="2" t="s">
        <v>38</v>
      </c>
    </row>
    <row r="1296" spans="1:31" ht="409.5">
      <c r="A1296" s="2">
        <v>2596749</v>
      </c>
      <c r="B1296" s="2">
        <f>HYPERLINK("https://platform.v2.vetology.net/cases/2596749/screening-report/18?type=pdf&amp;v=v6&amp;scorecard=1&amp;secret_key=BX%25IJ%24%2F65ieZ%29f6", 2596749)</f>
        <v>2596749</v>
      </c>
      <c r="C1296" s="2">
        <f>HYPERLINK("https://platform.v2.vetology.net/report/v/final/"&amp;2596749, 2596749)</f>
        <v>2596749</v>
      </c>
      <c r="D1296" s="2" t="s">
        <v>229</v>
      </c>
      <c r="E1296" s="2" t="s">
        <v>148</v>
      </c>
      <c r="F1296" s="2" t="s">
        <v>149</v>
      </c>
      <c r="G1296" s="2" t="s">
        <v>150</v>
      </c>
      <c r="H1296" s="2" t="s">
        <v>3765</v>
      </c>
      <c r="I1296" s="2" t="s">
        <v>227</v>
      </c>
      <c r="J1296" s="2" t="s">
        <v>228</v>
      </c>
      <c r="K1296" s="2" t="s">
        <v>38</v>
      </c>
      <c r="L1296" s="2" t="s">
        <v>39</v>
      </c>
      <c r="M1296" s="2" t="s">
        <v>38</v>
      </c>
      <c r="N1296" s="2" t="s">
        <v>39</v>
      </c>
      <c r="O1296" s="2" t="s">
        <v>38</v>
      </c>
      <c r="P1296" s="2" t="s">
        <v>39</v>
      </c>
      <c r="Q1296" s="2" t="s">
        <v>39</v>
      </c>
      <c r="R1296" s="2" t="s">
        <v>38</v>
      </c>
      <c r="S1296" s="2" t="s">
        <v>38</v>
      </c>
      <c r="T1296" s="2" t="s">
        <v>38</v>
      </c>
      <c r="U1296" s="2" t="s">
        <v>38</v>
      </c>
      <c r="V1296" s="2" t="s">
        <v>38</v>
      </c>
      <c r="W1296" s="2" t="s">
        <v>38</v>
      </c>
      <c r="X1296" s="2" t="s">
        <v>38</v>
      </c>
      <c r="Y1296" s="2" t="s">
        <v>38</v>
      </c>
      <c r="Z1296" s="2" t="s">
        <v>38</v>
      </c>
      <c r="AA1296" s="2" t="s">
        <v>38</v>
      </c>
      <c r="AB1296" s="2" t="s">
        <v>39</v>
      </c>
      <c r="AC1296" s="2" t="s">
        <v>39</v>
      </c>
      <c r="AD1296" s="2" t="s">
        <v>38</v>
      </c>
      <c r="AE1296" s="2" t="s">
        <v>38</v>
      </c>
    </row>
    <row r="1297" spans="1:31" ht="409.5">
      <c r="A1297" s="2">
        <v>2596685</v>
      </c>
      <c r="B1297" s="2">
        <f>HYPERLINK("https://platform.v2.vetology.net/cases/2596685/screening-report/18?type=pdf&amp;v=v6&amp;scorecard=1&amp;secret_key=BX%25IJ%24%2F65ieZ%29f6", 2596685)</f>
        <v>2596685</v>
      </c>
      <c r="C1297" s="2">
        <f>HYPERLINK("https://platform.v2.vetology.net/report/v/final/"&amp;2596685, 2596685)</f>
        <v>2596685</v>
      </c>
      <c r="D1297" s="2" t="s">
        <v>3766</v>
      </c>
      <c r="E1297" s="2" t="s">
        <v>3767</v>
      </c>
      <c r="F1297" s="2" t="s">
        <v>3768</v>
      </c>
      <c r="G1297" s="2" t="s">
        <v>135</v>
      </c>
      <c r="H1297" s="2" t="s">
        <v>54</v>
      </c>
      <c r="I1297" s="2" t="s">
        <v>44</v>
      </c>
      <c r="J1297" s="2" t="s">
        <v>106</v>
      </c>
      <c r="K1297" s="2" t="s">
        <v>38</v>
      </c>
      <c r="L1297" s="2" t="s">
        <v>39</v>
      </c>
      <c r="M1297" s="2" t="s">
        <v>38</v>
      </c>
      <c r="N1297" s="2" t="s">
        <v>38</v>
      </c>
      <c r="O1297" s="2" t="s">
        <v>38</v>
      </c>
      <c r="P1297" s="2" t="s">
        <v>39</v>
      </c>
      <c r="Q1297" s="2" t="s">
        <v>38</v>
      </c>
      <c r="R1297" s="2" t="s">
        <v>38</v>
      </c>
      <c r="S1297" s="2" t="s">
        <v>38</v>
      </c>
      <c r="T1297" s="2" t="s">
        <v>39</v>
      </c>
      <c r="U1297" s="2" t="s">
        <v>38</v>
      </c>
      <c r="V1297" s="2" t="s">
        <v>39</v>
      </c>
      <c r="W1297" s="2" t="s">
        <v>38</v>
      </c>
      <c r="X1297" s="2" t="s">
        <v>39</v>
      </c>
      <c r="Y1297" s="2" t="s">
        <v>38</v>
      </c>
      <c r="Z1297" s="2" t="s">
        <v>38</v>
      </c>
      <c r="AA1297" s="2" t="s">
        <v>38</v>
      </c>
      <c r="AB1297" s="2" t="s">
        <v>38</v>
      </c>
      <c r="AC1297" s="2" t="s">
        <v>38</v>
      </c>
      <c r="AD1297" s="2" t="s">
        <v>38</v>
      </c>
      <c r="AE1297" s="2" t="s">
        <v>38</v>
      </c>
    </row>
    <row r="1298" spans="1:31" ht="409.5">
      <c r="A1298" s="2">
        <v>2596580</v>
      </c>
      <c r="B1298" s="2">
        <f>HYPERLINK("https://platform.v2.vetology.net/cases/2596580/screening-report/18?type=pdf&amp;v=v6&amp;scorecard=1&amp;secret_key=BX%25IJ%24%2F65ieZ%29f6", 2596580)</f>
        <v>2596580</v>
      </c>
      <c r="C1298" s="2">
        <f>HYPERLINK("https://platform.v2.vetology.net/report/v/final/"&amp;2596580, 2596580)</f>
        <v>2596580</v>
      </c>
      <c r="D1298" s="2" t="s">
        <v>414</v>
      </c>
      <c r="E1298" s="2" t="s">
        <v>3769</v>
      </c>
      <c r="F1298" s="2" t="s">
        <v>3770</v>
      </c>
      <c r="G1298" s="2" t="s">
        <v>135</v>
      </c>
      <c r="H1298" s="2" t="s">
        <v>607</v>
      </c>
      <c r="I1298" s="2" t="s">
        <v>137</v>
      </c>
      <c r="J1298" s="2" t="s">
        <v>66</v>
      </c>
      <c r="K1298" s="2" t="s">
        <v>38</v>
      </c>
      <c r="L1298" s="2" t="s">
        <v>38</v>
      </c>
      <c r="M1298" s="2" t="s">
        <v>38</v>
      </c>
      <c r="N1298" s="2" t="s">
        <v>38</v>
      </c>
      <c r="O1298" s="2" t="s">
        <v>38</v>
      </c>
      <c r="P1298" s="2" t="s">
        <v>38</v>
      </c>
      <c r="Q1298" s="2" t="s">
        <v>38</v>
      </c>
      <c r="R1298" s="2" t="s">
        <v>38</v>
      </c>
      <c r="S1298" s="2" t="s">
        <v>38</v>
      </c>
      <c r="T1298" s="2" t="s">
        <v>38</v>
      </c>
      <c r="U1298" s="2" t="s">
        <v>38</v>
      </c>
      <c r="V1298" s="2" t="s">
        <v>38</v>
      </c>
      <c r="W1298" s="2" t="s">
        <v>38</v>
      </c>
      <c r="X1298" s="2" t="s">
        <v>39</v>
      </c>
      <c r="Y1298" s="2" t="s">
        <v>38</v>
      </c>
      <c r="Z1298" s="2" t="s">
        <v>38</v>
      </c>
      <c r="AA1298" s="2" t="s">
        <v>38</v>
      </c>
      <c r="AB1298" s="2" t="s">
        <v>38</v>
      </c>
      <c r="AC1298" s="2" t="s">
        <v>38</v>
      </c>
      <c r="AD1298" s="2" t="s">
        <v>38</v>
      </c>
      <c r="AE1298" s="2" t="s">
        <v>38</v>
      </c>
    </row>
    <row r="1299" spans="1:31" ht="409.5">
      <c r="A1299" s="2">
        <v>2596331</v>
      </c>
      <c r="B1299" s="2">
        <f>HYPERLINK("https://platform.v2.vetology.net/cases/2596331/screening-report/18?type=pdf&amp;v=v6&amp;scorecard=1&amp;secret_key=BX%25IJ%24%2F65ieZ%29f6", 2596331)</f>
        <v>2596331</v>
      </c>
      <c r="C1299" s="2">
        <f>HYPERLINK("https://platform.v2.vetology.net/report/v/final/"&amp;2596331, 2596331)</f>
        <v>2596331</v>
      </c>
      <c r="D1299" s="2" t="s">
        <v>849</v>
      </c>
      <c r="E1299" s="2" t="s">
        <v>850</v>
      </c>
      <c r="F1299" s="2"/>
      <c r="G1299" s="2" t="s">
        <v>150</v>
      </c>
      <c r="H1299" s="2" t="s">
        <v>3771</v>
      </c>
      <c r="I1299" s="2" t="s">
        <v>89</v>
      </c>
      <c r="J1299" s="2" t="s">
        <v>66</v>
      </c>
      <c r="K1299" s="2" t="s">
        <v>38</v>
      </c>
      <c r="L1299" s="2" t="s">
        <v>39</v>
      </c>
      <c r="M1299" s="2" t="s">
        <v>39</v>
      </c>
      <c r="N1299" s="2" t="s">
        <v>38</v>
      </c>
      <c r="O1299" s="2" t="s">
        <v>38</v>
      </c>
      <c r="P1299" s="2" t="s">
        <v>38</v>
      </c>
      <c r="Q1299" s="2" t="s">
        <v>39</v>
      </c>
      <c r="R1299" s="2" t="s">
        <v>38</v>
      </c>
      <c r="S1299" s="2" t="s">
        <v>38</v>
      </c>
      <c r="T1299" s="2" t="s">
        <v>39</v>
      </c>
      <c r="U1299" s="2" t="s">
        <v>38</v>
      </c>
      <c r="V1299" s="2" t="s">
        <v>38</v>
      </c>
      <c r="W1299" s="2" t="s">
        <v>38</v>
      </c>
      <c r="X1299" s="2" t="s">
        <v>38</v>
      </c>
      <c r="Y1299" s="2" t="s">
        <v>38</v>
      </c>
      <c r="Z1299" s="2" t="s">
        <v>38</v>
      </c>
      <c r="AA1299" s="2" t="s">
        <v>38</v>
      </c>
      <c r="AB1299" s="2" t="s">
        <v>39</v>
      </c>
      <c r="AC1299" s="2" t="s">
        <v>38</v>
      </c>
      <c r="AD1299" s="2" t="s">
        <v>38</v>
      </c>
      <c r="AE1299" s="2" t="s">
        <v>39</v>
      </c>
    </row>
    <row r="1300" spans="1:31" ht="409.5">
      <c r="A1300" s="2">
        <v>2595895</v>
      </c>
      <c r="B1300" s="2">
        <f>HYPERLINK("https://platform.v2.vetology.net/cases/2595895/screening-report/18?type=pdf&amp;v=v6&amp;scorecard=1&amp;secret_key=BX%25IJ%24%2F65ieZ%29f6", 2595895)</f>
        <v>2595895</v>
      </c>
      <c r="C1300" s="2">
        <f>HYPERLINK("https://platform.v2.vetology.net/report/v/final/"&amp;2595895, 2595895)</f>
        <v>2595895</v>
      </c>
      <c r="D1300" s="2" t="s">
        <v>3772</v>
      </c>
      <c r="E1300" s="2" t="s">
        <v>3773</v>
      </c>
      <c r="F1300" s="2" t="s">
        <v>81</v>
      </c>
      <c r="G1300" s="2" t="s">
        <v>150</v>
      </c>
      <c r="H1300" s="2" t="s">
        <v>54</v>
      </c>
      <c r="I1300" s="2" t="s">
        <v>44</v>
      </c>
      <c r="J1300" s="2"/>
      <c r="K1300" s="2" t="s">
        <v>38</v>
      </c>
      <c r="L1300" s="2" t="s">
        <v>38</v>
      </c>
      <c r="M1300" s="2" t="s">
        <v>38</v>
      </c>
      <c r="N1300" s="2" t="s">
        <v>38</v>
      </c>
      <c r="O1300" s="2" t="s">
        <v>38</v>
      </c>
      <c r="P1300" s="2" t="s">
        <v>38</v>
      </c>
      <c r="Q1300" s="2" t="s">
        <v>38</v>
      </c>
      <c r="R1300" s="2" t="s">
        <v>38</v>
      </c>
      <c r="S1300" s="2" t="s">
        <v>38</v>
      </c>
      <c r="T1300" s="2" t="s">
        <v>38</v>
      </c>
      <c r="U1300" s="2" t="s">
        <v>38</v>
      </c>
      <c r="V1300" s="2" t="s">
        <v>38</v>
      </c>
      <c r="W1300" s="2" t="s">
        <v>38</v>
      </c>
      <c r="X1300" s="2" t="s">
        <v>38</v>
      </c>
      <c r="Y1300" s="2" t="s">
        <v>38</v>
      </c>
      <c r="Z1300" s="2" t="s">
        <v>39</v>
      </c>
      <c r="AA1300" s="2" t="s">
        <v>38</v>
      </c>
      <c r="AB1300" s="2" t="s">
        <v>39</v>
      </c>
      <c r="AC1300" s="2" t="s">
        <v>38</v>
      </c>
      <c r="AD1300" s="2" t="s">
        <v>38</v>
      </c>
      <c r="AE1300" s="2" t="s">
        <v>38</v>
      </c>
    </row>
    <row r="1301" spans="1:31" ht="409.5">
      <c r="A1301" s="2">
        <v>2595565</v>
      </c>
      <c r="B1301" s="2">
        <f>HYPERLINK("https://platform.v2.vetology.net/cases/2595565/screening-report/18?type=pdf&amp;v=v6&amp;scorecard=1&amp;secret_key=BX%25IJ%24%2F65ieZ%29f6", 2595565)</f>
        <v>2595565</v>
      </c>
      <c r="C1301" s="2">
        <f>HYPERLINK("https://platform.v2.vetology.net/report/v/final/"&amp;2595565, 2595565)</f>
        <v>2595565</v>
      </c>
      <c r="D1301" s="2" t="s">
        <v>3774</v>
      </c>
      <c r="E1301" s="2" t="s">
        <v>3775</v>
      </c>
      <c r="F1301" s="2" t="s">
        <v>3776</v>
      </c>
      <c r="G1301" s="2" t="s">
        <v>58</v>
      </c>
      <c r="H1301" s="2" t="s">
        <v>1110</v>
      </c>
      <c r="I1301" s="2" t="s">
        <v>214</v>
      </c>
      <c r="J1301" s="2" t="s">
        <v>50</v>
      </c>
      <c r="K1301" s="2" t="s">
        <v>38</v>
      </c>
      <c r="L1301" s="2" t="s">
        <v>39</v>
      </c>
      <c r="M1301" s="2" t="s">
        <v>38</v>
      </c>
      <c r="N1301" s="2" t="s">
        <v>38</v>
      </c>
      <c r="O1301" s="2" t="s">
        <v>38</v>
      </c>
      <c r="P1301" s="2" t="s">
        <v>38</v>
      </c>
      <c r="Q1301" s="2" t="s">
        <v>38</v>
      </c>
      <c r="R1301" s="2" t="s">
        <v>38</v>
      </c>
      <c r="S1301" s="2" t="s">
        <v>39</v>
      </c>
      <c r="T1301" s="2" t="s">
        <v>39</v>
      </c>
      <c r="U1301" s="2" t="s">
        <v>39</v>
      </c>
      <c r="V1301" s="2" t="s">
        <v>39</v>
      </c>
      <c r="W1301" s="2" t="s">
        <v>38</v>
      </c>
      <c r="X1301" s="2" t="s">
        <v>39</v>
      </c>
      <c r="Y1301" s="2" t="s">
        <v>38</v>
      </c>
      <c r="Z1301" s="2" t="s">
        <v>38</v>
      </c>
      <c r="AA1301" s="2" t="s">
        <v>38</v>
      </c>
      <c r="AB1301" s="2" t="s">
        <v>39</v>
      </c>
      <c r="AC1301" s="2" t="s">
        <v>38</v>
      </c>
      <c r="AD1301" s="2" t="s">
        <v>38</v>
      </c>
      <c r="AE1301" s="2" t="s">
        <v>38</v>
      </c>
    </row>
    <row r="1302" spans="1:31" ht="409.5">
      <c r="A1302" s="2">
        <v>2595517</v>
      </c>
      <c r="B1302" s="2">
        <f>HYPERLINK("https://platform.v2.vetology.net/cases/2595517/screening-report/18?type=pdf&amp;v=v6&amp;scorecard=1&amp;secret_key=BX%25IJ%24%2F65ieZ%29f6", 2595517)</f>
        <v>2595517</v>
      </c>
      <c r="C1302" s="2">
        <f>HYPERLINK("https://platform.v2.vetology.net/report/v/final/"&amp;2595517, 2595517)</f>
        <v>2595517</v>
      </c>
      <c r="D1302" s="2" t="s">
        <v>229</v>
      </c>
      <c r="E1302" s="2" t="s">
        <v>148</v>
      </c>
      <c r="F1302" s="2" t="s">
        <v>149</v>
      </c>
      <c r="G1302" s="2" t="s">
        <v>150</v>
      </c>
      <c r="H1302" s="2" t="s">
        <v>360</v>
      </c>
      <c r="I1302" s="2" t="s">
        <v>284</v>
      </c>
      <c r="J1302" s="2" t="s">
        <v>285</v>
      </c>
      <c r="K1302" s="2" t="s">
        <v>38</v>
      </c>
      <c r="L1302" s="2" t="s">
        <v>38</v>
      </c>
      <c r="M1302" s="2" t="s">
        <v>38</v>
      </c>
      <c r="N1302" s="2" t="s">
        <v>38</v>
      </c>
      <c r="O1302" s="2" t="s">
        <v>38</v>
      </c>
      <c r="P1302" s="2" t="s">
        <v>38</v>
      </c>
      <c r="Q1302" s="2" t="s">
        <v>38</v>
      </c>
      <c r="R1302" s="2" t="s">
        <v>38</v>
      </c>
      <c r="S1302" s="2" t="s">
        <v>38</v>
      </c>
      <c r="T1302" s="2" t="s">
        <v>39</v>
      </c>
      <c r="U1302" s="2" t="s">
        <v>38</v>
      </c>
      <c r="V1302" s="2" t="s">
        <v>39</v>
      </c>
      <c r="W1302" s="2" t="s">
        <v>38</v>
      </c>
      <c r="X1302" s="2" t="s">
        <v>39</v>
      </c>
      <c r="Y1302" s="2" t="s">
        <v>38</v>
      </c>
      <c r="Z1302" s="2" t="s">
        <v>38</v>
      </c>
      <c r="AA1302" s="2" t="s">
        <v>38</v>
      </c>
      <c r="AB1302" s="2" t="s">
        <v>38</v>
      </c>
      <c r="AC1302" s="2" t="s">
        <v>38</v>
      </c>
      <c r="AD1302" s="2" t="s">
        <v>38</v>
      </c>
      <c r="AE1302" s="2" t="s">
        <v>38</v>
      </c>
    </row>
    <row r="1303" spans="1:31" ht="409.5">
      <c r="A1303" s="2">
        <v>2595482</v>
      </c>
      <c r="B1303" s="2">
        <f>HYPERLINK("https://platform.v2.vetology.net/cases/2595482/screening-report/18?type=pdf&amp;v=v6&amp;scorecard=1&amp;secret_key=BX%25IJ%24%2F65ieZ%29f6", 2595482)</f>
        <v>2595482</v>
      </c>
      <c r="C1303" s="2">
        <f>HYPERLINK("https://platform.v2.vetology.net/report/v/final/"&amp;2595482, 2595482)</f>
        <v>2595482</v>
      </c>
      <c r="D1303" s="2" t="s">
        <v>3777</v>
      </c>
      <c r="E1303" s="2" t="s">
        <v>3778</v>
      </c>
      <c r="F1303" s="2" t="s">
        <v>3779</v>
      </c>
      <c r="G1303" s="2" t="s">
        <v>575</v>
      </c>
      <c r="H1303" s="2" t="s">
        <v>607</v>
      </c>
      <c r="I1303" s="2" t="s">
        <v>137</v>
      </c>
      <c r="J1303" s="2" t="s">
        <v>66</v>
      </c>
      <c r="K1303" s="2" t="s">
        <v>38</v>
      </c>
      <c r="L1303" s="2" t="s">
        <v>39</v>
      </c>
      <c r="M1303" s="2" t="s">
        <v>39</v>
      </c>
      <c r="N1303" s="2" t="s">
        <v>38</v>
      </c>
      <c r="O1303" s="2" t="s">
        <v>38</v>
      </c>
      <c r="P1303" s="2" t="s">
        <v>39</v>
      </c>
      <c r="Q1303" s="2" t="s">
        <v>38</v>
      </c>
      <c r="R1303" s="2" t="s">
        <v>38</v>
      </c>
      <c r="S1303" s="2" t="s">
        <v>38</v>
      </c>
      <c r="T1303" s="2" t="s">
        <v>38</v>
      </c>
      <c r="U1303" s="2" t="s">
        <v>38</v>
      </c>
      <c r="V1303" s="2" t="s">
        <v>38</v>
      </c>
      <c r="W1303" s="2" t="s">
        <v>38</v>
      </c>
      <c r="X1303" s="2" t="s">
        <v>38</v>
      </c>
      <c r="Y1303" s="2" t="s">
        <v>38</v>
      </c>
      <c r="Z1303" s="2" t="s">
        <v>38</v>
      </c>
      <c r="AA1303" s="2" t="s">
        <v>38</v>
      </c>
      <c r="AB1303" s="2" t="s">
        <v>39</v>
      </c>
      <c r="AC1303" s="2" t="s">
        <v>39</v>
      </c>
      <c r="AD1303" s="2" t="s">
        <v>38</v>
      </c>
      <c r="AE1303" s="2" t="s">
        <v>38</v>
      </c>
    </row>
    <row r="1304" spans="1:31" ht="409.5">
      <c r="A1304" s="2">
        <v>2595422</v>
      </c>
      <c r="B1304" s="2">
        <f>HYPERLINK("https://platform.v2.vetology.net/cases/2595422/screening-report/18?type=pdf&amp;v=v6&amp;scorecard=1&amp;secret_key=BX%25IJ%24%2F65ieZ%29f6", 2595422)</f>
        <v>2595422</v>
      </c>
      <c r="C1304" s="2">
        <f>HYPERLINK("https://platform.v2.vetology.net/report/v/final/"&amp;2595422, 2595422)</f>
        <v>2595422</v>
      </c>
      <c r="D1304" s="2" t="s">
        <v>3780</v>
      </c>
      <c r="E1304" s="2" t="s">
        <v>3781</v>
      </c>
      <c r="F1304" s="2" t="s">
        <v>81</v>
      </c>
      <c r="G1304" s="2" t="s">
        <v>82</v>
      </c>
      <c r="H1304" s="2" t="s">
        <v>54</v>
      </c>
      <c r="I1304" s="2" t="s">
        <v>199</v>
      </c>
      <c r="J1304" s="2"/>
      <c r="K1304" s="2" t="s">
        <v>38</v>
      </c>
      <c r="L1304" s="2" t="s">
        <v>39</v>
      </c>
      <c r="M1304" s="2" t="s">
        <v>39</v>
      </c>
      <c r="N1304" s="2" t="s">
        <v>38</v>
      </c>
      <c r="O1304" s="2" t="s">
        <v>38</v>
      </c>
      <c r="P1304" s="2" t="s">
        <v>38</v>
      </c>
      <c r="Q1304" s="2" t="s">
        <v>38</v>
      </c>
      <c r="R1304" s="2" t="s">
        <v>38</v>
      </c>
      <c r="S1304" s="2" t="s">
        <v>38</v>
      </c>
      <c r="T1304" s="2" t="s">
        <v>39</v>
      </c>
      <c r="U1304" s="2" t="s">
        <v>38</v>
      </c>
      <c r="V1304" s="2" t="s">
        <v>39</v>
      </c>
      <c r="W1304" s="2" t="s">
        <v>38</v>
      </c>
      <c r="X1304" s="2" t="s">
        <v>39</v>
      </c>
      <c r="Y1304" s="2" t="s">
        <v>38</v>
      </c>
      <c r="Z1304" s="2" t="s">
        <v>38</v>
      </c>
      <c r="AA1304" s="2" t="s">
        <v>38</v>
      </c>
      <c r="AB1304" s="2" t="s">
        <v>38</v>
      </c>
      <c r="AC1304" s="2" t="s">
        <v>38</v>
      </c>
      <c r="AD1304" s="2" t="s">
        <v>38</v>
      </c>
      <c r="AE1304" s="2" t="s">
        <v>38</v>
      </c>
    </row>
    <row r="1305" spans="1:31" ht="409.5">
      <c r="A1305" s="2">
        <v>2595364</v>
      </c>
      <c r="B1305" s="2">
        <f>HYPERLINK("https://platform.v2.vetology.net/cases/2595364/screening-report/18?type=pdf&amp;v=v6&amp;scorecard=1&amp;secret_key=BX%25IJ%24%2F65ieZ%29f6", 2595364)</f>
        <v>2595364</v>
      </c>
      <c r="C1305" s="2">
        <f>HYPERLINK("https://platform.v2.vetology.net/report/v/final/"&amp;2595364, 2595364)</f>
        <v>2595364</v>
      </c>
      <c r="D1305" s="2" t="s">
        <v>3782</v>
      </c>
      <c r="E1305" s="2" t="s">
        <v>304</v>
      </c>
      <c r="F1305" s="2"/>
      <c r="G1305" s="2" t="s">
        <v>150</v>
      </c>
      <c r="H1305" s="2" t="s">
        <v>43</v>
      </c>
      <c r="I1305" s="2" t="s">
        <v>199</v>
      </c>
      <c r="J1305" s="2"/>
      <c r="K1305" s="2" t="s">
        <v>38</v>
      </c>
      <c r="L1305" s="2" t="s">
        <v>38</v>
      </c>
      <c r="M1305" s="2" t="s">
        <v>38</v>
      </c>
      <c r="N1305" s="2" t="s">
        <v>38</v>
      </c>
      <c r="O1305" s="2" t="s">
        <v>38</v>
      </c>
      <c r="P1305" s="2" t="s">
        <v>38</v>
      </c>
      <c r="Q1305" s="2" t="s">
        <v>38</v>
      </c>
      <c r="R1305" s="2" t="s">
        <v>38</v>
      </c>
      <c r="S1305" s="2" t="s">
        <v>38</v>
      </c>
      <c r="T1305" s="2" t="s">
        <v>38</v>
      </c>
      <c r="U1305" s="2" t="s">
        <v>38</v>
      </c>
      <c r="V1305" s="2" t="s">
        <v>38</v>
      </c>
      <c r="W1305" s="2" t="s">
        <v>38</v>
      </c>
      <c r="X1305" s="2" t="s">
        <v>38</v>
      </c>
      <c r="Y1305" s="2" t="s">
        <v>38</v>
      </c>
      <c r="Z1305" s="2" t="s">
        <v>38</v>
      </c>
      <c r="AA1305" s="2" t="s">
        <v>38</v>
      </c>
      <c r="AB1305" s="2" t="s">
        <v>38</v>
      </c>
      <c r="AC1305" s="2" t="s">
        <v>38</v>
      </c>
      <c r="AD1305" s="2" t="s">
        <v>38</v>
      </c>
      <c r="AE1305" s="2" t="s">
        <v>38</v>
      </c>
    </row>
    <row r="1306" spans="1:31" ht="409.5">
      <c r="A1306" s="2">
        <v>2595331</v>
      </c>
      <c r="B1306" s="2">
        <f>HYPERLINK("https://platform.v2.vetology.net/cases/2595331/screening-report/18?type=pdf&amp;v=v6&amp;scorecard=1&amp;secret_key=BX%25IJ%24%2F65ieZ%29f6", 2595331)</f>
        <v>2595331</v>
      </c>
      <c r="C1306" s="2">
        <f>HYPERLINK("https://platform.v2.vetology.net/report/v/final/"&amp;2595331, 2595331)</f>
        <v>2595331</v>
      </c>
      <c r="D1306" s="2" t="s">
        <v>3783</v>
      </c>
      <c r="E1306" s="2" t="s">
        <v>3784</v>
      </c>
      <c r="F1306" s="2" t="s">
        <v>3785</v>
      </c>
      <c r="G1306" s="2" t="s">
        <v>464</v>
      </c>
      <c r="H1306" s="2" t="s">
        <v>43</v>
      </c>
      <c r="I1306" s="2" t="s">
        <v>44</v>
      </c>
      <c r="J1306" s="2"/>
      <c r="K1306" s="2" t="s">
        <v>38</v>
      </c>
      <c r="L1306" s="2" t="s">
        <v>38</v>
      </c>
      <c r="M1306" s="2" t="s">
        <v>38</v>
      </c>
      <c r="N1306" s="2" t="s">
        <v>38</v>
      </c>
      <c r="O1306" s="2" t="s">
        <v>38</v>
      </c>
      <c r="P1306" s="2" t="s">
        <v>38</v>
      </c>
      <c r="Q1306" s="2" t="s">
        <v>38</v>
      </c>
      <c r="R1306" s="2" t="s">
        <v>38</v>
      </c>
      <c r="S1306" s="2" t="s">
        <v>38</v>
      </c>
      <c r="T1306" s="2" t="s">
        <v>38</v>
      </c>
      <c r="U1306" s="2" t="s">
        <v>38</v>
      </c>
      <c r="V1306" s="2" t="s">
        <v>38</v>
      </c>
      <c r="W1306" s="2" t="s">
        <v>38</v>
      </c>
      <c r="X1306" s="2" t="s">
        <v>38</v>
      </c>
      <c r="Y1306" s="2" t="s">
        <v>38</v>
      </c>
      <c r="Z1306" s="2" t="s">
        <v>38</v>
      </c>
      <c r="AA1306" s="2" t="s">
        <v>38</v>
      </c>
      <c r="AB1306" s="2" t="s">
        <v>38</v>
      </c>
      <c r="AC1306" s="2" t="s">
        <v>38</v>
      </c>
      <c r="AD1306" s="2" t="s">
        <v>38</v>
      </c>
      <c r="AE1306" s="2" t="s">
        <v>38</v>
      </c>
    </row>
    <row r="1307" spans="1:31" ht="409.5">
      <c r="A1307" s="2">
        <v>2595325</v>
      </c>
      <c r="B1307" s="2">
        <f>HYPERLINK("https://platform.v2.vetology.net/cases/2595325/screening-report/18?type=pdf&amp;v=v6&amp;scorecard=1&amp;secret_key=BX%25IJ%24%2F65ieZ%29f6", 2595325)</f>
        <v>2595325</v>
      </c>
      <c r="C1307" s="2">
        <f>HYPERLINK("https://platform.v2.vetology.net/report/v/final/"&amp;2595325, 2595325)</f>
        <v>2595325</v>
      </c>
      <c r="D1307" s="2" t="s">
        <v>3786</v>
      </c>
      <c r="E1307" s="2" t="s">
        <v>3787</v>
      </c>
      <c r="F1307" s="2" t="s">
        <v>3788</v>
      </c>
      <c r="G1307" s="2" t="s">
        <v>464</v>
      </c>
      <c r="H1307" s="2" t="s">
        <v>1416</v>
      </c>
      <c r="I1307" s="2" t="s">
        <v>284</v>
      </c>
      <c r="J1307" s="2" t="s">
        <v>285</v>
      </c>
      <c r="K1307" s="2" t="s">
        <v>38</v>
      </c>
      <c r="L1307" s="2" t="s">
        <v>38</v>
      </c>
      <c r="M1307" s="2" t="s">
        <v>38</v>
      </c>
      <c r="N1307" s="2" t="s">
        <v>38</v>
      </c>
      <c r="O1307" s="2" t="s">
        <v>38</v>
      </c>
      <c r="P1307" s="2" t="s">
        <v>38</v>
      </c>
      <c r="Q1307" s="2" t="s">
        <v>38</v>
      </c>
      <c r="R1307" s="2" t="s">
        <v>38</v>
      </c>
      <c r="S1307" s="2" t="s">
        <v>38</v>
      </c>
      <c r="T1307" s="2" t="s">
        <v>39</v>
      </c>
      <c r="U1307" s="2" t="s">
        <v>38</v>
      </c>
      <c r="V1307" s="2" t="s">
        <v>39</v>
      </c>
      <c r="W1307" s="2" t="s">
        <v>38</v>
      </c>
      <c r="X1307" s="2" t="s">
        <v>39</v>
      </c>
      <c r="Y1307" s="2" t="s">
        <v>38</v>
      </c>
      <c r="Z1307" s="2" t="s">
        <v>38</v>
      </c>
      <c r="AA1307" s="2" t="s">
        <v>38</v>
      </c>
      <c r="AB1307" s="2" t="s">
        <v>38</v>
      </c>
      <c r="AC1307" s="2" t="s">
        <v>38</v>
      </c>
      <c r="AD1307" s="2" t="s">
        <v>38</v>
      </c>
      <c r="AE1307" s="2" t="s">
        <v>38</v>
      </c>
    </row>
    <row r="1308" spans="1:31" ht="409.5">
      <c r="A1308" s="2">
        <v>2595253</v>
      </c>
      <c r="B1308" s="2">
        <f>HYPERLINK("https://platform.v2.vetology.net/cases/2595253/screening-report/18?type=pdf&amp;v=v6&amp;scorecard=1&amp;secret_key=BX%25IJ%24%2F65ieZ%29f6", 2595253)</f>
        <v>2595253</v>
      </c>
      <c r="C1308" s="2">
        <f>HYPERLINK("https://platform.v2.vetology.net/report/v/final/"&amp;2595253, 2595253)</f>
        <v>2595253</v>
      </c>
      <c r="D1308" s="2" t="s">
        <v>3789</v>
      </c>
      <c r="E1308" s="2" t="s">
        <v>3790</v>
      </c>
      <c r="F1308" s="2" t="s">
        <v>3791</v>
      </c>
      <c r="G1308" s="2" t="s">
        <v>63</v>
      </c>
      <c r="H1308" s="2" t="s">
        <v>94</v>
      </c>
      <c r="I1308" s="2" t="s">
        <v>89</v>
      </c>
      <c r="J1308" s="2" t="s">
        <v>66</v>
      </c>
      <c r="K1308" s="2" t="s">
        <v>38</v>
      </c>
      <c r="L1308" s="2" t="s">
        <v>38</v>
      </c>
      <c r="M1308" s="2" t="s">
        <v>39</v>
      </c>
      <c r="N1308" s="2" t="s">
        <v>38</v>
      </c>
      <c r="O1308" s="2" t="s">
        <v>38</v>
      </c>
      <c r="P1308" s="2" t="s">
        <v>38</v>
      </c>
      <c r="Q1308" s="2" t="s">
        <v>38</v>
      </c>
      <c r="R1308" s="2" t="s">
        <v>38</v>
      </c>
      <c r="S1308" s="2" t="s">
        <v>38</v>
      </c>
      <c r="T1308" s="2" t="s">
        <v>39</v>
      </c>
      <c r="U1308" s="2" t="s">
        <v>38</v>
      </c>
      <c r="V1308" s="2" t="s">
        <v>39</v>
      </c>
      <c r="W1308" s="2" t="s">
        <v>38</v>
      </c>
      <c r="X1308" s="2" t="s">
        <v>39</v>
      </c>
      <c r="Y1308" s="2" t="s">
        <v>38</v>
      </c>
      <c r="Z1308" s="2" t="s">
        <v>38</v>
      </c>
      <c r="AA1308" s="2" t="s">
        <v>38</v>
      </c>
      <c r="AB1308" s="2" t="s">
        <v>38</v>
      </c>
      <c r="AC1308" s="2" t="s">
        <v>38</v>
      </c>
      <c r="AD1308" s="2" t="s">
        <v>38</v>
      </c>
      <c r="AE1308" s="2" t="s">
        <v>38</v>
      </c>
    </row>
    <row r="1309" spans="1:31" ht="409.5">
      <c r="A1309" s="2">
        <v>2595187</v>
      </c>
      <c r="B1309" s="2">
        <f>HYPERLINK("https://platform.v2.vetology.net/cases/2595187/screening-report/18?type=pdf&amp;v=v6&amp;scorecard=1&amp;secret_key=BX%25IJ%24%2F65ieZ%29f6", 2595187)</f>
        <v>2595187</v>
      </c>
      <c r="C1309" s="2">
        <f>HYPERLINK("https://platform.v2.vetology.net/report/v/final/"&amp;2595187, 2595187)</f>
        <v>2595187</v>
      </c>
      <c r="D1309" s="2" t="s">
        <v>3792</v>
      </c>
      <c r="E1309" s="2" t="s">
        <v>3793</v>
      </c>
      <c r="F1309" s="2" t="s">
        <v>1629</v>
      </c>
      <c r="G1309" s="2" t="s">
        <v>63</v>
      </c>
      <c r="H1309" s="2" t="s">
        <v>43</v>
      </c>
      <c r="I1309" s="2" t="s">
        <v>44</v>
      </c>
      <c r="J1309" s="2" t="s">
        <v>106</v>
      </c>
      <c r="K1309" s="2" t="s">
        <v>38</v>
      </c>
      <c r="L1309" s="2" t="s">
        <v>39</v>
      </c>
      <c r="M1309" s="2" t="s">
        <v>38</v>
      </c>
      <c r="N1309" s="2" t="s">
        <v>38</v>
      </c>
      <c r="O1309" s="2" t="s">
        <v>38</v>
      </c>
      <c r="P1309" s="2" t="s">
        <v>38</v>
      </c>
      <c r="Q1309" s="2" t="s">
        <v>38</v>
      </c>
      <c r="R1309" s="2" t="s">
        <v>38</v>
      </c>
      <c r="S1309" s="2" t="s">
        <v>38</v>
      </c>
      <c r="T1309" s="2" t="s">
        <v>38</v>
      </c>
      <c r="U1309" s="2" t="s">
        <v>38</v>
      </c>
      <c r="V1309" s="2" t="s">
        <v>38</v>
      </c>
      <c r="W1309" s="2" t="s">
        <v>38</v>
      </c>
      <c r="X1309" s="2" t="s">
        <v>38</v>
      </c>
      <c r="Y1309" s="2" t="s">
        <v>38</v>
      </c>
      <c r="Z1309" s="2" t="s">
        <v>38</v>
      </c>
      <c r="AA1309" s="2" t="s">
        <v>38</v>
      </c>
      <c r="AB1309" s="2" t="s">
        <v>38</v>
      </c>
      <c r="AC1309" s="2" t="s">
        <v>38</v>
      </c>
      <c r="AD1309" s="2" t="s">
        <v>38</v>
      </c>
      <c r="AE1309" s="2" t="s">
        <v>38</v>
      </c>
    </row>
    <row r="1310" spans="1:31" ht="409.5">
      <c r="A1310" s="2">
        <v>2595065</v>
      </c>
      <c r="B1310" s="2">
        <f>HYPERLINK("https://platform.v2.vetology.net/cases/2595065/screening-report/18?type=pdf&amp;v=v6&amp;scorecard=1&amp;secret_key=BX%25IJ%24%2F65ieZ%29f6", 2595065)</f>
        <v>2595065</v>
      </c>
      <c r="C1310" s="2">
        <f>HYPERLINK("https://platform.v2.vetology.net/report/v/final/"&amp;2595065, 2595065)</f>
        <v>2595065</v>
      </c>
      <c r="D1310" s="2" t="s">
        <v>3794</v>
      </c>
      <c r="E1310" s="2" t="s">
        <v>3795</v>
      </c>
      <c r="F1310" s="2" t="s">
        <v>3796</v>
      </c>
      <c r="G1310" s="2" t="s">
        <v>63</v>
      </c>
      <c r="H1310" s="2" t="s">
        <v>78</v>
      </c>
      <c r="I1310" s="2" t="s">
        <v>44</v>
      </c>
      <c r="J1310" s="2"/>
      <c r="K1310" s="2" t="s">
        <v>38</v>
      </c>
      <c r="L1310" s="2" t="s">
        <v>38</v>
      </c>
      <c r="M1310" s="2" t="s">
        <v>39</v>
      </c>
      <c r="N1310" s="2" t="s">
        <v>38</v>
      </c>
      <c r="O1310" s="2" t="s">
        <v>38</v>
      </c>
      <c r="P1310" s="2" t="s">
        <v>38</v>
      </c>
      <c r="Q1310" s="2" t="s">
        <v>38</v>
      </c>
      <c r="R1310" s="2" t="s">
        <v>38</v>
      </c>
      <c r="S1310" s="2" t="s">
        <v>38</v>
      </c>
      <c r="T1310" s="2" t="s">
        <v>38</v>
      </c>
      <c r="U1310" s="2" t="s">
        <v>38</v>
      </c>
      <c r="V1310" s="2" t="s">
        <v>38</v>
      </c>
      <c r="W1310" s="2" t="s">
        <v>38</v>
      </c>
      <c r="X1310" s="2" t="s">
        <v>39</v>
      </c>
      <c r="Y1310" s="2" t="s">
        <v>38</v>
      </c>
      <c r="Z1310" s="2" t="s">
        <v>38</v>
      </c>
      <c r="AA1310" s="2" t="s">
        <v>38</v>
      </c>
      <c r="AB1310" s="2" t="s">
        <v>39</v>
      </c>
      <c r="AC1310" s="2" t="s">
        <v>38</v>
      </c>
      <c r="AD1310" s="2" t="s">
        <v>38</v>
      </c>
      <c r="AE1310" s="2" t="s">
        <v>38</v>
      </c>
    </row>
    <row r="1311" spans="1:31" ht="409.5">
      <c r="A1311" s="2">
        <v>2594616</v>
      </c>
      <c r="B1311" s="2">
        <f>HYPERLINK("https://platform.v2.vetology.net/cases/2594616/screening-report/18?type=pdf&amp;v=v6&amp;scorecard=1&amp;secret_key=BX%25IJ%24%2F65ieZ%29f6", 2594616)</f>
        <v>2594616</v>
      </c>
      <c r="C1311" s="2">
        <f>HYPERLINK("https://platform.v2.vetology.net/report/v/final/"&amp;2594616, 2594616)</f>
        <v>2594616</v>
      </c>
      <c r="D1311" s="2" t="s">
        <v>3797</v>
      </c>
      <c r="E1311" s="2" t="s">
        <v>3798</v>
      </c>
      <c r="F1311" s="2" t="s">
        <v>81</v>
      </c>
      <c r="G1311" s="2" t="s">
        <v>150</v>
      </c>
      <c r="H1311" s="2" t="s">
        <v>71</v>
      </c>
      <c r="I1311" s="2" t="s">
        <v>199</v>
      </c>
      <c r="J1311" s="2"/>
      <c r="K1311" s="2" t="s">
        <v>38</v>
      </c>
      <c r="L1311" s="2" t="s">
        <v>38</v>
      </c>
      <c r="M1311" s="2" t="s">
        <v>38</v>
      </c>
      <c r="N1311" s="2" t="s">
        <v>38</v>
      </c>
      <c r="O1311" s="2" t="s">
        <v>38</v>
      </c>
      <c r="P1311" s="2" t="s">
        <v>38</v>
      </c>
      <c r="Q1311" s="2" t="s">
        <v>38</v>
      </c>
      <c r="R1311" s="2" t="s">
        <v>38</v>
      </c>
      <c r="S1311" s="2" t="s">
        <v>38</v>
      </c>
      <c r="T1311" s="2" t="s">
        <v>39</v>
      </c>
      <c r="U1311" s="2" t="s">
        <v>39</v>
      </c>
      <c r="V1311" s="2" t="s">
        <v>39</v>
      </c>
      <c r="W1311" s="2" t="s">
        <v>38</v>
      </c>
      <c r="X1311" s="2" t="s">
        <v>39</v>
      </c>
      <c r="Y1311" s="2" t="s">
        <v>38</v>
      </c>
      <c r="Z1311" s="2" t="s">
        <v>39</v>
      </c>
      <c r="AA1311" s="2" t="s">
        <v>39</v>
      </c>
      <c r="AB1311" s="2" t="s">
        <v>39</v>
      </c>
      <c r="AC1311" s="2" t="s">
        <v>39</v>
      </c>
      <c r="AD1311" s="2" t="s">
        <v>38</v>
      </c>
      <c r="AE1311" s="2" t="s">
        <v>38</v>
      </c>
    </row>
    <row r="1312" spans="1:31" ht="409.5">
      <c r="A1312" s="2">
        <v>2594406</v>
      </c>
      <c r="B1312" s="2">
        <f>HYPERLINK("https://platform.v2.vetology.net/cases/2594406/screening-report/18?type=pdf&amp;v=v6&amp;scorecard=1&amp;secret_key=BX%25IJ%24%2F65ieZ%29f6", 2594406)</f>
        <v>2594406</v>
      </c>
      <c r="C1312" s="2">
        <f>HYPERLINK("https://platform.v2.vetology.net/report/v/final/"&amp;2594406, 2594406)</f>
        <v>2594406</v>
      </c>
      <c r="D1312" s="2" t="s">
        <v>3799</v>
      </c>
      <c r="E1312" s="2" t="s">
        <v>3800</v>
      </c>
      <c r="F1312" s="2" t="s">
        <v>81</v>
      </c>
      <c r="G1312" s="2" t="s">
        <v>82</v>
      </c>
      <c r="H1312" s="2" t="s">
        <v>1416</v>
      </c>
      <c r="I1312" s="2" t="s">
        <v>284</v>
      </c>
      <c r="J1312" s="2" t="s">
        <v>285</v>
      </c>
      <c r="K1312" s="2" t="s">
        <v>38</v>
      </c>
      <c r="L1312" s="2" t="s">
        <v>39</v>
      </c>
      <c r="M1312" s="2" t="s">
        <v>39</v>
      </c>
      <c r="N1312" s="2" t="s">
        <v>38</v>
      </c>
      <c r="O1312" s="2" t="s">
        <v>38</v>
      </c>
      <c r="P1312" s="2" t="s">
        <v>38</v>
      </c>
      <c r="Q1312" s="2" t="s">
        <v>38</v>
      </c>
      <c r="R1312" s="2" t="s">
        <v>38</v>
      </c>
      <c r="S1312" s="2" t="s">
        <v>38</v>
      </c>
      <c r="T1312" s="2" t="s">
        <v>38</v>
      </c>
      <c r="U1312" s="2" t="s">
        <v>38</v>
      </c>
      <c r="V1312" s="2" t="s">
        <v>38</v>
      </c>
      <c r="W1312" s="2" t="s">
        <v>38</v>
      </c>
      <c r="X1312" s="2" t="s">
        <v>38</v>
      </c>
      <c r="Y1312" s="2" t="s">
        <v>38</v>
      </c>
      <c r="Z1312" s="2" t="s">
        <v>38</v>
      </c>
      <c r="AA1312" s="2" t="s">
        <v>38</v>
      </c>
      <c r="AB1312" s="2" t="s">
        <v>39</v>
      </c>
      <c r="AC1312" s="2" t="s">
        <v>38</v>
      </c>
      <c r="AD1312" s="2" t="s">
        <v>38</v>
      </c>
      <c r="AE1312" s="2" t="s">
        <v>38</v>
      </c>
    </row>
    <row r="1313" spans="1:31" ht="409.5">
      <c r="A1313" s="2">
        <v>2594353</v>
      </c>
      <c r="B1313" s="2">
        <f>HYPERLINK("https://platform.v2.vetology.net/cases/2594353/screening-report/18?type=pdf&amp;v=v6&amp;scorecard=1&amp;secret_key=BX%25IJ%24%2F65ieZ%29f6", 2594353)</f>
        <v>2594353</v>
      </c>
      <c r="C1313" s="2">
        <f>HYPERLINK("https://platform.v2.vetology.net/report/v/final/"&amp;2594353, 2594353)</f>
        <v>2594353</v>
      </c>
      <c r="D1313" s="2" t="s">
        <v>3801</v>
      </c>
      <c r="E1313" s="2" t="s">
        <v>3802</v>
      </c>
      <c r="F1313" s="2" t="s">
        <v>3803</v>
      </c>
      <c r="G1313" s="2" t="s">
        <v>93</v>
      </c>
      <c r="H1313" s="2" t="s">
        <v>129</v>
      </c>
      <c r="I1313" s="2" t="s">
        <v>44</v>
      </c>
      <c r="J1313" s="2" t="s">
        <v>106</v>
      </c>
      <c r="K1313" s="2" t="s">
        <v>38</v>
      </c>
      <c r="L1313" s="2" t="s">
        <v>38</v>
      </c>
      <c r="M1313" s="2" t="s">
        <v>38</v>
      </c>
      <c r="N1313" s="2" t="s">
        <v>38</v>
      </c>
      <c r="O1313" s="2" t="s">
        <v>38</v>
      </c>
      <c r="P1313" s="2" t="s">
        <v>38</v>
      </c>
      <c r="Q1313" s="2" t="s">
        <v>38</v>
      </c>
      <c r="R1313" s="2" t="s">
        <v>38</v>
      </c>
      <c r="S1313" s="2" t="s">
        <v>38</v>
      </c>
      <c r="T1313" s="2" t="s">
        <v>39</v>
      </c>
      <c r="U1313" s="2" t="s">
        <v>38</v>
      </c>
      <c r="V1313" s="2" t="s">
        <v>39</v>
      </c>
      <c r="W1313" s="2" t="s">
        <v>38</v>
      </c>
      <c r="X1313" s="2" t="s">
        <v>39</v>
      </c>
      <c r="Y1313" s="2" t="s">
        <v>38</v>
      </c>
      <c r="Z1313" s="2" t="s">
        <v>38</v>
      </c>
      <c r="AA1313" s="2" t="s">
        <v>38</v>
      </c>
      <c r="AB1313" s="2" t="s">
        <v>38</v>
      </c>
      <c r="AC1313" s="2" t="s">
        <v>38</v>
      </c>
      <c r="AD1313" s="2" t="s">
        <v>38</v>
      </c>
      <c r="AE1313" s="2" t="s">
        <v>38</v>
      </c>
    </row>
    <row r="1314" spans="1:31" ht="409.5">
      <c r="A1314" s="2">
        <v>2594269</v>
      </c>
      <c r="B1314" s="2">
        <f>HYPERLINK("https://platform.v2.vetology.net/cases/2594269/screening-report/18?type=pdf&amp;v=v6&amp;scorecard=1&amp;secret_key=BX%25IJ%24%2F65ieZ%29f6", 2594269)</f>
        <v>2594269</v>
      </c>
      <c r="C1314" s="2">
        <f>HYPERLINK("https://platform.v2.vetology.net/report/v/final/"&amp;2594269, 2594269)</f>
        <v>2594269</v>
      </c>
      <c r="D1314" s="2" t="s">
        <v>3804</v>
      </c>
      <c r="E1314" s="2" t="s">
        <v>3805</v>
      </c>
      <c r="F1314" s="2"/>
      <c r="G1314" s="2" t="s">
        <v>141</v>
      </c>
      <c r="H1314" s="2" t="s">
        <v>78</v>
      </c>
      <c r="I1314" s="2" t="s">
        <v>44</v>
      </c>
      <c r="J1314" s="2"/>
      <c r="K1314" s="2" t="s">
        <v>38</v>
      </c>
      <c r="L1314" s="2" t="s">
        <v>38</v>
      </c>
      <c r="M1314" s="2" t="s">
        <v>38</v>
      </c>
      <c r="N1314" s="2" t="s">
        <v>38</v>
      </c>
      <c r="O1314" s="2" t="s">
        <v>38</v>
      </c>
      <c r="P1314" s="2" t="s">
        <v>39</v>
      </c>
      <c r="Q1314" s="2" t="s">
        <v>38</v>
      </c>
      <c r="R1314" s="2" t="s">
        <v>38</v>
      </c>
      <c r="S1314" s="2" t="s">
        <v>38</v>
      </c>
      <c r="T1314" s="2" t="s">
        <v>38</v>
      </c>
      <c r="U1314" s="2" t="s">
        <v>38</v>
      </c>
      <c r="V1314" s="2" t="s">
        <v>38</v>
      </c>
      <c r="W1314" s="2" t="s">
        <v>38</v>
      </c>
      <c r="X1314" s="2" t="s">
        <v>38</v>
      </c>
      <c r="Y1314" s="2" t="s">
        <v>38</v>
      </c>
      <c r="Z1314" s="2" t="s">
        <v>38</v>
      </c>
      <c r="AA1314" s="2" t="s">
        <v>38</v>
      </c>
      <c r="AB1314" s="2" t="s">
        <v>39</v>
      </c>
      <c r="AC1314" s="2" t="s">
        <v>39</v>
      </c>
      <c r="AD1314" s="2" t="s">
        <v>38</v>
      </c>
      <c r="AE1314" s="2" t="s">
        <v>38</v>
      </c>
    </row>
    <row r="1315" spans="1:31" ht="409.5">
      <c r="A1315" s="2">
        <v>2593775</v>
      </c>
      <c r="B1315" s="2">
        <f>HYPERLINK("https://platform.v2.vetology.net/cases/2593775/screening-report/18?type=pdf&amp;v=v6&amp;scorecard=1&amp;secret_key=BX%25IJ%24%2F65ieZ%29f6", 2593775)</f>
        <v>2593775</v>
      </c>
      <c r="C1315" s="2">
        <f>HYPERLINK("https://platform.v2.vetology.net/report/v/final/"&amp;2593775, 2593775)</f>
        <v>2593775</v>
      </c>
      <c r="D1315" s="2" t="s">
        <v>3806</v>
      </c>
      <c r="E1315" s="2" t="s">
        <v>3807</v>
      </c>
      <c r="F1315" s="2" t="s">
        <v>3808</v>
      </c>
      <c r="G1315" s="2" t="s">
        <v>63</v>
      </c>
      <c r="H1315" s="2" t="s">
        <v>1364</v>
      </c>
      <c r="I1315" s="2" t="s">
        <v>290</v>
      </c>
      <c r="J1315" s="2" t="s">
        <v>66</v>
      </c>
      <c r="K1315" s="2" t="s">
        <v>38</v>
      </c>
      <c r="L1315" s="2" t="s">
        <v>38</v>
      </c>
      <c r="M1315" s="2" t="s">
        <v>39</v>
      </c>
      <c r="N1315" s="2" t="s">
        <v>38</v>
      </c>
      <c r="O1315" s="2" t="s">
        <v>38</v>
      </c>
      <c r="P1315" s="2" t="s">
        <v>38</v>
      </c>
      <c r="Q1315" s="2" t="s">
        <v>38</v>
      </c>
      <c r="R1315" s="2" t="s">
        <v>38</v>
      </c>
      <c r="S1315" s="2" t="s">
        <v>38</v>
      </c>
      <c r="T1315" s="2" t="s">
        <v>39</v>
      </c>
      <c r="U1315" s="2" t="s">
        <v>38</v>
      </c>
      <c r="V1315" s="2" t="s">
        <v>38</v>
      </c>
      <c r="W1315" s="2" t="s">
        <v>38</v>
      </c>
      <c r="X1315" s="2" t="s">
        <v>39</v>
      </c>
      <c r="Y1315" s="2" t="s">
        <v>38</v>
      </c>
      <c r="Z1315" s="2" t="s">
        <v>39</v>
      </c>
      <c r="AA1315" s="2" t="s">
        <v>38</v>
      </c>
      <c r="AB1315" s="2" t="s">
        <v>39</v>
      </c>
      <c r="AC1315" s="2" t="s">
        <v>39</v>
      </c>
      <c r="AD1315" s="2" t="s">
        <v>38</v>
      </c>
      <c r="AE1315" s="2" t="s">
        <v>38</v>
      </c>
    </row>
    <row r="1316" spans="1:31" ht="409.5">
      <c r="A1316" s="2">
        <v>2593535</v>
      </c>
      <c r="B1316" s="2">
        <f>HYPERLINK("https://platform.v2.vetology.net/cases/2593535/screening-report/18?type=pdf&amp;v=v6&amp;scorecard=1&amp;secret_key=BX%25IJ%24%2F65ieZ%29f6", 2593535)</f>
        <v>2593535</v>
      </c>
      <c r="C1316" s="2">
        <f>HYPERLINK("https://platform.v2.vetology.net/report/v/final/"&amp;2593535, 2593535)</f>
        <v>2593535</v>
      </c>
      <c r="D1316" s="2" t="s">
        <v>1738</v>
      </c>
      <c r="E1316" s="2" t="s">
        <v>3809</v>
      </c>
      <c r="F1316" s="2" t="s">
        <v>3810</v>
      </c>
      <c r="G1316" s="2" t="s">
        <v>135</v>
      </c>
      <c r="H1316" s="2" t="s">
        <v>54</v>
      </c>
      <c r="I1316" s="2" t="s">
        <v>44</v>
      </c>
      <c r="J1316" s="2"/>
      <c r="K1316" s="2" t="s">
        <v>38</v>
      </c>
      <c r="L1316" s="2" t="s">
        <v>38</v>
      </c>
      <c r="M1316" s="2" t="s">
        <v>39</v>
      </c>
      <c r="N1316" s="2" t="s">
        <v>38</v>
      </c>
      <c r="O1316" s="2" t="s">
        <v>38</v>
      </c>
      <c r="P1316" s="2" t="s">
        <v>38</v>
      </c>
      <c r="Q1316" s="2" t="s">
        <v>38</v>
      </c>
      <c r="R1316" s="2" t="s">
        <v>38</v>
      </c>
      <c r="S1316" s="2" t="s">
        <v>38</v>
      </c>
      <c r="T1316" s="2" t="s">
        <v>39</v>
      </c>
      <c r="U1316" s="2" t="s">
        <v>38</v>
      </c>
      <c r="V1316" s="2" t="s">
        <v>38</v>
      </c>
      <c r="W1316" s="2" t="s">
        <v>38</v>
      </c>
      <c r="X1316" s="2" t="s">
        <v>39</v>
      </c>
      <c r="Y1316" s="2" t="s">
        <v>38</v>
      </c>
      <c r="Z1316" s="2" t="s">
        <v>38</v>
      </c>
      <c r="AA1316" s="2" t="s">
        <v>38</v>
      </c>
      <c r="AB1316" s="2" t="s">
        <v>38</v>
      </c>
      <c r="AC1316" s="2" t="s">
        <v>38</v>
      </c>
      <c r="AD1316" s="2" t="s">
        <v>38</v>
      </c>
      <c r="AE1316" s="2" t="s">
        <v>38</v>
      </c>
    </row>
    <row r="1317" spans="1:31" ht="409.5">
      <c r="A1317" s="2">
        <v>2593476</v>
      </c>
      <c r="B1317" s="2">
        <f>HYPERLINK("https://platform.v2.vetology.net/cases/2593476/screening-report/18?type=pdf&amp;v=v6&amp;scorecard=1&amp;secret_key=BX%25IJ%24%2F65ieZ%29f6", 2593476)</f>
        <v>2593476</v>
      </c>
      <c r="C1317" s="2">
        <f>HYPERLINK("https://platform.v2.vetology.net/report/v/final/"&amp;2593476, 2593476)</f>
        <v>2593476</v>
      </c>
      <c r="D1317" s="2" t="s">
        <v>3811</v>
      </c>
      <c r="E1317" s="2" t="s">
        <v>3812</v>
      </c>
      <c r="F1317" s="2" t="s">
        <v>3813</v>
      </c>
      <c r="G1317" s="2" t="s">
        <v>464</v>
      </c>
      <c r="H1317" s="2" t="s">
        <v>3814</v>
      </c>
      <c r="I1317" s="2" t="s">
        <v>152</v>
      </c>
      <c r="J1317" s="2" t="s">
        <v>153</v>
      </c>
      <c r="K1317" s="2" t="s">
        <v>38</v>
      </c>
      <c r="L1317" s="2" t="s">
        <v>38</v>
      </c>
      <c r="M1317" s="2" t="s">
        <v>38</v>
      </c>
      <c r="N1317" s="2" t="s">
        <v>38</v>
      </c>
      <c r="O1317" s="2" t="s">
        <v>38</v>
      </c>
      <c r="P1317" s="2" t="s">
        <v>38</v>
      </c>
      <c r="Q1317" s="2" t="s">
        <v>39</v>
      </c>
      <c r="R1317" s="2" t="s">
        <v>38</v>
      </c>
      <c r="S1317" s="2" t="s">
        <v>38</v>
      </c>
      <c r="T1317" s="2" t="s">
        <v>38</v>
      </c>
      <c r="U1317" s="2" t="s">
        <v>38</v>
      </c>
      <c r="V1317" s="2" t="s">
        <v>38</v>
      </c>
      <c r="W1317" s="2" t="s">
        <v>38</v>
      </c>
      <c r="X1317" s="2" t="s">
        <v>38</v>
      </c>
      <c r="Y1317" s="2" t="s">
        <v>38</v>
      </c>
      <c r="Z1317" s="2" t="s">
        <v>38</v>
      </c>
      <c r="AA1317" s="2" t="s">
        <v>38</v>
      </c>
      <c r="AB1317" s="2" t="s">
        <v>39</v>
      </c>
      <c r="AC1317" s="2" t="s">
        <v>38</v>
      </c>
      <c r="AD1317" s="2" t="s">
        <v>38</v>
      </c>
      <c r="AE1317" s="2" t="s">
        <v>38</v>
      </c>
    </row>
    <row r="1318" spans="1:31" ht="409.5">
      <c r="A1318" s="2">
        <v>2593316</v>
      </c>
      <c r="B1318" s="2">
        <f>HYPERLINK("https://platform.v2.vetology.net/cases/2593316/screening-report/18?type=pdf&amp;v=v6&amp;scorecard=1&amp;secret_key=BX%25IJ%24%2F65ieZ%29f6", 2593316)</f>
        <v>2593316</v>
      </c>
      <c r="C1318" s="2">
        <f>HYPERLINK("https://platform.v2.vetology.net/report/v/final/"&amp;2593316, 2593316)</f>
        <v>2593316</v>
      </c>
      <c r="D1318" s="2" t="s">
        <v>3407</v>
      </c>
      <c r="E1318" s="2" t="s">
        <v>617</v>
      </c>
      <c r="F1318" s="2" t="s">
        <v>3815</v>
      </c>
      <c r="G1318" s="2" t="s">
        <v>135</v>
      </c>
      <c r="H1318" s="2" t="s">
        <v>3816</v>
      </c>
      <c r="I1318" s="2" t="s">
        <v>1407</v>
      </c>
      <c r="J1318" s="2" t="s">
        <v>347</v>
      </c>
      <c r="K1318" s="2" t="s">
        <v>38</v>
      </c>
      <c r="L1318" s="2" t="s">
        <v>39</v>
      </c>
      <c r="M1318" s="2" t="s">
        <v>39</v>
      </c>
      <c r="N1318" s="2" t="s">
        <v>38</v>
      </c>
      <c r="O1318" s="2" t="s">
        <v>39</v>
      </c>
      <c r="P1318" s="2" t="s">
        <v>38</v>
      </c>
      <c r="Q1318" s="2" t="s">
        <v>38</v>
      </c>
      <c r="R1318" s="2" t="s">
        <v>38</v>
      </c>
      <c r="S1318" s="2" t="s">
        <v>39</v>
      </c>
      <c r="T1318" s="2" t="s">
        <v>39</v>
      </c>
      <c r="U1318" s="2" t="s">
        <v>39</v>
      </c>
      <c r="V1318" s="2" t="s">
        <v>39</v>
      </c>
      <c r="W1318" s="2" t="s">
        <v>38</v>
      </c>
      <c r="X1318" s="2" t="s">
        <v>39</v>
      </c>
      <c r="Y1318" s="2" t="s">
        <v>38</v>
      </c>
      <c r="Z1318" s="2" t="s">
        <v>38</v>
      </c>
      <c r="AA1318" s="2" t="s">
        <v>38</v>
      </c>
      <c r="AB1318" s="2" t="s">
        <v>38</v>
      </c>
      <c r="AC1318" s="2" t="s">
        <v>38</v>
      </c>
      <c r="AD1318" s="2" t="s">
        <v>38</v>
      </c>
      <c r="AE1318" s="2" t="s">
        <v>39</v>
      </c>
    </row>
    <row r="1319" spans="1:31" ht="409.5">
      <c r="A1319" s="2">
        <v>2592981</v>
      </c>
      <c r="B1319" s="2">
        <f>HYPERLINK("https://platform.v2.vetology.net/cases/2592981/screening-report/18?type=pdf&amp;v=v6&amp;scorecard=1&amp;secret_key=BX%25IJ%24%2F65ieZ%29f6", 2592981)</f>
        <v>2592981</v>
      </c>
      <c r="C1319" s="2">
        <f>HYPERLINK("https://platform.v2.vetology.net/report/v/final/"&amp;2592981, 2592981)</f>
        <v>2592981</v>
      </c>
      <c r="D1319" s="2" t="s">
        <v>3817</v>
      </c>
      <c r="E1319" s="2" t="s">
        <v>3818</v>
      </c>
      <c r="F1319" s="2" t="s">
        <v>3819</v>
      </c>
      <c r="G1319" s="2" t="s">
        <v>93</v>
      </c>
      <c r="H1319" s="2" t="s">
        <v>360</v>
      </c>
      <c r="I1319" s="2" t="s">
        <v>284</v>
      </c>
      <c r="J1319" s="2" t="s">
        <v>285</v>
      </c>
      <c r="K1319" s="2" t="s">
        <v>38</v>
      </c>
      <c r="L1319" s="2" t="s">
        <v>39</v>
      </c>
      <c r="M1319" s="2" t="s">
        <v>38</v>
      </c>
      <c r="N1319" s="2" t="s">
        <v>38</v>
      </c>
      <c r="O1319" s="2" t="s">
        <v>38</v>
      </c>
      <c r="P1319" s="2" t="s">
        <v>38</v>
      </c>
      <c r="Q1319" s="2" t="s">
        <v>38</v>
      </c>
      <c r="R1319" s="2" t="s">
        <v>38</v>
      </c>
      <c r="S1319" s="2" t="s">
        <v>38</v>
      </c>
      <c r="T1319" s="2" t="s">
        <v>38</v>
      </c>
      <c r="U1319" s="2" t="s">
        <v>38</v>
      </c>
      <c r="V1319" s="2" t="s">
        <v>38</v>
      </c>
      <c r="W1319" s="2" t="s">
        <v>38</v>
      </c>
      <c r="X1319" s="2" t="s">
        <v>38</v>
      </c>
      <c r="Y1319" s="2" t="s">
        <v>38</v>
      </c>
      <c r="Z1319" s="2" t="s">
        <v>38</v>
      </c>
      <c r="AA1319" s="2" t="s">
        <v>38</v>
      </c>
      <c r="AB1319" s="2" t="s">
        <v>38</v>
      </c>
      <c r="AC1319" s="2" t="s">
        <v>38</v>
      </c>
      <c r="AD1319" s="2" t="s">
        <v>38</v>
      </c>
      <c r="AE1319" s="2" t="s">
        <v>38</v>
      </c>
    </row>
    <row r="1320" spans="1:31" ht="409.5">
      <c r="A1320" s="2">
        <v>2592841</v>
      </c>
      <c r="B1320" s="2">
        <f>HYPERLINK("https://platform.v2.vetology.net/cases/2592841/screening-report/18?type=pdf&amp;v=v6&amp;scorecard=1&amp;secret_key=BX%25IJ%24%2F65ieZ%29f6", 2592841)</f>
        <v>2592841</v>
      </c>
      <c r="C1320" s="2">
        <f>HYPERLINK("https://platform.v2.vetology.net/report/v/final/"&amp;2592841, 2592841)</f>
        <v>2592841</v>
      </c>
      <c r="D1320" s="2" t="s">
        <v>3820</v>
      </c>
      <c r="E1320" s="2" t="s">
        <v>3821</v>
      </c>
      <c r="F1320" s="2" t="s">
        <v>3822</v>
      </c>
      <c r="G1320" s="2" t="s">
        <v>58</v>
      </c>
      <c r="H1320" s="2" t="s">
        <v>2320</v>
      </c>
      <c r="I1320" s="2" t="s">
        <v>137</v>
      </c>
      <c r="J1320" s="2" t="s">
        <v>66</v>
      </c>
      <c r="K1320" s="2" t="s">
        <v>38</v>
      </c>
      <c r="L1320" s="2" t="s">
        <v>38</v>
      </c>
      <c r="M1320" s="2" t="s">
        <v>38</v>
      </c>
      <c r="N1320" s="2" t="s">
        <v>38</v>
      </c>
      <c r="O1320" s="2" t="s">
        <v>38</v>
      </c>
      <c r="P1320" s="2" t="s">
        <v>38</v>
      </c>
      <c r="Q1320" s="2" t="s">
        <v>38</v>
      </c>
      <c r="R1320" s="2" t="s">
        <v>38</v>
      </c>
      <c r="S1320" s="2" t="s">
        <v>38</v>
      </c>
      <c r="T1320" s="2" t="s">
        <v>39</v>
      </c>
      <c r="U1320" s="2" t="s">
        <v>38</v>
      </c>
      <c r="V1320" s="2" t="s">
        <v>39</v>
      </c>
      <c r="W1320" s="2" t="s">
        <v>38</v>
      </c>
      <c r="X1320" s="2" t="s">
        <v>39</v>
      </c>
      <c r="Y1320" s="2" t="s">
        <v>38</v>
      </c>
      <c r="Z1320" s="2" t="s">
        <v>38</v>
      </c>
      <c r="AA1320" s="2" t="s">
        <v>38</v>
      </c>
      <c r="AB1320" s="2" t="s">
        <v>38</v>
      </c>
      <c r="AC1320" s="2" t="s">
        <v>38</v>
      </c>
      <c r="AD1320" s="2" t="s">
        <v>38</v>
      </c>
      <c r="AE1320" s="2" t="s">
        <v>38</v>
      </c>
    </row>
    <row r="1321" spans="1:31" ht="409.5">
      <c r="A1321" s="2">
        <v>2592806</v>
      </c>
      <c r="B1321" s="2">
        <f>HYPERLINK("https://platform.v2.vetology.net/cases/2592806/screening-report/18?type=pdf&amp;v=v6&amp;scorecard=1&amp;secret_key=BX%25IJ%24%2F65ieZ%29f6", 2592806)</f>
        <v>2592806</v>
      </c>
      <c r="C1321" s="2">
        <f>HYPERLINK("https://platform.v2.vetology.net/report/v/final/"&amp;2592806, 2592806)</f>
        <v>2592806</v>
      </c>
      <c r="D1321" s="2" t="s">
        <v>3823</v>
      </c>
      <c r="E1321" s="2" t="s">
        <v>3824</v>
      </c>
      <c r="F1321" s="2" t="s">
        <v>81</v>
      </c>
      <c r="G1321" s="2" t="s">
        <v>82</v>
      </c>
      <c r="H1321" s="2" t="s">
        <v>3825</v>
      </c>
      <c r="I1321" s="2" t="s">
        <v>460</v>
      </c>
      <c r="J1321" s="2" t="s">
        <v>66</v>
      </c>
      <c r="K1321" s="2" t="s">
        <v>38</v>
      </c>
      <c r="L1321" s="2" t="s">
        <v>39</v>
      </c>
      <c r="M1321" s="2" t="s">
        <v>39</v>
      </c>
      <c r="N1321" s="2" t="s">
        <v>38</v>
      </c>
      <c r="O1321" s="2" t="s">
        <v>39</v>
      </c>
      <c r="P1321" s="2" t="s">
        <v>38</v>
      </c>
      <c r="Q1321" s="2" t="s">
        <v>39</v>
      </c>
      <c r="R1321" s="2" t="s">
        <v>38</v>
      </c>
      <c r="S1321" s="2" t="s">
        <v>38</v>
      </c>
      <c r="T1321" s="2" t="s">
        <v>39</v>
      </c>
      <c r="U1321" s="2" t="s">
        <v>39</v>
      </c>
      <c r="V1321" s="2" t="s">
        <v>39</v>
      </c>
      <c r="W1321" s="2" t="s">
        <v>38</v>
      </c>
      <c r="X1321" s="2" t="s">
        <v>39</v>
      </c>
      <c r="Y1321" s="2" t="s">
        <v>38</v>
      </c>
      <c r="Z1321" s="2" t="s">
        <v>39</v>
      </c>
      <c r="AA1321" s="2" t="s">
        <v>38</v>
      </c>
      <c r="AB1321" s="2" t="s">
        <v>39</v>
      </c>
      <c r="AC1321" s="2" t="s">
        <v>39</v>
      </c>
      <c r="AD1321" s="2" t="s">
        <v>38</v>
      </c>
      <c r="AE1321" s="2" t="s">
        <v>39</v>
      </c>
    </row>
    <row r="1322" spans="1:31" ht="409.5">
      <c r="A1322" s="2">
        <v>2592639</v>
      </c>
      <c r="B1322" s="2">
        <f>HYPERLINK("https://platform.v2.vetology.net/cases/2592639/screening-report/18?type=pdf&amp;v=v6&amp;scorecard=1&amp;secret_key=BX%25IJ%24%2F65ieZ%29f6", 2592639)</f>
        <v>2592639</v>
      </c>
      <c r="C1322" s="2">
        <f>HYPERLINK("https://platform.v2.vetology.net/report/v/final/"&amp;2592639, 2592639)</f>
        <v>2592639</v>
      </c>
      <c r="D1322" s="2" t="s">
        <v>3826</v>
      </c>
      <c r="E1322" s="2" t="s">
        <v>3827</v>
      </c>
      <c r="F1322" s="2" t="s">
        <v>1369</v>
      </c>
      <c r="G1322" s="2" t="s">
        <v>58</v>
      </c>
      <c r="H1322" s="2" t="s">
        <v>3828</v>
      </c>
      <c r="I1322" s="2" t="s">
        <v>382</v>
      </c>
      <c r="J1322" s="2" t="s">
        <v>710</v>
      </c>
      <c r="K1322" s="2" t="s">
        <v>38</v>
      </c>
      <c r="L1322" s="2" t="s">
        <v>39</v>
      </c>
      <c r="M1322" s="2" t="s">
        <v>38</v>
      </c>
      <c r="N1322" s="2" t="s">
        <v>38</v>
      </c>
      <c r="O1322" s="2" t="s">
        <v>38</v>
      </c>
      <c r="P1322" s="2" t="s">
        <v>38</v>
      </c>
      <c r="Q1322" s="2" t="s">
        <v>39</v>
      </c>
      <c r="R1322" s="2" t="s">
        <v>38</v>
      </c>
      <c r="S1322" s="2" t="s">
        <v>38</v>
      </c>
      <c r="T1322" s="2" t="s">
        <v>38</v>
      </c>
      <c r="U1322" s="2" t="s">
        <v>38</v>
      </c>
      <c r="V1322" s="2" t="s">
        <v>38</v>
      </c>
      <c r="W1322" s="2" t="s">
        <v>38</v>
      </c>
      <c r="X1322" s="2" t="s">
        <v>39</v>
      </c>
      <c r="Y1322" s="2" t="s">
        <v>38</v>
      </c>
      <c r="Z1322" s="2" t="s">
        <v>38</v>
      </c>
      <c r="AA1322" s="2" t="s">
        <v>38</v>
      </c>
      <c r="AB1322" s="2" t="s">
        <v>38</v>
      </c>
      <c r="AC1322" s="2" t="s">
        <v>38</v>
      </c>
      <c r="AD1322" s="2" t="s">
        <v>38</v>
      </c>
      <c r="AE1322" s="2" t="s">
        <v>38</v>
      </c>
    </row>
    <row r="1323" spans="1:31" ht="409.5">
      <c r="A1323" s="2">
        <v>2592540</v>
      </c>
      <c r="B1323" s="2">
        <f>HYPERLINK("https://platform.v2.vetology.net/cases/2592540/screening-report/18?type=pdf&amp;v=v6&amp;scorecard=1&amp;secret_key=BX%25IJ%24%2F65ieZ%29f6", 2592540)</f>
        <v>2592540</v>
      </c>
      <c r="C1323" s="2">
        <f>HYPERLINK("https://platform.v2.vetology.net/report/v/final/"&amp;2592540, 2592540)</f>
        <v>2592540</v>
      </c>
      <c r="D1323" s="2" t="s">
        <v>3829</v>
      </c>
      <c r="E1323" s="2" t="s">
        <v>3830</v>
      </c>
      <c r="F1323" s="2" t="s">
        <v>3831</v>
      </c>
      <c r="G1323" s="2" t="s">
        <v>464</v>
      </c>
      <c r="H1323" s="2" t="s">
        <v>54</v>
      </c>
      <c r="I1323" s="2" t="s">
        <v>44</v>
      </c>
      <c r="J1323" s="2"/>
      <c r="K1323" s="2" t="s">
        <v>38</v>
      </c>
      <c r="L1323" s="2" t="s">
        <v>38</v>
      </c>
      <c r="M1323" s="2" t="s">
        <v>38</v>
      </c>
      <c r="N1323" s="2" t="s">
        <v>38</v>
      </c>
      <c r="O1323" s="2" t="s">
        <v>38</v>
      </c>
      <c r="P1323" s="2" t="s">
        <v>38</v>
      </c>
      <c r="Q1323" s="2" t="s">
        <v>38</v>
      </c>
      <c r="R1323" s="2" t="s">
        <v>38</v>
      </c>
      <c r="S1323" s="2" t="s">
        <v>38</v>
      </c>
      <c r="T1323" s="2" t="s">
        <v>38</v>
      </c>
      <c r="U1323" s="2" t="s">
        <v>38</v>
      </c>
      <c r="V1323" s="2" t="s">
        <v>38</v>
      </c>
      <c r="W1323" s="2" t="s">
        <v>38</v>
      </c>
      <c r="X1323" s="2" t="s">
        <v>38</v>
      </c>
      <c r="Y1323" s="2" t="s">
        <v>38</v>
      </c>
      <c r="Z1323" s="2" t="s">
        <v>38</v>
      </c>
      <c r="AA1323" s="2" t="s">
        <v>38</v>
      </c>
      <c r="AB1323" s="2" t="s">
        <v>38</v>
      </c>
      <c r="AC1323" s="2" t="s">
        <v>38</v>
      </c>
      <c r="AD1323" s="2" t="s">
        <v>38</v>
      </c>
      <c r="AE1323" s="2" t="s">
        <v>38</v>
      </c>
    </row>
    <row r="1324" spans="1:31" ht="409.5">
      <c r="A1324" s="2">
        <v>2592201</v>
      </c>
      <c r="B1324" s="2">
        <f>HYPERLINK("https://platform.v2.vetology.net/cases/2592201/screening-report/18?type=pdf&amp;v=v6&amp;scorecard=1&amp;secret_key=BX%25IJ%24%2F65ieZ%29f6", 2592201)</f>
        <v>2592201</v>
      </c>
      <c r="C1324" s="2">
        <f>HYPERLINK("https://platform.v2.vetology.net/report/v/final/"&amp;2592201, 2592201)</f>
        <v>2592201</v>
      </c>
      <c r="D1324" s="2" t="s">
        <v>3832</v>
      </c>
      <c r="E1324" s="2" t="s">
        <v>1712</v>
      </c>
      <c r="F1324" s="2" t="s">
        <v>3833</v>
      </c>
      <c r="G1324" s="2" t="s">
        <v>150</v>
      </c>
      <c r="H1324" s="2" t="s">
        <v>105</v>
      </c>
      <c r="I1324" s="2" t="s">
        <v>44</v>
      </c>
      <c r="J1324" s="2"/>
      <c r="K1324" s="2" t="s">
        <v>38</v>
      </c>
      <c r="L1324" s="2" t="s">
        <v>38</v>
      </c>
      <c r="M1324" s="2" t="s">
        <v>39</v>
      </c>
      <c r="N1324" s="2" t="s">
        <v>38</v>
      </c>
      <c r="O1324" s="2" t="s">
        <v>38</v>
      </c>
      <c r="P1324" s="2" t="s">
        <v>38</v>
      </c>
      <c r="Q1324" s="2" t="s">
        <v>38</v>
      </c>
      <c r="R1324" s="2" t="s">
        <v>38</v>
      </c>
      <c r="S1324" s="2" t="s">
        <v>38</v>
      </c>
      <c r="T1324" s="2" t="s">
        <v>38</v>
      </c>
      <c r="U1324" s="2" t="s">
        <v>38</v>
      </c>
      <c r="V1324" s="2" t="s">
        <v>38</v>
      </c>
      <c r="W1324" s="2" t="s">
        <v>38</v>
      </c>
      <c r="X1324" s="2" t="s">
        <v>38</v>
      </c>
      <c r="Y1324" s="2" t="s">
        <v>38</v>
      </c>
      <c r="Z1324" s="2" t="s">
        <v>38</v>
      </c>
      <c r="AA1324" s="2" t="s">
        <v>38</v>
      </c>
      <c r="AB1324" s="2" t="s">
        <v>39</v>
      </c>
      <c r="AC1324" s="2" t="s">
        <v>38</v>
      </c>
      <c r="AD1324" s="2" t="s">
        <v>38</v>
      </c>
      <c r="AE1324" s="2" t="s">
        <v>38</v>
      </c>
    </row>
    <row r="1325" spans="1:31" ht="409.5">
      <c r="A1325" s="2">
        <v>2591799</v>
      </c>
      <c r="B1325" s="2">
        <f>HYPERLINK("https://platform.v2.vetology.net/cases/2591799/screening-report/18?type=pdf&amp;v=v6&amp;scorecard=1&amp;secret_key=BX%25IJ%24%2F65ieZ%29f6", 2591799)</f>
        <v>2591799</v>
      </c>
      <c r="C1325" s="2">
        <f>HYPERLINK("https://platform.v2.vetology.net/report/v/final/"&amp;2591799, 2591799)</f>
        <v>2591799</v>
      </c>
      <c r="D1325" s="2" t="s">
        <v>3834</v>
      </c>
      <c r="E1325" s="2" t="s">
        <v>3286</v>
      </c>
      <c r="F1325" s="2" t="s">
        <v>1901</v>
      </c>
      <c r="G1325" s="2" t="s">
        <v>150</v>
      </c>
      <c r="H1325" s="2" t="s">
        <v>54</v>
      </c>
      <c r="I1325" s="2" t="s">
        <v>44</v>
      </c>
      <c r="J1325" s="2"/>
      <c r="K1325" s="2" t="s">
        <v>38</v>
      </c>
      <c r="L1325" s="2" t="s">
        <v>39</v>
      </c>
      <c r="M1325" s="2" t="s">
        <v>39</v>
      </c>
      <c r="N1325" s="2" t="s">
        <v>38</v>
      </c>
      <c r="O1325" s="2" t="s">
        <v>38</v>
      </c>
      <c r="P1325" s="2" t="s">
        <v>38</v>
      </c>
      <c r="Q1325" s="2" t="s">
        <v>38</v>
      </c>
      <c r="R1325" s="2" t="s">
        <v>38</v>
      </c>
      <c r="S1325" s="2" t="s">
        <v>39</v>
      </c>
      <c r="T1325" s="2" t="s">
        <v>38</v>
      </c>
      <c r="U1325" s="2" t="s">
        <v>39</v>
      </c>
      <c r="V1325" s="2" t="s">
        <v>38</v>
      </c>
      <c r="W1325" s="2" t="s">
        <v>38</v>
      </c>
      <c r="X1325" s="2" t="s">
        <v>38</v>
      </c>
      <c r="Y1325" s="2" t="s">
        <v>38</v>
      </c>
      <c r="Z1325" s="2" t="s">
        <v>39</v>
      </c>
      <c r="AA1325" s="2" t="s">
        <v>38</v>
      </c>
      <c r="AB1325" s="2" t="s">
        <v>39</v>
      </c>
      <c r="AC1325" s="2" t="s">
        <v>38</v>
      </c>
      <c r="AD1325" s="2" t="s">
        <v>38</v>
      </c>
      <c r="AE1325" s="2" t="s">
        <v>38</v>
      </c>
    </row>
    <row r="1326" spans="1:31" ht="409.5">
      <c r="A1326" s="2">
        <v>2591629</v>
      </c>
      <c r="B1326" s="2">
        <f>HYPERLINK("https://platform.v2.vetology.net/cases/2591629/screening-report/18?type=pdf&amp;v=v6&amp;scorecard=1&amp;secret_key=BX%25IJ%24%2F65ieZ%29f6", 2591629)</f>
        <v>2591629</v>
      </c>
      <c r="C1326" s="2">
        <f>HYPERLINK("https://platform.v2.vetology.net/report/v/final/"&amp;2591629, 2591629)</f>
        <v>2591629</v>
      </c>
      <c r="D1326" s="2" t="s">
        <v>3835</v>
      </c>
      <c r="E1326" s="2" t="s">
        <v>3836</v>
      </c>
      <c r="F1326" s="2" t="s">
        <v>3837</v>
      </c>
      <c r="G1326" s="2" t="s">
        <v>58</v>
      </c>
      <c r="H1326" s="2" t="s">
        <v>129</v>
      </c>
      <c r="I1326" s="2" t="s">
        <v>44</v>
      </c>
      <c r="J1326" s="2" t="s">
        <v>106</v>
      </c>
      <c r="K1326" s="2" t="s">
        <v>38</v>
      </c>
      <c r="L1326" s="2" t="s">
        <v>38</v>
      </c>
      <c r="M1326" s="2" t="s">
        <v>38</v>
      </c>
      <c r="N1326" s="2" t="s">
        <v>38</v>
      </c>
      <c r="O1326" s="2" t="s">
        <v>38</v>
      </c>
      <c r="P1326" s="2" t="s">
        <v>38</v>
      </c>
      <c r="Q1326" s="2" t="s">
        <v>38</v>
      </c>
      <c r="R1326" s="2" t="s">
        <v>38</v>
      </c>
      <c r="S1326" s="2" t="s">
        <v>38</v>
      </c>
      <c r="T1326" s="2" t="s">
        <v>39</v>
      </c>
      <c r="U1326" s="2" t="s">
        <v>38</v>
      </c>
      <c r="V1326" s="2" t="s">
        <v>39</v>
      </c>
      <c r="W1326" s="2" t="s">
        <v>38</v>
      </c>
      <c r="X1326" s="2" t="s">
        <v>38</v>
      </c>
      <c r="Y1326" s="2" t="s">
        <v>38</v>
      </c>
      <c r="Z1326" s="2" t="s">
        <v>38</v>
      </c>
      <c r="AA1326" s="2" t="s">
        <v>38</v>
      </c>
      <c r="AB1326" s="2" t="s">
        <v>38</v>
      </c>
      <c r="AC1326" s="2" t="s">
        <v>38</v>
      </c>
      <c r="AD1326" s="2" t="s">
        <v>38</v>
      </c>
      <c r="AE1326" s="2" t="s">
        <v>38</v>
      </c>
    </row>
    <row r="1327" spans="1:31" ht="409.5">
      <c r="A1327" s="2">
        <v>2591446</v>
      </c>
      <c r="B1327" s="2">
        <f>HYPERLINK("https://platform.v2.vetology.net/cases/2591446/screening-report/18?type=pdf&amp;v=v6&amp;scorecard=1&amp;secret_key=BX%25IJ%24%2F65ieZ%29f6", 2591446)</f>
        <v>2591446</v>
      </c>
      <c r="C1327" s="2">
        <f>HYPERLINK("https://platform.v2.vetology.net/report/v/final/"&amp;2591446, 2591446)</f>
        <v>2591446</v>
      </c>
      <c r="D1327" s="2" t="s">
        <v>3838</v>
      </c>
      <c r="E1327" s="2" t="s">
        <v>3839</v>
      </c>
      <c r="F1327" s="2" t="s">
        <v>3840</v>
      </c>
      <c r="G1327" s="2" t="s">
        <v>93</v>
      </c>
      <c r="H1327" s="2" t="s">
        <v>88</v>
      </c>
      <c r="I1327" s="2" t="s">
        <v>89</v>
      </c>
      <c r="J1327" s="2" t="s">
        <v>66</v>
      </c>
      <c r="K1327" s="2" t="s">
        <v>38</v>
      </c>
      <c r="L1327" s="2" t="s">
        <v>38</v>
      </c>
      <c r="M1327" s="2" t="s">
        <v>38</v>
      </c>
      <c r="N1327" s="2" t="s">
        <v>38</v>
      </c>
      <c r="O1327" s="2" t="s">
        <v>38</v>
      </c>
      <c r="P1327" s="2" t="s">
        <v>38</v>
      </c>
      <c r="Q1327" s="2" t="s">
        <v>38</v>
      </c>
      <c r="R1327" s="2" t="s">
        <v>38</v>
      </c>
      <c r="S1327" s="2" t="s">
        <v>38</v>
      </c>
      <c r="T1327" s="2" t="s">
        <v>38</v>
      </c>
      <c r="U1327" s="2" t="s">
        <v>38</v>
      </c>
      <c r="V1327" s="2" t="s">
        <v>38</v>
      </c>
      <c r="W1327" s="2" t="s">
        <v>38</v>
      </c>
      <c r="X1327" s="2" t="s">
        <v>38</v>
      </c>
      <c r="Y1327" s="2" t="s">
        <v>38</v>
      </c>
      <c r="Z1327" s="2" t="s">
        <v>38</v>
      </c>
      <c r="AA1327" s="2" t="s">
        <v>38</v>
      </c>
      <c r="AB1327" s="2" t="s">
        <v>38</v>
      </c>
      <c r="AC1327" s="2" t="s">
        <v>38</v>
      </c>
      <c r="AD1327" s="2" t="s">
        <v>38</v>
      </c>
      <c r="AE1327" s="2" t="s">
        <v>39</v>
      </c>
    </row>
    <row r="1328" spans="1:31" ht="409.5">
      <c r="A1328" s="2">
        <v>2590793</v>
      </c>
      <c r="B1328" s="2">
        <f>HYPERLINK("https://platform.v2.vetology.net/cases/2590793/screening-report/18?type=pdf&amp;v=v6&amp;scorecard=1&amp;secret_key=BX%25IJ%24%2F65ieZ%29f6", 2590793)</f>
        <v>2590793</v>
      </c>
      <c r="C1328" s="2">
        <f>HYPERLINK("https://platform.v2.vetology.net/report/v/final/"&amp;2590793, 2590793)</f>
        <v>2590793</v>
      </c>
      <c r="D1328" s="2" t="s">
        <v>3841</v>
      </c>
      <c r="E1328" s="2" t="s">
        <v>3842</v>
      </c>
      <c r="F1328" s="2" t="s">
        <v>3843</v>
      </c>
      <c r="G1328" s="2" t="s">
        <v>135</v>
      </c>
      <c r="H1328" s="2" t="s">
        <v>177</v>
      </c>
      <c r="I1328" s="2" t="s">
        <v>124</v>
      </c>
      <c r="J1328" s="2" t="s">
        <v>125</v>
      </c>
      <c r="K1328" s="2" t="s">
        <v>38</v>
      </c>
      <c r="L1328" s="2" t="s">
        <v>38</v>
      </c>
      <c r="M1328" s="2" t="s">
        <v>39</v>
      </c>
      <c r="N1328" s="2" t="s">
        <v>38</v>
      </c>
      <c r="O1328" s="2" t="s">
        <v>38</v>
      </c>
      <c r="P1328" s="2" t="s">
        <v>38</v>
      </c>
      <c r="Q1328" s="2" t="s">
        <v>38</v>
      </c>
      <c r="R1328" s="2" t="s">
        <v>38</v>
      </c>
      <c r="S1328" s="2" t="s">
        <v>39</v>
      </c>
      <c r="T1328" s="2" t="s">
        <v>39</v>
      </c>
      <c r="U1328" s="2" t="s">
        <v>38</v>
      </c>
      <c r="V1328" s="2" t="s">
        <v>39</v>
      </c>
      <c r="W1328" s="2" t="s">
        <v>38</v>
      </c>
      <c r="X1328" s="2" t="s">
        <v>39</v>
      </c>
      <c r="Y1328" s="2" t="s">
        <v>38</v>
      </c>
      <c r="Z1328" s="2" t="s">
        <v>38</v>
      </c>
      <c r="AA1328" s="2" t="s">
        <v>38</v>
      </c>
      <c r="AB1328" s="2" t="s">
        <v>38</v>
      </c>
      <c r="AC1328" s="2" t="s">
        <v>38</v>
      </c>
      <c r="AD1328" s="2" t="s">
        <v>38</v>
      </c>
      <c r="AE1328" s="2" t="s">
        <v>38</v>
      </c>
    </row>
    <row r="1329" spans="1:31" ht="409.5">
      <c r="A1329" s="2">
        <v>2590550</v>
      </c>
      <c r="B1329" s="2">
        <f>HYPERLINK("https://platform.v2.vetology.net/cases/2590550/screening-report/18?type=pdf&amp;v=v6&amp;scorecard=1&amp;secret_key=BX%25IJ%24%2F65ieZ%29f6", 2590550)</f>
        <v>2590550</v>
      </c>
      <c r="C1329" s="2">
        <f>HYPERLINK("https://platform.v2.vetology.net/report/v/final/"&amp;2590550, 2590550)</f>
        <v>2590550</v>
      </c>
      <c r="D1329" s="2" t="s">
        <v>3844</v>
      </c>
      <c r="E1329" s="2" t="s">
        <v>3845</v>
      </c>
      <c r="F1329" s="2" t="s">
        <v>3523</v>
      </c>
      <c r="G1329" s="2" t="s">
        <v>141</v>
      </c>
      <c r="H1329" s="2" t="s">
        <v>1634</v>
      </c>
      <c r="I1329" s="2" t="s">
        <v>435</v>
      </c>
      <c r="J1329" s="2" t="s">
        <v>436</v>
      </c>
      <c r="K1329" s="2" t="s">
        <v>38</v>
      </c>
      <c r="L1329" s="2" t="s">
        <v>39</v>
      </c>
      <c r="M1329" s="2" t="s">
        <v>39</v>
      </c>
      <c r="N1329" s="2" t="s">
        <v>38</v>
      </c>
      <c r="O1329" s="2" t="s">
        <v>39</v>
      </c>
      <c r="P1329" s="2" t="s">
        <v>38</v>
      </c>
      <c r="Q1329" s="2" t="s">
        <v>38</v>
      </c>
      <c r="R1329" s="2" t="s">
        <v>38</v>
      </c>
      <c r="S1329" s="2" t="s">
        <v>39</v>
      </c>
      <c r="T1329" s="2" t="s">
        <v>39</v>
      </c>
      <c r="U1329" s="2" t="s">
        <v>38</v>
      </c>
      <c r="V1329" s="2" t="s">
        <v>39</v>
      </c>
      <c r="W1329" s="2" t="s">
        <v>38</v>
      </c>
      <c r="X1329" s="2" t="s">
        <v>39</v>
      </c>
      <c r="Y1329" s="2" t="s">
        <v>38</v>
      </c>
      <c r="Z1329" s="2" t="s">
        <v>39</v>
      </c>
      <c r="AA1329" s="2" t="s">
        <v>38</v>
      </c>
      <c r="AB1329" s="2" t="s">
        <v>38</v>
      </c>
      <c r="AC1329" s="2" t="s">
        <v>38</v>
      </c>
      <c r="AD1329" s="2" t="s">
        <v>38</v>
      </c>
      <c r="AE1329" s="2" t="s">
        <v>39</v>
      </c>
    </row>
    <row r="1330" spans="1:31" ht="409.5">
      <c r="A1330" s="2">
        <v>2590372</v>
      </c>
      <c r="B1330" s="2">
        <f>HYPERLINK("https://platform.v2.vetology.net/cases/2590372/screening-report/18?type=pdf&amp;v=v6&amp;scorecard=1&amp;secret_key=BX%25IJ%24%2F65ieZ%29f6", 2590372)</f>
        <v>2590372</v>
      </c>
      <c r="C1330" s="2">
        <f>HYPERLINK("https://platform.v2.vetology.net/report/v/final/"&amp;2590372, 2590372)</f>
        <v>2590372</v>
      </c>
      <c r="D1330" s="2" t="s">
        <v>3846</v>
      </c>
      <c r="E1330" s="2" t="s">
        <v>3847</v>
      </c>
      <c r="F1330" s="2" t="s">
        <v>3848</v>
      </c>
      <c r="G1330" s="2" t="s">
        <v>58</v>
      </c>
      <c r="H1330" s="2" t="s">
        <v>1622</v>
      </c>
      <c r="I1330" s="2" t="s">
        <v>158</v>
      </c>
      <c r="J1330" s="2" t="s">
        <v>50</v>
      </c>
      <c r="K1330" s="2" t="s">
        <v>38</v>
      </c>
      <c r="L1330" s="2" t="s">
        <v>39</v>
      </c>
      <c r="M1330" s="2" t="s">
        <v>38</v>
      </c>
      <c r="N1330" s="2" t="s">
        <v>38</v>
      </c>
      <c r="O1330" s="2" t="s">
        <v>38</v>
      </c>
      <c r="P1330" s="2" t="s">
        <v>38</v>
      </c>
      <c r="Q1330" s="2" t="s">
        <v>38</v>
      </c>
      <c r="R1330" s="2" t="s">
        <v>38</v>
      </c>
      <c r="S1330" s="2" t="s">
        <v>38</v>
      </c>
      <c r="T1330" s="2" t="s">
        <v>38</v>
      </c>
      <c r="U1330" s="2" t="s">
        <v>38</v>
      </c>
      <c r="V1330" s="2" t="s">
        <v>38</v>
      </c>
      <c r="W1330" s="2" t="s">
        <v>38</v>
      </c>
      <c r="X1330" s="2" t="s">
        <v>38</v>
      </c>
      <c r="Y1330" s="2" t="s">
        <v>38</v>
      </c>
      <c r="Z1330" s="2" t="s">
        <v>38</v>
      </c>
      <c r="AA1330" s="2" t="s">
        <v>38</v>
      </c>
      <c r="AB1330" s="2" t="s">
        <v>39</v>
      </c>
      <c r="AC1330" s="2" t="s">
        <v>38</v>
      </c>
      <c r="AD1330" s="2" t="s">
        <v>38</v>
      </c>
      <c r="AE1330" s="2" t="s">
        <v>38</v>
      </c>
    </row>
    <row r="1331" spans="1:31" ht="409.5">
      <c r="A1331" s="2">
        <v>2590146</v>
      </c>
      <c r="B1331" s="2">
        <f>HYPERLINK("https://platform.v2.vetology.net/cases/2590146/screening-report/18?type=pdf&amp;v=v6&amp;scorecard=1&amp;secret_key=BX%25IJ%24%2F65ieZ%29f6", 2590146)</f>
        <v>2590146</v>
      </c>
      <c r="C1331" s="2">
        <f>HYPERLINK("https://platform.v2.vetology.net/report/v/final/"&amp;2590146, 2590146)</f>
        <v>2590146</v>
      </c>
      <c r="D1331" s="2" t="s">
        <v>3849</v>
      </c>
      <c r="E1331" s="2" t="s">
        <v>3850</v>
      </c>
      <c r="F1331" s="2" t="s">
        <v>1901</v>
      </c>
      <c r="G1331" s="2" t="s">
        <v>150</v>
      </c>
      <c r="H1331" s="2" t="s">
        <v>1684</v>
      </c>
      <c r="I1331" s="2" t="s">
        <v>214</v>
      </c>
      <c r="J1331" s="2" t="s">
        <v>50</v>
      </c>
      <c r="K1331" s="2" t="s">
        <v>38</v>
      </c>
      <c r="L1331" s="2" t="s">
        <v>38</v>
      </c>
      <c r="M1331" s="2" t="s">
        <v>38</v>
      </c>
      <c r="N1331" s="2" t="s">
        <v>38</v>
      </c>
      <c r="O1331" s="2" t="s">
        <v>38</v>
      </c>
      <c r="P1331" s="2" t="s">
        <v>38</v>
      </c>
      <c r="Q1331" s="2" t="s">
        <v>38</v>
      </c>
      <c r="R1331" s="2" t="s">
        <v>38</v>
      </c>
      <c r="S1331" s="2" t="s">
        <v>38</v>
      </c>
      <c r="T1331" s="2" t="s">
        <v>39</v>
      </c>
      <c r="U1331" s="2" t="s">
        <v>38</v>
      </c>
      <c r="V1331" s="2" t="s">
        <v>39</v>
      </c>
      <c r="W1331" s="2" t="s">
        <v>38</v>
      </c>
      <c r="X1331" s="2" t="s">
        <v>39</v>
      </c>
      <c r="Y1331" s="2" t="s">
        <v>38</v>
      </c>
      <c r="Z1331" s="2" t="s">
        <v>38</v>
      </c>
      <c r="AA1331" s="2" t="s">
        <v>38</v>
      </c>
      <c r="AB1331" s="2" t="s">
        <v>38</v>
      </c>
      <c r="AC1331" s="2" t="s">
        <v>38</v>
      </c>
      <c r="AD1331" s="2" t="s">
        <v>38</v>
      </c>
      <c r="AE1331" s="2" t="s">
        <v>39</v>
      </c>
    </row>
    <row r="1332" spans="1:31" ht="409.5">
      <c r="A1332" s="2">
        <v>2589673</v>
      </c>
      <c r="B1332" s="2">
        <f>HYPERLINK("https://platform.v2.vetology.net/cases/2589673/screening-report/18?type=pdf&amp;v=v6&amp;scorecard=1&amp;secret_key=BX%25IJ%24%2F65ieZ%29f6", 2589673)</f>
        <v>2589673</v>
      </c>
      <c r="C1332" s="2">
        <f>HYPERLINK("https://platform.v2.vetology.net/report/v/final/"&amp;2589673, 2589673)</f>
        <v>2589673</v>
      </c>
      <c r="D1332" s="2" t="s">
        <v>3851</v>
      </c>
      <c r="E1332" s="2" t="s">
        <v>3852</v>
      </c>
      <c r="F1332" s="2" t="s">
        <v>81</v>
      </c>
      <c r="G1332" s="2" t="s">
        <v>150</v>
      </c>
      <c r="H1332" s="2" t="s">
        <v>54</v>
      </c>
      <c r="I1332" s="2" t="s">
        <v>44</v>
      </c>
      <c r="J1332" s="2"/>
      <c r="K1332" s="2" t="s">
        <v>38</v>
      </c>
      <c r="L1332" s="2" t="s">
        <v>39</v>
      </c>
      <c r="M1332" s="2" t="s">
        <v>38</v>
      </c>
      <c r="N1332" s="2" t="s">
        <v>38</v>
      </c>
      <c r="O1332" s="2" t="s">
        <v>38</v>
      </c>
      <c r="P1332" s="2" t="s">
        <v>38</v>
      </c>
      <c r="Q1332" s="2" t="s">
        <v>38</v>
      </c>
      <c r="R1332" s="2" t="s">
        <v>38</v>
      </c>
      <c r="S1332" s="2" t="s">
        <v>39</v>
      </c>
      <c r="T1332" s="2" t="s">
        <v>39</v>
      </c>
      <c r="U1332" s="2" t="s">
        <v>39</v>
      </c>
      <c r="V1332" s="2" t="s">
        <v>38</v>
      </c>
      <c r="W1332" s="2" t="s">
        <v>38</v>
      </c>
      <c r="X1332" s="2" t="s">
        <v>39</v>
      </c>
      <c r="Y1332" s="2" t="s">
        <v>38</v>
      </c>
      <c r="Z1332" s="2" t="s">
        <v>39</v>
      </c>
      <c r="AA1332" s="2" t="s">
        <v>38</v>
      </c>
      <c r="AB1332" s="2" t="s">
        <v>38</v>
      </c>
      <c r="AC1332" s="2" t="s">
        <v>38</v>
      </c>
      <c r="AD1332" s="2" t="s">
        <v>38</v>
      </c>
      <c r="AE1332" s="2" t="s">
        <v>38</v>
      </c>
    </row>
    <row r="1333" spans="1:31" ht="409.5">
      <c r="A1333" s="2">
        <v>2589518</v>
      </c>
      <c r="B1333" s="2">
        <f>HYPERLINK("https://platform.v2.vetology.net/cases/2589518/screening-report/18?type=pdf&amp;v=v6&amp;scorecard=1&amp;secret_key=BX%25IJ%24%2F65ieZ%29f6", 2589518)</f>
        <v>2589518</v>
      </c>
      <c r="C1333" s="2">
        <f>HYPERLINK("https://platform.v2.vetology.net/report/v/final/"&amp;2589518, 2589518)</f>
        <v>2589518</v>
      </c>
      <c r="D1333" s="2" t="s">
        <v>3853</v>
      </c>
      <c r="E1333" s="2" t="s">
        <v>850</v>
      </c>
      <c r="F1333" s="2"/>
      <c r="G1333" s="2" t="s">
        <v>150</v>
      </c>
      <c r="H1333" s="2" t="s">
        <v>539</v>
      </c>
      <c r="I1333" s="2" t="s">
        <v>207</v>
      </c>
      <c r="J1333" s="2" t="s">
        <v>208</v>
      </c>
      <c r="K1333" s="2" t="s">
        <v>38</v>
      </c>
      <c r="L1333" s="2" t="s">
        <v>38</v>
      </c>
      <c r="M1333" s="2" t="s">
        <v>38</v>
      </c>
      <c r="N1333" s="2" t="s">
        <v>38</v>
      </c>
      <c r="O1333" s="2" t="s">
        <v>38</v>
      </c>
      <c r="P1333" s="2" t="s">
        <v>38</v>
      </c>
      <c r="Q1333" s="2" t="s">
        <v>38</v>
      </c>
      <c r="R1333" s="2" t="s">
        <v>38</v>
      </c>
      <c r="S1333" s="2" t="s">
        <v>38</v>
      </c>
      <c r="T1333" s="2" t="s">
        <v>39</v>
      </c>
      <c r="U1333" s="2" t="s">
        <v>38</v>
      </c>
      <c r="V1333" s="2" t="s">
        <v>38</v>
      </c>
      <c r="W1333" s="2" t="s">
        <v>38</v>
      </c>
      <c r="X1333" s="2" t="s">
        <v>39</v>
      </c>
      <c r="Y1333" s="2" t="s">
        <v>38</v>
      </c>
      <c r="Z1333" s="2" t="s">
        <v>38</v>
      </c>
      <c r="AA1333" s="2" t="s">
        <v>38</v>
      </c>
      <c r="AB1333" s="2" t="s">
        <v>39</v>
      </c>
      <c r="AC1333" s="2" t="s">
        <v>38</v>
      </c>
      <c r="AD1333" s="2" t="s">
        <v>38</v>
      </c>
      <c r="AE1333" s="2" t="s">
        <v>38</v>
      </c>
    </row>
    <row r="1334" spans="1:31" ht="409.5">
      <c r="A1334" s="2">
        <v>2589459</v>
      </c>
      <c r="B1334" s="2">
        <f>HYPERLINK("https://platform.v2.vetology.net/cases/2589459/screening-report/18?type=pdf&amp;v=v6&amp;scorecard=1&amp;secret_key=BX%25IJ%24%2F65ieZ%29f6", 2589459)</f>
        <v>2589459</v>
      </c>
      <c r="C1334" s="2">
        <f>HYPERLINK("https://platform.v2.vetology.net/report/v/final/"&amp;2589459, 2589459)</f>
        <v>2589459</v>
      </c>
      <c r="D1334" s="2" t="s">
        <v>3854</v>
      </c>
      <c r="E1334" s="2" t="s">
        <v>3855</v>
      </c>
      <c r="F1334" s="2" t="s">
        <v>81</v>
      </c>
      <c r="G1334" s="2" t="s">
        <v>82</v>
      </c>
      <c r="H1334" s="2" t="s">
        <v>539</v>
      </c>
      <c r="I1334" s="2" t="s">
        <v>207</v>
      </c>
      <c r="J1334" s="2" t="s">
        <v>208</v>
      </c>
      <c r="K1334" s="2" t="s">
        <v>38</v>
      </c>
      <c r="L1334" s="2" t="s">
        <v>39</v>
      </c>
      <c r="M1334" s="2" t="s">
        <v>39</v>
      </c>
      <c r="N1334" s="2" t="s">
        <v>38</v>
      </c>
      <c r="O1334" s="2" t="s">
        <v>38</v>
      </c>
      <c r="P1334" s="2" t="s">
        <v>38</v>
      </c>
      <c r="Q1334" s="2" t="s">
        <v>38</v>
      </c>
      <c r="R1334" s="2" t="s">
        <v>38</v>
      </c>
      <c r="S1334" s="2" t="s">
        <v>38</v>
      </c>
      <c r="T1334" s="2" t="s">
        <v>39</v>
      </c>
      <c r="U1334" s="2" t="s">
        <v>38</v>
      </c>
      <c r="V1334" s="2" t="s">
        <v>39</v>
      </c>
      <c r="W1334" s="2" t="s">
        <v>38</v>
      </c>
      <c r="X1334" s="2" t="s">
        <v>39</v>
      </c>
      <c r="Y1334" s="2" t="s">
        <v>38</v>
      </c>
      <c r="Z1334" s="2" t="s">
        <v>38</v>
      </c>
      <c r="AA1334" s="2" t="s">
        <v>38</v>
      </c>
      <c r="AB1334" s="2" t="s">
        <v>38</v>
      </c>
      <c r="AC1334" s="2" t="s">
        <v>38</v>
      </c>
      <c r="AD1334" s="2" t="s">
        <v>38</v>
      </c>
      <c r="AE1334" s="2" t="s">
        <v>38</v>
      </c>
    </row>
    <row r="1335" spans="1:31" ht="409.5">
      <c r="A1335" s="2">
        <v>2589439</v>
      </c>
      <c r="B1335" s="2">
        <f>HYPERLINK("https://platform.v2.vetology.net/cases/2589439/screening-report/18?type=pdf&amp;v=v6&amp;scorecard=1&amp;secret_key=BX%25IJ%24%2F65ieZ%29f6", 2589439)</f>
        <v>2589439</v>
      </c>
      <c r="C1335" s="2">
        <f>HYPERLINK("https://platform.v2.vetology.net/report/v/final/"&amp;2589439, 2589439)</f>
        <v>2589439</v>
      </c>
      <c r="D1335" s="2" t="s">
        <v>3856</v>
      </c>
      <c r="E1335" s="2" t="s">
        <v>3857</v>
      </c>
      <c r="F1335" s="2" t="s">
        <v>3523</v>
      </c>
      <c r="G1335" s="2" t="s">
        <v>141</v>
      </c>
      <c r="H1335" s="2" t="s">
        <v>78</v>
      </c>
      <c r="I1335" s="2" t="s">
        <v>44</v>
      </c>
      <c r="J1335" s="2" t="s">
        <v>106</v>
      </c>
      <c r="K1335" s="2" t="s">
        <v>38</v>
      </c>
      <c r="L1335" s="2" t="s">
        <v>39</v>
      </c>
      <c r="M1335" s="2" t="s">
        <v>38</v>
      </c>
      <c r="N1335" s="2" t="s">
        <v>38</v>
      </c>
      <c r="O1335" s="2" t="s">
        <v>38</v>
      </c>
      <c r="P1335" s="2" t="s">
        <v>38</v>
      </c>
      <c r="Q1335" s="2" t="s">
        <v>38</v>
      </c>
      <c r="R1335" s="2" t="s">
        <v>38</v>
      </c>
      <c r="S1335" s="2" t="s">
        <v>38</v>
      </c>
      <c r="T1335" s="2" t="s">
        <v>39</v>
      </c>
      <c r="U1335" s="2" t="s">
        <v>38</v>
      </c>
      <c r="V1335" s="2" t="s">
        <v>39</v>
      </c>
      <c r="W1335" s="2" t="s">
        <v>38</v>
      </c>
      <c r="X1335" s="2" t="s">
        <v>39</v>
      </c>
      <c r="Y1335" s="2" t="s">
        <v>38</v>
      </c>
      <c r="Z1335" s="2" t="s">
        <v>39</v>
      </c>
      <c r="AA1335" s="2" t="s">
        <v>38</v>
      </c>
      <c r="AB1335" s="2" t="s">
        <v>39</v>
      </c>
      <c r="AC1335" s="2" t="s">
        <v>38</v>
      </c>
      <c r="AD1335" s="2" t="s">
        <v>38</v>
      </c>
      <c r="AE1335" s="2" t="s">
        <v>38</v>
      </c>
    </row>
    <row r="1336" spans="1:31" ht="409.5">
      <c r="A1336" s="2">
        <v>2589320</v>
      </c>
      <c r="B1336" s="2">
        <f>HYPERLINK("https://platform.v2.vetology.net/cases/2589320/screening-report/18?type=pdf&amp;v=v6&amp;scorecard=1&amp;secret_key=BX%25IJ%24%2F65ieZ%29f6", 2589320)</f>
        <v>2589320</v>
      </c>
      <c r="C1336" s="2">
        <f>HYPERLINK("https://platform.v2.vetology.net/report/v/final/"&amp;2589320, 2589320)</f>
        <v>2589320</v>
      </c>
      <c r="D1336" s="2" t="s">
        <v>3858</v>
      </c>
      <c r="E1336" s="2" t="s">
        <v>3859</v>
      </c>
      <c r="F1336" s="2" t="s">
        <v>3860</v>
      </c>
      <c r="G1336" s="2" t="s">
        <v>58</v>
      </c>
      <c r="H1336" s="2" t="s">
        <v>78</v>
      </c>
      <c r="I1336" s="2" t="s">
        <v>44</v>
      </c>
      <c r="J1336" s="2"/>
      <c r="K1336" s="2" t="s">
        <v>38</v>
      </c>
      <c r="L1336" s="2" t="s">
        <v>39</v>
      </c>
      <c r="M1336" s="2" t="s">
        <v>38</v>
      </c>
      <c r="N1336" s="2" t="s">
        <v>38</v>
      </c>
      <c r="O1336" s="2" t="s">
        <v>38</v>
      </c>
      <c r="P1336" s="2" t="s">
        <v>38</v>
      </c>
      <c r="Q1336" s="2" t="s">
        <v>38</v>
      </c>
      <c r="R1336" s="2" t="s">
        <v>38</v>
      </c>
      <c r="S1336" s="2" t="s">
        <v>38</v>
      </c>
      <c r="T1336" s="2" t="s">
        <v>38</v>
      </c>
      <c r="U1336" s="2" t="s">
        <v>38</v>
      </c>
      <c r="V1336" s="2" t="s">
        <v>38</v>
      </c>
      <c r="W1336" s="2" t="s">
        <v>38</v>
      </c>
      <c r="X1336" s="2" t="s">
        <v>38</v>
      </c>
      <c r="Y1336" s="2" t="s">
        <v>38</v>
      </c>
      <c r="Z1336" s="2" t="s">
        <v>38</v>
      </c>
      <c r="AA1336" s="2" t="s">
        <v>38</v>
      </c>
      <c r="AB1336" s="2" t="s">
        <v>39</v>
      </c>
      <c r="AC1336" s="2" t="s">
        <v>38</v>
      </c>
      <c r="AD1336" s="2" t="s">
        <v>38</v>
      </c>
      <c r="AE1336" s="2" t="s">
        <v>38</v>
      </c>
    </row>
    <row r="1337" spans="1:31" ht="409.5">
      <c r="A1337" s="2">
        <v>2588986</v>
      </c>
      <c r="B1337" s="2">
        <f>HYPERLINK("https://platform.v2.vetology.net/cases/2588986/screening-report/18?type=pdf&amp;v=v6&amp;scorecard=1&amp;secret_key=BX%25IJ%24%2F65ieZ%29f6", 2588986)</f>
        <v>2588986</v>
      </c>
      <c r="C1337" s="2">
        <f>HYPERLINK("https://platform.v2.vetology.net/report/v/final/"&amp;2588986, 2588986)</f>
        <v>2588986</v>
      </c>
      <c r="D1337" s="2" t="s">
        <v>3861</v>
      </c>
      <c r="E1337" s="2" t="s">
        <v>148</v>
      </c>
      <c r="F1337" s="2" t="s">
        <v>149</v>
      </c>
      <c r="G1337" s="2" t="s">
        <v>150</v>
      </c>
      <c r="H1337" s="2" t="s">
        <v>646</v>
      </c>
      <c r="I1337" s="2" t="s">
        <v>167</v>
      </c>
      <c r="J1337" s="2" t="s">
        <v>168</v>
      </c>
      <c r="K1337" s="2" t="s">
        <v>38</v>
      </c>
      <c r="L1337" s="2" t="s">
        <v>39</v>
      </c>
      <c r="M1337" s="2" t="s">
        <v>39</v>
      </c>
      <c r="N1337" s="2" t="s">
        <v>38</v>
      </c>
      <c r="O1337" s="2" t="s">
        <v>38</v>
      </c>
      <c r="P1337" s="2" t="s">
        <v>39</v>
      </c>
      <c r="Q1337" s="2" t="s">
        <v>38</v>
      </c>
      <c r="R1337" s="2" t="s">
        <v>38</v>
      </c>
      <c r="S1337" s="2" t="s">
        <v>39</v>
      </c>
      <c r="T1337" s="2" t="s">
        <v>39</v>
      </c>
      <c r="U1337" s="2" t="s">
        <v>38</v>
      </c>
      <c r="V1337" s="2" t="s">
        <v>39</v>
      </c>
      <c r="W1337" s="2" t="s">
        <v>38</v>
      </c>
      <c r="X1337" s="2" t="s">
        <v>39</v>
      </c>
      <c r="Y1337" s="2" t="s">
        <v>38</v>
      </c>
      <c r="Z1337" s="2" t="s">
        <v>39</v>
      </c>
      <c r="AA1337" s="2" t="s">
        <v>38</v>
      </c>
      <c r="AB1337" s="2" t="s">
        <v>38</v>
      </c>
      <c r="AC1337" s="2" t="s">
        <v>38</v>
      </c>
      <c r="AD1337" s="2" t="s">
        <v>38</v>
      </c>
      <c r="AE1337" s="2" t="s">
        <v>38</v>
      </c>
    </row>
    <row r="1338" spans="1:31" ht="409.5">
      <c r="A1338" s="2">
        <v>2588497</v>
      </c>
      <c r="B1338" s="2">
        <f>HYPERLINK("https://platform.v2.vetology.net/cases/2588497/screening-report/18?type=pdf&amp;v=v6&amp;scorecard=1&amp;secret_key=BX%25IJ%24%2F65ieZ%29f6", 2588497)</f>
        <v>2588497</v>
      </c>
      <c r="C1338" s="2">
        <f>HYPERLINK("https://platform.v2.vetology.net/report/v/final/"&amp;2588497, 2588497)</f>
        <v>2588497</v>
      </c>
      <c r="D1338" s="2" t="s">
        <v>3862</v>
      </c>
      <c r="E1338" s="2" t="s">
        <v>3863</v>
      </c>
      <c r="F1338" s="2" t="s">
        <v>3864</v>
      </c>
      <c r="G1338" s="2" t="s">
        <v>93</v>
      </c>
      <c r="H1338" s="2" t="s">
        <v>136</v>
      </c>
      <c r="I1338" s="2" t="s">
        <v>137</v>
      </c>
      <c r="J1338" s="2" t="s">
        <v>66</v>
      </c>
      <c r="K1338" s="2" t="s">
        <v>38</v>
      </c>
      <c r="L1338" s="2" t="s">
        <v>38</v>
      </c>
      <c r="M1338" s="2" t="s">
        <v>38</v>
      </c>
      <c r="N1338" s="2" t="s">
        <v>38</v>
      </c>
      <c r="O1338" s="2" t="s">
        <v>38</v>
      </c>
      <c r="P1338" s="2" t="s">
        <v>38</v>
      </c>
      <c r="Q1338" s="2" t="s">
        <v>38</v>
      </c>
      <c r="R1338" s="2" t="s">
        <v>38</v>
      </c>
      <c r="S1338" s="2" t="s">
        <v>38</v>
      </c>
      <c r="T1338" s="2" t="s">
        <v>38</v>
      </c>
      <c r="U1338" s="2" t="s">
        <v>38</v>
      </c>
      <c r="V1338" s="2" t="s">
        <v>38</v>
      </c>
      <c r="W1338" s="2" t="s">
        <v>38</v>
      </c>
      <c r="X1338" s="2" t="s">
        <v>38</v>
      </c>
      <c r="Y1338" s="2" t="s">
        <v>38</v>
      </c>
      <c r="Z1338" s="2" t="s">
        <v>38</v>
      </c>
      <c r="AA1338" s="2" t="s">
        <v>38</v>
      </c>
      <c r="AB1338" s="2" t="s">
        <v>38</v>
      </c>
      <c r="AC1338" s="2" t="s">
        <v>38</v>
      </c>
      <c r="AD1338" s="2" t="s">
        <v>38</v>
      </c>
      <c r="AE1338" s="2" t="s">
        <v>38</v>
      </c>
    </row>
    <row r="1339" spans="1:31" ht="409.5">
      <c r="A1339" s="2">
        <v>2588484</v>
      </c>
      <c r="B1339" s="2">
        <f>HYPERLINK("https://platform.v2.vetology.net/cases/2588484/screening-report/18?type=pdf&amp;v=v6&amp;scorecard=1&amp;secret_key=BX%25IJ%24%2F65ieZ%29f6", 2588484)</f>
        <v>2588484</v>
      </c>
      <c r="C1339" s="2">
        <f>HYPERLINK("https://platform.v2.vetology.net/report/v/final/"&amp;2588484, 2588484)</f>
        <v>2588484</v>
      </c>
      <c r="D1339" s="2" t="s">
        <v>3865</v>
      </c>
      <c r="E1339" s="2" t="s">
        <v>3866</v>
      </c>
      <c r="F1339" s="2" t="s">
        <v>455</v>
      </c>
      <c r="G1339" s="2" t="s">
        <v>58</v>
      </c>
      <c r="H1339" s="2" t="s">
        <v>2555</v>
      </c>
      <c r="I1339" s="2" t="s">
        <v>36</v>
      </c>
      <c r="J1339" s="2" t="s">
        <v>37</v>
      </c>
      <c r="K1339" s="2" t="s">
        <v>38</v>
      </c>
      <c r="L1339" s="2" t="s">
        <v>39</v>
      </c>
      <c r="M1339" s="2" t="s">
        <v>38</v>
      </c>
      <c r="N1339" s="2" t="s">
        <v>38</v>
      </c>
      <c r="O1339" s="2" t="s">
        <v>38</v>
      </c>
      <c r="P1339" s="2" t="s">
        <v>38</v>
      </c>
      <c r="Q1339" s="2" t="s">
        <v>38</v>
      </c>
      <c r="R1339" s="2" t="s">
        <v>38</v>
      </c>
      <c r="S1339" s="2" t="s">
        <v>38</v>
      </c>
      <c r="T1339" s="2" t="s">
        <v>39</v>
      </c>
      <c r="U1339" s="2" t="s">
        <v>38</v>
      </c>
      <c r="V1339" s="2" t="s">
        <v>39</v>
      </c>
      <c r="W1339" s="2" t="s">
        <v>38</v>
      </c>
      <c r="X1339" s="2" t="s">
        <v>39</v>
      </c>
      <c r="Y1339" s="2" t="s">
        <v>38</v>
      </c>
      <c r="Z1339" s="2" t="s">
        <v>39</v>
      </c>
      <c r="AA1339" s="2" t="s">
        <v>38</v>
      </c>
      <c r="AB1339" s="2" t="s">
        <v>38</v>
      </c>
      <c r="AC1339" s="2" t="s">
        <v>38</v>
      </c>
      <c r="AD1339" s="2" t="s">
        <v>38</v>
      </c>
      <c r="AE1339" s="2" t="s">
        <v>39</v>
      </c>
    </row>
    <row r="1340" spans="1:31" ht="409.5">
      <c r="A1340" s="2">
        <v>2588423</v>
      </c>
      <c r="B1340" s="2">
        <f>HYPERLINK("https://platform.v2.vetology.net/cases/2588423/screening-report/18?type=pdf&amp;v=v6&amp;scorecard=1&amp;secret_key=BX%25IJ%24%2F65ieZ%29f6", 2588423)</f>
        <v>2588423</v>
      </c>
      <c r="C1340" s="2">
        <f>HYPERLINK("https://platform.v2.vetology.net/report/v/final/"&amp;2588423, 2588423)</f>
        <v>2588423</v>
      </c>
      <c r="D1340" s="2" t="s">
        <v>3867</v>
      </c>
      <c r="E1340" s="2" t="s">
        <v>3868</v>
      </c>
      <c r="F1340" s="2"/>
      <c r="G1340" s="2" t="s">
        <v>150</v>
      </c>
      <c r="H1340" s="2" t="s">
        <v>3869</v>
      </c>
      <c r="I1340" s="2" t="s">
        <v>214</v>
      </c>
      <c r="J1340" s="2" t="s">
        <v>50</v>
      </c>
      <c r="K1340" s="2" t="s">
        <v>38</v>
      </c>
      <c r="L1340" s="2" t="s">
        <v>39</v>
      </c>
      <c r="M1340" s="2" t="s">
        <v>39</v>
      </c>
      <c r="N1340" s="2" t="s">
        <v>38</v>
      </c>
      <c r="O1340" s="2" t="s">
        <v>38</v>
      </c>
      <c r="P1340" s="2" t="s">
        <v>38</v>
      </c>
      <c r="Q1340" s="2" t="s">
        <v>38</v>
      </c>
      <c r="R1340" s="2" t="s">
        <v>38</v>
      </c>
      <c r="S1340" s="2" t="s">
        <v>38</v>
      </c>
      <c r="T1340" s="2" t="s">
        <v>38</v>
      </c>
      <c r="U1340" s="2" t="s">
        <v>38</v>
      </c>
      <c r="V1340" s="2" t="s">
        <v>38</v>
      </c>
      <c r="W1340" s="2" t="s">
        <v>38</v>
      </c>
      <c r="X1340" s="2" t="s">
        <v>38</v>
      </c>
      <c r="Y1340" s="2" t="s">
        <v>38</v>
      </c>
      <c r="Z1340" s="2" t="s">
        <v>38</v>
      </c>
      <c r="AA1340" s="2" t="s">
        <v>38</v>
      </c>
      <c r="AB1340" s="2" t="s">
        <v>38</v>
      </c>
      <c r="AC1340" s="2" t="s">
        <v>38</v>
      </c>
      <c r="AD1340" s="2" t="s">
        <v>38</v>
      </c>
      <c r="AE1340" s="2" t="s">
        <v>38</v>
      </c>
    </row>
    <row r="1341" spans="1:31" ht="409.5">
      <c r="A1341" s="2">
        <v>2588324</v>
      </c>
      <c r="B1341" s="2">
        <f>HYPERLINK("https://platform.v2.vetology.net/cases/2588324/screening-report/18?type=pdf&amp;v=v6&amp;scorecard=1&amp;secret_key=BX%25IJ%24%2F65ieZ%29f6", 2588324)</f>
        <v>2588324</v>
      </c>
      <c r="C1341" s="2">
        <f>HYPERLINK("https://platform.v2.vetology.net/report/v/final/"&amp;2588324, 2588324)</f>
        <v>2588324</v>
      </c>
      <c r="D1341" s="2" t="s">
        <v>2088</v>
      </c>
      <c r="E1341" s="2" t="s">
        <v>387</v>
      </c>
      <c r="F1341" s="2" t="s">
        <v>149</v>
      </c>
      <c r="G1341" s="2" t="s">
        <v>150</v>
      </c>
      <c r="H1341" s="2" t="s">
        <v>105</v>
      </c>
      <c r="I1341" s="2" t="s">
        <v>44</v>
      </c>
      <c r="J1341" s="2" t="s">
        <v>106</v>
      </c>
      <c r="K1341" s="2" t="s">
        <v>38</v>
      </c>
      <c r="L1341" s="2" t="s">
        <v>39</v>
      </c>
      <c r="M1341" s="2" t="s">
        <v>38</v>
      </c>
      <c r="N1341" s="2" t="s">
        <v>38</v>
      </c>
      <c r="O1341" s="2" t="s">
        <v>38</v>
      </c>
      <c r="P1341" s="2" t="s">
        <v>39</v>
      </c>
      <c r="Q1341" s="2" t="s">
        <v>38</v>
      </c>
      <c r="R1341" s="2" t="s">
        <v>38</v>
      </c>
      <c r="S1341" s="2" t="s">
        <v>38</v>
      </c>
      <c r="T1341" s="2" t="s">
        <v>38</v>
      </c>
      <c r="U1341" s="2" t="s">
        <v>38</v>
      </c>
      <c r="V1341" s="2" t="s">
        <v>38</v>
      </c>
      <c r="W1341" s="2" t="s">
        <v>38</v>
      </c>
      <c r="X1341" s="2" t="s">
        <v>38</v>
      </c>
      <c r="Y1341" s="2" t="s">
        <v>38</v>
      </c>
      <c r="Z1341" s="2" t="s">
        <v>38</v>
      </c>
      <c r="AA1341" s="2" t="s">
        <v>38</v>
      </c>
      <c r="AB1341" s="2" t="s">
        <v>38</v>
      </c>
      <c r="AC1341" s="2" t="s">
        <v>38</v>
      </c>
      <c r="AD1341" s="2" t="s">
        <v>38</v>
      </c>
      <c r="AE1341" s="2" t="s">
        <v>38</v>
      </c>
    </row>
    <row r="1342" spans="1:31" ht="409.5">
      <c r="A1342" s="2">
        <v>2588192</v>
      </c>
      <c r="B1342" s="2">
        <f>HYPERLINK("https://platform.v2.vetology.net/cases/2588192/screening-report/18?type=pdf&amp;v=v6&amp;scorecard=1&amp;secret_key=BX%25IJ%24%2F65ieZ%29f6", 2588192)</f>
        <v>2588192</v>
      </c>
      <c r="C1342" s="2">
        <f>HYPERLINK("https://platform.v2.vetology.net/report/v/final/"&amp;2588192, 2588192)</f>
        <v>2588192</v>
      </c>
      <c r="D1342" s="2" t="s">
        <v>3870</v>
      </c>
      <c r="E1342" s="2" t="s">
        <v>1363</v>
      </c>
      <c r="F1342" s="2" t="s">
        <v>149</v>
      </c>
      <c r="G1342" s="2" t="s">
        <v>150</v>
      </c>
      <c r="H1342" s="2" t="s">
        <v>1255</v>
      </c>
      <c r="I1342" s="2" t="s">
        <v>214</v>
      </c>
      <c r="J1342" s="2" t="s">
        <v>50</v>
      </c>
      <c r="K1342" s="2" t="s">
        <v>38</v>
      </c>
      <c r="L1342" s="2" t="s">
        <v>39</v>
      </c>
      <c r="M1342" s="2" t="s">
        <v>39</v>
      </c>
      <c r="N1342" s="2" t="s">
        <v>38</v>
      </c>
      <c r="O1342" s="2" t="s">
        <v>38</v>
      </c>
      <c r="P1342" s="2" t="s">
        <v>39</v>
      </c>
      <c r="Q1342" s="2" t="s">
        <v>38</v>
      </c>
      <c r="R1342" s="2" t="s">
        <v>38</v>
      </c>
      <c r="S1342" s="2" t="s">
        <v>38</v>
      </c>
      <c r="T1342" s="2" t="s">
        <v>38</v>
      </c>
      <c r="U1342" s="2" t="s">
        <v>38</v>
      </c>
      <c r="V1342" s="2" t="s">
        <v>38</v>
      </c>
      <c r="W1342" s="2" t="s">
        <v>38</v>
      </c>
      <c r="X1342" s="2" t="s">
        <v>38</v>
      </c>
      <c r="Y1342" s="2" t="s">
        <v>38</v>
      </c>
      <c r="Z1342" s="2" t="s">
        <v>38</v>
      </c>
      <c r="AA1342" s="2" t="s">
        <v>38</v>
      </c>
      <c r="AB1342" s="2" t="s">
        <v>39</v>
      </c>
      <c r="AC1342" s="2" t="s">
        <v>39</v>
      </c>
      <c r="AD1342" s="2" t="s">
        <v>38</v>
      </c>
      <c r="AE1342" s="2" t="s">
        <v>38</v>
      </c>
    </row>
    <row r="1343" spans="1:31" ht="409.5">
      <c r="A1343" s="2">
        <v>2587910</v>
      </c>
      <c r="B1343" s="2">
        <f>HYPERLINK("https://platform.v2.vetology.net/cases/2587910/screening-report/18?type=pdf&amp;v=v6&amp;scorecard=1&amp;secret_key=BX%25IJ%24%2F65ieZ%29f6", 2587910)</f>
        <v>2587910</v>
      </c>
      <c r="C1343" s="2">
        <f>HYPERLINK("https://platform.v2.vetology.net/report/v/final/"&amp;2587910, 2587910)</f>
        <v>2587910</v>
      </c>
      <c r="D1343" s="2" t="s">
        <v>3871</v>
      </c>
      <c r="E1343" s="2" t="s">
        <v>3872</v>
      </c>
      <c r="F1343" s="2" t="s">
        <v>3873</v>
      </c>
      <c r="G1343" s="2" t="s">
        <v>34</v>
      </c>
      <c r="H1343" s="2" t="s">
        <v>771</v>
      </c>
      <c r="I1343" s="2" t="s">
        <v>44</v>
      </c>
      <c r="J1343" s="2"/>
      <c r="K1343" s="2" t="s">
        <v>38</v>
      </c>
      <c r="L1343" s="2" t="s">
        <v>38</v>
      </c>
      <c r="M1343" s="2" t="s">
        <v>39</v>
      </c>
      <c r="N1343" s="2" t="s">
        <v>38</v>
      </c>
      <c r="O1343" s="2" t="s">
        <v>38</v>
      </c>
      <c r="P1343" s="2" t="s">
        <v>38</v>
      </c>
      <c r="Q1343" s="2" t="s">
        <v>38</v>
      </c>
      <c r="R1343" s="2" t="s">
        <v>38</v>
      </c>
      <c r="S1343" s="2" t="s">
        <v>38</v>
      </c>
      <c r="T1343" s="2" t="s">
        <v>39</v>
      </c>
      <c r="U1343" s="2" t="s">
        <v>38</v>
      </c>
      <c r="V1343" s="2" t="s">
        <v>38</v>
      </c>
      <c r="W1343" s="2" t="s">
        <v>38</v>
      </c>
      <c r="X1343" s="2" t="s">
        <v>38</v>
      </c>
      <c r="Y1343" s="2" t="s">
        <v>38</v>
      </c>
      <c r="Z1343" s="2" t="s">
        <v>38</v>
      </c>
      <c r="AA1343" s="2" t="s">
        <v>38</v>
      </c>
      <c r="AB1343" s="2" t="s">
        <v>38</v>
      </c>
      <c r="AC1343" s="2" t="s">
        <v>38</v>
      </c>
      <c r="AD1343" s="2" t="s">
        <v>38</v>
      </c>
      <c r="AE1343" s="2" t="s">
        <v>38</v>
      </c>
    </row>
    <row r="1344" spans="1:31" ht="409.5">
      <c r="A1344" s="2">
        <v>2587613</v>
      </c>
      <c r="B1344" s="2">
        <f>HYPERLINK("https://platform.v2.vetology.net/cases/2587613/screening-report/18?type=pdf&amp;v=v6&amp;scorecard=1&amp;secret_key=BX%25IJ%24%2F65ieZ%29f6", 2587613)</f>
        <v>2587613</v>
      </c>
      <c r="C1344" s="2">
        <f>HYPERLINK("https://platform.v2.vetology.net/report/v/final/"&amp;2587613, 2587613)</f>
        <v>2587613</v>
      </c>
      <c r="D1344" s="2" t="s">
        <v>3874</v>
      </c>
      <c r="E1344" s="2" t="s">
        <v>3875</v>
      </c>
      <c r="F1344" s="2" t="s">
        <v>3876</v>
      </c>
      <c r="G1344" s="2" t="s">
        <v>63</v>
      </c>
      <c r="H1344" s="2" t="s">
        <v>1079</v>
      </c>
      <c r="I1344" s="2" t="s">
        <v>190</v>
      </c>
      <c r="J1344" s="2" t="s">
        <v>112</v>
      </c>
      <c r="K1344" s="2" t="s">
        <v>39</v>
      </c>
      <c r="L1344" s="2" t="s">
        <v>39</v>
      </c>
      <c r="M1344" s="2" t="s">
        <v>39</v>
      </c>
      <c r="N1344" s="2" t="s">
        <v>39</v>
      </c>
      <c r="O1344" s="2" t="s">
        <v>39</v>
      </c>
      <c r="P1344" s="2" t="s">
        <v>39</v>
      </c>
      <c r="Q1344" s="2" t="s">
        <v>39</v>
      </c>
      <c r="R1344" s="2" t="s">
        <v>39</v>
      </c>
      <c r="S1344" s="2" t="s">
        <v>39</v>
      </c>
      <c r="T1344" s="2" t="s">
        <v>39</v>
      </c>
      <c r="U1344" s="2" t="s">
        <v>39</v>
      </c>
      <c r="V1344" s="2" t="s">
        <v>39</v>
      </c>
      <c r="W1344" s="2" t="s">
        <v>39</v>
      </c>
      <c r="X1344" s="2" t="s">
        <v>39</v>
      </c>
      <c r="Y1344" s="2" t="s">
        <v>39</v>
      </c>
      <c r="Z1344" s="2" t="s">
        <v>39</v>
      </c>
      <c r="AA1344" s="2" t="s">
        <v>39</v>
      </c>
      <c r="AB1344" s="2" t="s">
        <v>39</v>
      </c>
      <c r="AC1344" s="2" t="s">
        <v>39</v>
      </c>
      <c r="AD1344" s="2" t="s">
        <v>38</v>
      </c>
      <c r="AE1344" s="2" t="s">
        <v>39</v>
      </c>
    </row>
    <row r="1345" spans="1:31" ht="409.5">
      <c r="A1345" s="2">
        <v>2587509</v>
      </c>
      <c r="B1345" s="2">
        <f>HYPERLINK("https://platform.v2.vetology.net/cases/2587509/screening-report/18?type=pdf&amp;v=v6&amp;scorecard=1&amp;secret_key=BX%25IJ%24%2F65ieZ%29f6", 2587509)</f>
        <v>2587509</v>
      </c>
      <c r="C1345" s="2">
        <f>HYPERLINK("https://platform.v2.vetology.net/report/v/final/"&amp;2587509, 2587509)</f>
        <v>2587509</v>
      </c>
      <c r="D1345" s="2" t="s">
        <v>3877</v>
      </c>
      <c r="E1345" s="2" t="s">
        <v>3878</v>
      </c>
      <c r="F1345" s="2" t="s">
        <v>3879</v>
      </c>
      <c r="G1345" s="2" t="s">
        <v>34</v>
      </c>
      <c r="H1345" s="2" t="s">
        <v>43</v>
      </c>
      <c r="I1345" s="2" t="s">
        <v>44</v>
      </c>
      <c r="J1345" s="2" t="s">
        <v>106</v>
      </c>
      <c r="K1345" s="2" t="s">
        <v>38</v>
      </c>
      <c r="L1345" s="2" t="s">
        <v>38</v>
      </c>
      <c r="M1345" s="2" t="s">
        <v>38</v>
      </c>
      <c r="N1345" s="2" t="s">
        <v>38</v>
      </c>
      <c r="O1345" s="2" t="s">
        <v>38</v>
      </c>
      <c r="P1345" s="2" t="s">
        <v>38</v>
      </c>
      <c r="Q1345" s="2" t="s">
        <v>38</v>
      </c>
      <c r="R1345" s="2" t="s">
        <v>38</v>
      </c>
      <c r="S1345" s="2" t="s">
        <v>38</v>
      </c>
      <c r="T1345" s="2" t="s">
        <v>39</v>
      </c>
      <c r="U1345" s="2" t="s">
        <v>38</v>
      </c>
      <c r="V1345" s="2" t="s">
        <v>39</v>
      </c>
      <c r="W1345" s="2" t="s">
        <v>38</v>
      </c>
      <c r="X1345" s="2" t="s">
        <v>39</v>
      </c>
      <c r="Y1345" s="2" t="s">
        <v>38</v>
      </c>
      <c r="Z1345" s="2" t="s">
        <v>38</v>
      </c>
      <c r="AA1345" s="2" t="s">
        <v>38</v>
      </c>
      <c r="AB1345" s="2" t="s">
        <v>38</v>
      </c>
      <c r="AC1345" s="2" t="s">
        <v>38</v>
      </c>
      <c r="AD1345" s="2" t="s">
        <v>38</v>
      </c>
      <c r="AE1345" s="2" t="s">
        <v>38</v>
      </c>
    </row>
    <row r="1346" spans="1:31" ht="409.5">
      <c r="A1346" s="2">
        <v>2587380</v>
      </c>
      <c r="B1346" s="2">
        <f>HYPERLINK("https://platform.v2.vetology.net/cases/2587380/screening-report/18?type=pdf&amp;v=v6&amp;scorecard=1&amp;secret_key=BX%25IJ%24%2F65ieZ%29f6", 2587380)</f>
        <v>2587380</v>
      </c>
      <c r="C1346" s="2">
        <f>HYPERLINK("https://platform.v2.vetology.net/report/v/final/"&amp;2587380, 2587380)</f>
        <v>2587380</v>
      </c>
      <c r="D1346" s="2" t="s">
        <v>3880</v>
      </c>
      <c r="E1346" s="2" t="s">
        <v>3881</v>
      </c>
      <c r="F1346" s="2" t="s">
        <v>455</v>
      </c>
      <c r="G1346" s="2" t="s">
        <v>58</v>
      </c>
      <c r="H1346" s="2" t="s">
        <v>94</v>
      </c>
      <c r="I1346" s="2" t="s">
        <v>89</v>
      </c>
      <c r="J1346" s="2" t="s">
        <v>66</v>
      </c>
      <c r="K1346" s="2" t="s">
        <v>38</v>
      </c>
      <c r="L1346" s="2" t="s">
        <v>38</v>
      </c>
      <c r="M1346" s="2" t="s">
        <v>38</v>
      </c>
      <c r="N1346" s="2" t="s">
        <v>38</v>
      </c>
      <c r="O1346" s="2" t="s">
        <v>38</v>
      </c>
      <c r="P1346" s="2" t="s">
        <v>38</v>
      </c>
      <c r="Q1346" s="2" t="s">
        <v>38</v>
      </c>
      <c r="R1346" s="2" t="s">
        <v>38</v>
      </c>
      <c r="S1346" s="2" t="s">
        <v>38</v>
      </c>
      <c r="T1346" s="2" t="s">
        <v>38</v>
      </c>
      <c r="U1346" s="2" t="s">
        <v>38</v>
      </c>
      <c r="V1346" s="2" t="s">
        <v>38</v>
      </c>
      <c r="W1346" s="2" t="s">
        <v>38</v>
      </c>
      <c r="X1346" s="2" t="s">
        <v>38</v>
      </c>
      <c r="Y1346" s="2" t="s">
        <v>38</v>
      </c>
      <c r="Z1346" s="2" t="s">
        <v>38</v>
      </c>
      <c r="AA1346" s="2" t="s">
        <v>38</v>
      </c>
      <c r="AB1346" s="2" t="s">
        <v>38</v>
      </c>
      <c r="AC1346" s="2" t="s">
        <v>38</v>
      </c>
      <c r="AD1346" s="2" t="s">
        <v>38</v>
      </c>
      <c r="AE1346" s="2" t="s">
        <v>38</v>
      </c>
    </row>
    <row r="1347" spans="1:31" ht="409.5">
      <c r="A1347" s="2">
        <v>2586852</v>
      </c>
      <c r="B1347" s="2">
        <f>HYPERLINK("https://platform.v2.vetology.net/cases/2586852/screening-report/18?type=pdf&amp;v=v6&amp;scorecard=1&amp;secret_key=BX%25IJ%24%2F65ieZ%29f6", 2586852)</f>
        <v>2586852</v>
      </c>
      <c r="C1347" s="2">
        <f>HYPERLINK("https://platform.v2.vetology.net/report/v/final/"&amp;2586852, 2586852)</f>
        <v>2586852</v>
      </c>
      <c r="D1347" s="2" t="s">
        <v>3882</v>
      </c>
      <c r="E1347" s="2" t="s">
        <v>3883</v>
      </c>
      <c r="F1347" s="2" t="s">
        <v>149</v>
      </c>
      <c r="G1347" s="2" t="s">
        <v>150</v>
      </c>
      <c r="H1347" s="2" t="s">
        <v>3884</v>
      </c>
      <c r="I1347" s="2" t="s">
        <v>988</v>
      </c>
      <c r="J1347" s="2" t="s">
        <v>989</v>
      </c>
      <c r="K1347" s="2" t="s">
        <v>39</v>
      </c>
      <c r="L1347" s="2" t="s">
        <v>39</v>
      </c>
      <c r="M1347" s="2" t="s">
        <v>39</v>
      </c>
      <c r="N1347" s="2" t="s">
        <v>39</v>
      </c>
      <c r="O1347" s="2" t="s">
        <v>39</v>
      </c>
      <c r="P1347" s="2" t="s">
        <v>39</v>
      </c>
      <c r="Q1347" s="2" t="s">
        <v>39</v>
      </c>
      <c r="R1347" s="2" t="s">
        <v>39</v>
      </c>
      <c r="S1347" s="2" t="s">
        <v>39</v>
      </c>
      <c r="T1347" s="2" t="s">
        <v>39</v>
      </c>
      <c r="U1347" s="2" t="s">
        <v>39</v>
      </c>
      <c r="V1347" s="2" t="s">
        <v>39</v>
      </c>
      <c r="W1347" s="2" t="s">
        <v>39</v>
      </c>
      <c r="X1347" s="2" t="s">
        <v>39</v>
      </c>
      <c r="Y1347" s="2" t="s">
        <v>39</v>
      </c>
      <c r="Z1347" s="2" t="s">
        <v>39</v>
      </c>
      <c r="AA1347" s="2" t="s">
        <v>39</v>
      </c>
      <c r="AB1347" s="2" t="s">
        <v>39</v>
      </c>
      <c r="AC1347" s="2" t="s">
        <v>39</v>
      </c>
      <c r="AD1347" s="2" t="s">
        <v>39</v>
      </c>
      <c r="AE1347" s="2" t="s">
        <v>39</v>
      </c>
    </row>
    <row r="1348" spans="1:31" ht="409.5">
      <c r="A1348" s="2">
        <v>2586813</v>
      </c>
      <c r="B1348" s="2">
        <f>HYPERLINK("https://platform.v2.vetology.net/cases/2586813/screening-report/18?type=pdf&amp;v=v6&amp;scorecard=1&amp;secret_key=BX%25IJ%24%2F65ieZ%29f6", 2586813)</f>
        <v>2586813</v>
      </c>
      <c r="C1348" s="2">
        <f>HYPERLINK("https://platform.v2.vetology.net/report/v/final/"&amp;2586813, 2586813)</f>
        <v>2586813</v>
      </c>
      <c r="D1348" s="2" t="s">
        <v>3885</v>
      </c>
      <c r="E1348" s="2" t="s">
        <v>3886</v>
      </c>
      <c r="F1348" s="2" t="s">
        <v>81</v>
      </c>
      <c r="G1348" s="2" t="s">
        <v>82</v>
      </c>
      <c r="H1348" s="2" t="s">
        <v>54</v>
      </c>
      <c r="I1348" s="2" t="s">
        <v>44</v>
      </c>
      <c r="J1348" s="2"/>
      <c r="K1348" s="2" t="s">
        <v>38</v>
      </c>
      <c r="L1348" s="2" t="s">
        <v>39</v>
      </c>
      <c r="M1348" s="2" t="s">
        <v>38</v>
      </c>
      <c r="N1348" s="2" t="s">
        <v>38</v>
      </c>
      <c r="O1348" s="2" t="s">
        <v>38</v>
      </c>
      <c r="P1348" s="2" t="s">
        <v>39</v>
      </c>
      <c r="Q1348" s="2" t="s">
        <v>38</v>
      </c>
      <c r="R1348" s="2" t="s">
        <v>38</v>
      </c>
      <c r="S1348" s="2" t="s">
        <v>38</v>
      </c>
      <c r="T1348" s="2" t="s">
        <v>38</v>
      </c>
      <c r="U1348" s="2" t="s">
        <v>38</v>
      </c>
      <c r="V1348" s="2" t="s">
        <v>38</v>
      </c>
      <c r="W1348" s="2" t="s">
        <v>38</v>
      </c>
      <c r="X1348" s="2" t="s">
        <v>38</v>
      </c>
      <c r="Y1348" s="2" t="s">
        <v>38</v>
      </c>
      <c r="Z1348" s="2" t="s">
        <v>38</v>
      </c>
      <c r="AA1348" s="2" t="s">
        <v>38</v>
      </c>
      <c r="AB1348" s="2" t="s">
        <v>38</v>
      </c>
      <c r="AC1348" s="2" t="s">
        <v>38</v>
      </c>
      <c r="AD1348" s="2" t="s">
        <v>38</v>
      </c>
      <c r="AE1348" s="2" t="s">
        <v>38</v>
      </c>
    </row>
    <row r="1349" spans="1:31" ht="409.5">
      <c r="A1349" s="2">
        <v>2586803</v>
      </c>
      <c r="B1349" s="2">
        <f>HYPERLINK("https://platform.v2.vetology.net/cases/2586803/screening-report/18?type=pdf&amp;v=v6&amp;scorecard=1&amp;secret_key=BX%25IJ%24%2F65ieZ%29f6", 2586803)</f>
        <v>2586803</v>
      </c>
      <c r="C1349" s="2">
        <f>HYPERLINK("https://platform.v2.vetology.net/report/v/final/"&amp;2586803, 2586803)</f>
        <v>2586803</v>
      </c>
      <c r="D1349" s="2" t="s">
        <v>3887</v>
      </c>
      <c r="E1349" s="2" t="s">
        <v>3888</v>
      </c>
      <c r="F1349" s="2" t="s">
        <v>3889</v>
      </c>
      <c r="G1349" s="2" t="s">
        <v>34</v>
      </c>
      <c r="H1349" s="2" t="s">
        <v>3890</v>
      </c>
      <c r="I1349" s="2" t="s">
        <v>270</v>
      </c>
      <c r="J1349" s="2" t="s">
        <v>66</v>
      </c>
      <c r="K1349" s="2" t="s">
        <v>38</v>
      </c>
      <c r="L1349" s="2" t="s">
        <v>39</v>
      </c>
      <c r="M1349" s="2" t="s">
        <v>39</v>
      </c>
      <c r="N1349" s="2" t="s">
        <v>39</v>
      </c>
      <c r="O1349" s="2" t="s">
        <v>39</v>
      </c>
      <c r="P1349" s="2" t="s">
        <v>39</v>
      </c>
      <c r="Q1349" s="2" t="s">
        <v>38</v>
      </c>
      <c r="R1349" s="2" t="s">
        <v>38</v>
      </c>
      <c r="S1349" s="2" t="s">
        <v>38</v>
      </c>
      <c r="T1349" s="2" t="s">
        <v>39</v>
      </c>
      <c r="U1349" s="2" t="s">
        <v>38</v>
      </c>
      <c r="V1349" s="2" t="s">
        <v>39</v>
      </c>
      <c r="W1349" s="2" t="s">
        <v>38</v>
      </c>
      <c r="X1349" s="2" t="s">
        <v>39</v>
      </c>
      <c r="Y1349" s="2" t="s">
        <v>38</v>
      </c>
      <c r="Z1349" s="2" t="s">
        <v>38</v>
      </c>
      <c r="AA1349" s="2" t="s">
        <v>38</v>
      </c>
      <c r="AB1349" s="2" t="s">
        <v>39</v>
      </c>
      <c r="AC1349" s="2" t="s">
        <v>38</v>
      </c>
      <c r="AD1349" s="2" t="s">
        <v>38</v>
      </c>
      <c r="AE1349" s="2" t="s">
        <v>38</v>
      </c>
    </row>
    <row r="1350" spans="1:31" ht="409.5">
      <c r="A1350" s="2">
        <v>2586073</v>
      </c>
      <c r="B1350" s="2">
        <f>HYPERLINK("https://platform.v2.vetology.net/cases/2586073/screening-report/18?type=pdf&amp;v=v6&amp;scorecard=1&amp;secret_key=BX%25IJ%24%2F65ieZ%29f6", 2586073)</f>
        <v>2586073</v>
      </c>
      <c r="C1350" s="2">
        <f>HYPERLINK("https://platform.v2.vetology.net/report/v/final/"&amp;2586073, 2586073)</f>
        <v>2586073</v>
      </c>
      <c r="D1350" s="2" t="s">
        <v>3891</v>
      </c>
      <c r="E1350" s="2" t="s">
        <v>3892</v>
      </c>
      <c r="F1350" s="2" t="s">
        <v>3893</v>
      </c>
      <c r="G1350" s="2" t="s">
        <v>58</v>
      </c>
      <c r="H1350" s="2" t="s">
        <v>733</v>
      </c>
      <c r="I1350" s="2" t="s">
        <v>158</v>
      </c>
      <c r="J1350" s="2" t="s">
        <v>50</v>
      </c>
      <c r="K1350" s="2" t="s">
        <v>38</v>
      </c>
      <c r="L1350" s="2" t="s">
        <v>39</v>
      </c>
      <c r="M1350" s="2" t="s">
        <v>39</v>
      </c>
      <c r="N1350" s="2" t="s">
        <v>38</v>
      </c>
      <c r="O1350" s="2" t="s">
        <v>39</v>
      </c>
      <c r="P1350" s="2" t="s">
        <v>38</v>
      </c>
      <c r="Q1350" s="2" t="s">
        <v>38</v>
      </c>
      <c r="R1350" s="2" t="s">
        <v>38</v>
      </c>
      <c r="S1350" s="2" t="s">
        <v>38</v>
      </c>
      <c r="T1350" s="2" t="s">
        <v>39</v>
      </c>
      <c r="U1350" s="2" t="s">
        <v>38</v>
      </c>
      <c r="V1350" s="2" t="s">
        <v>39</v>
      </c>
      <c r="W1350" s="2" t="s">
        <v>38</v>
      </c>
      <c r="X1350" s="2" t="s">
        <v>39</v>
      </c>
      <c r="Y1350" s="2" t="s">
        <v>38</v>
      </c>
      <c r="Z1350" s="2" t="s">
        <v>39</v>
      </c>
      <c r="AA1350" s="2" t="s">
        <v>38</v>
      </c>
      <c r="AB1350" s="2" t="s">
        <v>39</v>
      </c>
      <c r="AC1350" s="2" t="s">
        <v>38</v>
      </c>
      <c r="AD1350" s="2" t="s">
        <v>38</v>
      </c>
      <c r="AE1350" s="2" t="s">
        <v>38</v>
      </c>
    </row>
    <row r="1351" spans="1:31" ht="409.5">
      <c r="A1351" s="2">
        <v>2585859</v>
      </c>
      <c r="B1351" s="2">
        <f>HYPERLINK("https://platform.v2.vetology.net/cases/2585859/screening-report/18?type=pdf&amp;v=v6&amp;scorecard=1&amp;secret_key=BX%25IJ%24%2F65ieZ%29f6", 2585859)</f>
        <v>2585859</v>
      </c>
      <c r="C1351" s="2">
        <f>HYPERLINK("https://platform.v2.vetology.net/report/v/final/"&amp;2585859, 2585859)</f>
        <v>2585859</v>
      </c>
      <c r="D1351" s="2" t="s">
        <v>3894</v>
      </c>
      <c r="E1351" s="2" t="s">
        <v>3895</v>
      </c>
      <c r="F1351" s="2" t="s">
        <v>3896</v>
      </c>
      <c r="G1351" s="2" t="s">
        <v>58</v>
      </c>
      <c r="H1351" s="2" t="s">
        <v>2066</v>
      </c>
      <c r="I1351" s="2" t="s">
        <v>2067</v>
      </c>
      <c r="J1351" s="2" t="s">
        <v>66</v>
      </c>
      <c r="K1351" s="2" t="s">
        <v>38</v>
      </c>
      <c r="L1351" s="2" t="s">
        <v>38</v>
      </c>
      <c r="M1351" s="2" t="s">
        <v>39</v>
      </c>
      <c r="N1351" s="2" t="s">
        <v>39</v>
      </c>
      <c r="O1351" s="2" t="s">
        <v>38</v>
      </c>
      <c r="P1351" s="2" t="s">
        <v>38</v>
      </c>
      <c r="Q1351" s="2" t="s">
        <v>38</v>
      </c>
      <c r="R1351" s="2" t="s">
        <v>38</v>
      </c>
      <c r="S1351" s="2" t="s">
        <v>38</v>
      </c>
      <c r="T1351" s="2" t="s">
        <v>39</v>
      </c>
      <c r="U1351" s="2" t="s">
        <v>38</v>
      </c>
      <c r="V1351" s="2" t="s">
        <v>38</v>
      </c>
      <c r="W1351" s="2" t="s">
        <v>38</v>
      </c>
      <c r="X1351" s="2" t="s">
        <v>39</v>
      </c>
      <c r="Y1351" s="2" t="s">
        <v>38</v>
      </c>
      <c r="Z1351" s="2" t="s">
        <v>39</v>
      </c>
      <c r="AA1351" s="2" t="s">
        <v>38</v>
      </c>
      <c r="AB1351" s="2" t="s">
        <v>39</v>
      </c>
      <c r="AC1351" s="2" t="s">
        <v>39</v>
      </c>
      <c r="AD1351" s="2" t="s">
        <v>38</v>
      </c>
      <c r="AE1351" s="2" t="s">
        <v>38</v>
      </c>
    </row>
    <row r="1352" spans="1:31" ht="409.5">
      <c r="A1352" s="2">
        <v>2585617</v>
      </c>
      <c r="B1352" s="2">
        <f>HYPERLINK("https://platform.v2.vetology.net/cases/2585617/screening-report/18?type=pdf&amp;v=v6&amp;scorecard=1&amp;secret_key=BX%25IJ%24%2F65ieZ%29f6", 2585617)</f>
        <v>2585617</v>
      </c>
      <c r="C1352" s="2">
        <f>HYPERLINK("https://platform.v2.vetology.net/report/v/final/"&amp;2585617, 2585617)</f>
        <v>2585617</v>
      </c>
      <c r="D1352" s="2" t="s">
        <v>3897</v>
      </c>
      <c r="E1352" s="2" t="s">
        <v>3898</v>
      </c>
      <c r="F1352" s="2"/>
      <c r="G1352" s="2" t="s">
        <v>141</v>
      </c>
      <c r="H1352" s="2" t="s">
        <v>43</v>
      </c>
      <c r="I1352" s="2" t="s">
        <v>44</v>
      </c>
      <c r="J1352" s="2"/>
      <c r="K1352" s="2" t="s">
        <v>38</v>
      </c>
      <c r="L1352" s="2" t="s">
        <v>38</v>
      </c>
      <c r="M1352" s="2" t="s">
        <v>38</v>
      </c>
      <c r="N1352" s="2" t="s">
        <v>38</v>
      </c>
      <c r="O1352" s="2" t="s">
        <v>38</v>
      </c>
      <c r="P1352" s="2" t="s">
        <v>38</v>
      </c>
      <c r="Q1352" s="2" t="s">
        <v>38</v>
      </c>
      <c r="R1352" s="2" t="s">
        <v>38</v>
      </c>
      <c r="S1352" s="2" t="s">
        <v>38</v>
      </c>
      <c r="T1352" s="2" t="s">
        <v>38</v>
      </c>
      <c r="U1352" s="2" t="s">
        <v>38</v>
      </c>
      <c r="V1352" s="2" t="s">
        <v>38</v>
      </c>
      <c r="W1352" s="2" t="s">
        <v>38</v>
      </c>
      <c r="X1352" s="2" t="s">
        <v>38</v>
      </c>
      <c r="Y1352" s="2" t="s">
        <v>38</v>
      </c>
      <c r="Z1352" s="2" t="s">
        <v>38</v>
      </c>
      <c r="AA1352" s="2" t="s">
        <v>38</v>
      </c>
      <c r="AB1352" s="2" t="s">
        <v>38</v>
      </c>
      <c r="AC1352" s="2" t="s">
        <v>38</v>
      </c>
      <c r="AD1352" s="2" t="s">
        <v>38</v>
      </c>
      <c r="AE1352" s="2" t="s">
        <v>38</v>
      </c>
    </row>
    <row r="1353" spans="1:31" ht="409.5">
      <c r="A1353" s="2">
        <v>2585563</v>
      </c>
      <c r="B1353" s="2">
        <f>HYPERLINK("https://platform.v2.vetology.net/cases/2585563/screening-report/18?type=pdf&amp;v=v6&amp;scorecard=1&amp;secret_key=BX%25IJ%24%2F65ieZ%29f6", 2585563)</f>
        <v>2585563</v>
      </c>
      <c r="C1353" s="2">
        <f>HYPERLINK("https://platform.v2.vetology.net/report/v/final/"&amp;2585563, 2585563)</f>
        <v>2585563</v>
      </c>
      <c r="D1353" s="2" t="s">
        <v>3899</v>
      </c>
      <c r="E1353" s="2" t="s">
        <v>3900</v>
      </c>
      <c r="F1353" s="2" t="s">
        <v>3901</v>
      </c>
      <c r="G1353" s="2" t="s">
        <v>34</v>
      </c>
      <c r="H1353" s="2" t="s">
        <v>162</v>
      </c>
      <c r="I1353" s="2" t="s">
        <v>124</v>
      </c>
      <c r="J1353" s="2" t="s">
        <v>125</v>
      </c>
      <c r="K1353" s="2" t="s">
        <v>38</v>
      </c>
      <c r="L1353" s="2" t="s">
        <v>39</v>
      </c>
      <c r="M1353" s="2" t="s">
        <v>39</v>
      </c>
      <c r="N1353" s="2" t="s">
        <v>38</v>
      </c>
      <c r="O1353" s="2" t="s">
        <v>38</v>
      </c>
      <c r="P1353" s="2" t="s">
        <v>39</v>
      </c>
      <c r="Q1353" s="2" t="s">
        <v>39</v>
      </c>
      <c r="R1353" s="2" t="s">
        <v>38</v>
      </c>
      <c r="S1353" s="2" t="s">
        <v>39</v>
      </c>
      <c r="T1353" s="2" t="s">
        <v>38</v>
      </c>
      <c r="U1353" s="2" t="s">
        <v>38</v>
      </c>
      <c r="V1353" s="2" t="s">
        <v>38</v>
      </c>
      <c r="W1353" s="2" t="s">
        <v>38</v>
      </c>
      <c r="X1353" s="2" t="s">
        <v>38</v>
      </c>
      <c r="Y1353" s="2" t="s">
        <v>38</v>
      </c>
      <c r="Z1353" s="2" t="s">
        <v>39</v>
      </c>
      <c r="AA1353" s="2" t="s">
        <v>38</v>
      </c>
      <c r="AB1353" s="2" t="s">
        <v>39</v>
      </c>
      <c r="AC1353" s="2" t="s">
        <v>39</v>
      </c>
      <c r="AD1353" s="2" t="s">
        <v>38</v>
      </c>
      <c r="AE1353" s="2" t="s">
        <v>38</v>
      </c>
    </row>
    <row r="1354" spans="1:31" ht="409.5">
      <c r="A1354" s="2">
        <v>2585349</v>
      </c>
      <c r="B1354" s="2">
        <f>HYPERLINK("https://platform.v2.vetology.net/cases/2585349/screening-report/18?type=pdf&amp;v=v6&amp;scorecard=1&amp;secret_key=BX%25IJ%24%2F65ieZ%29f6", 2585349)</f>
        <v>2585349</v>
      </c>
      <c r="C1354" s="2">
        <f>HYPERLINK("https://platform.v2.vetology.net/report/v/final/"&amp;2585349, 2585349)</f>
        <v>2585349</v>
      </c>
      <c r="D1354" s="2" t="s">
        <v>3902</v>
      </c>
      <c r="E1354" s="2" t="s">
        <v>3903</v>
      </c>
      <c r="F1354" s="2"/>
      <c r="G1354" s="2" t="s">
        <v>150</v>
      </c>
      <c r="H1354" s="2" t="s">
        <v>78</v>
      </c>
      <c r="I1354" s="2" t="s">
        <v>44</v>
      </c>
      <c r="J1354" s="2"/>
      <c r="K1354" s="2" t="s">
        <v>38</v>
      </c>
      <c r="L1354" s="2" t="s">
        <v>39</v>
      </c>
      <c r="M1354" s="2" t="s">
        <v>39</v>
      </c>
      <c r="N1354" s="2" t="s">
        <v>38</v>
      </c>
      <c r="O1354" s="2" t="s">
        <v>38</v>
      </c>
      <c r="P1354" s="2" t="s">
        <v>38</v>
      </c>
      <c r="Q1354" s="2" t="s">
        <v>38</v>
      </c>
      <c r="R1354" s="2" t="s">
        <v>38</v>
      </c>
      <c r="S1354" s="2" t="s">
        <v>38</v>
      </c>
      <c r="T1354" s="2" t="s">
        <v>38</v>
      </c>
      <c r="U1354" s="2" t="s">
        <v>38</v>
      </c>
      <c r="V1354" s="2" t="s">
        <v>38</v>
      </c>
      <c r="W1354" s="2" t="s">
        <v>38</v>
      </c>
      <c r="X1354" s="2" t="s">
        <v>38</v>
      </c>
      <c r="Y1354" s="2" t="s">
        <v>38</v>
      </c>
      <c r="Z1354" s="2" t="s">
        <v>38</v>
      </c>
      <c r="AA1354" s="2" t="s">
        <v>38</v>
      </c>
      <c r="AB1354" s="2" t="s">
        <v>39</v>
      </c>
      <c r="AC1354" s="2" t="s">
        <v>38</v>
      </c>
      <c r="AD1354" s="2" t="s">
        <v>38</v>
      </c>
      <c r="AE1354" s="2" t="s">
        <v>38</v>
      </c>
    </row>
    <row r="1355" spans="1:31" ht="409.5">
      <c r="A1355" s="2">
        <v>2585244</v>
      </c>
      <c r="B1355" s="2">
        <f>HYPERLINK("https://platform.v2.vetology.net/cases/2585244/screening-report/18?type=pdf&amp;v=v6&amp;scorecard=1&amp;secret_key=BX%25IJ%24%2F65ieZ%29f6", 2585244)</f>
        <v>2585244</v>
      </c>
      <c r="C1355" s="2">
        <f>HYPERLINK("https://platform.v2.vetology.net/report/v/final/"&amp;2585244, 2585244)</f>
        <v>2585244</v>
      </c>
      <c r="D1355" s="2" t="s">
        <v>3904</v>
      </c>
      <c r="E1355" s="2" t="s">
        <v>3905</v>
      </c>
      <c r="F1355" s="2" t="s">
        <v>3906</v>
      </c>
      <c r="G1355" s="2" t="s">
        <v>93</v>
      </c>
      <c r="H1355" s="2" t="s">
        <v>3907</v>
      </c>
      <c r="I1355" s="2" t="s">
        <v>1533</v>
      </c>
      <c r="J1355" s="2" t="s">
        <v>710</v>
      </c>
      <c r="K1355" s="2" t="s">
        <v>38</v>
      </c>
      <c r="L1355" s="2" t="s">
        <v>39</v>
      </c>
      <c r="M1355" s="2" t="s">
        <v>39</v>
      </c>
      <c r="N1355" s="2" t="s">
        <v>38</v>
      </c>
      <c r="O1355" s="2" t="s">
        <v>39</v>
      </c>
      <c r="P1355" s="2" t="s">
        <v>38</v>
      </c>
      <c r="Q1355" s="2" t="s">
        <v>38</v>
      </c>
      <c r="R1355" s="2" t="s">
        <v>38</v>
      </c>
      <c r="S1355" s="2" t="s">
        <v>39</v>
      </c>
      <c r="T1355" s="2" t="s">
        <v>39</v>
      </c>
      <c r="U1355" s="2" t="s">
        <v>39</v>
      </c>
      <c r="V1355" s="2" t="s">
        <v>39</v>
      </c>
      <c r="W1355" s="2" t="s">
        <v>38</v>
      </c>
      <c r="X1355" s="2" t="s">
        <v>39</v>
      </c>
      <c r="Y1355" s="2" t="s">
        <v>38</v>
      </c>
      <c r="Z1355" s="2" t="s">
        <v>38</v>
      </c>
      <c r="AA1355" s="2" t="s">
        <v>38</v>
      </c>
      <c r="AB1355" s="2" t="s">
        <v>38</v>
      </c>
      <c r="AC1355" s="2" t="s">
        <v>39</v>
      </c>
      <c r="AD1355" s="2" t="s">
        <v>38</v>
      </c>
      <c r="AE1355" s="2" t="s">
        <v>38</v>
      </c>
    </row>
    <row r="1356" spans="1:31" ht="409.5">
      <c r="A1356" s="2">
        <v>2585217</v>
      </c>
      <c r="B1356" s="2">
        <f>HYPERLINK("https://platform.v2.vetology.net/cases/2585217/screening-report/18?type=pdf&amp;v=v6&amp;scorecard=1&amp;secret_key=BX%25IJ%24%2F65ieZ%29f6", 2585217)</f>
        <v>2585217</v>
      </c>
      <c r="C1356" s="2">
        <f>HYPERLINK("https://platform.v2.vetology.net/report/v/final/"&amp;2585217, 2585217)</f>
        <v>2585217</v>
      </c>
      <c r="D1356" s="2" t="s">
        <v>3908</v>
      </c>
      <c r="E1356" s="2" t="s">
        <v>3909</v>
      </c>
      <c r="F1356" s="2" t="s">
        <v>3910</v>
      </c>
      <c r="G1356" s="2" t="s">
        <v>63</v>
      </c>
      <c r="H1356" s="2" t="s">
        <v>2431</v>
      </c>
      <c r="I1356" s="2" t="s">
        <v>89</v>
      </c>
      <c r="J1356" s="2" t="s">
        <v>66</v>
      </c>
      <c r="K1356" s="2" t="s">
        <v>38</v>
      </c>
      <c r="L1356" s="2" t="s">
        <v>38</v>
      </c>
      <c r="M1356" s="2" t="s">
        <v>38</v>
      </c>
      <c r="N1356" s="2" t="s">
        <v>38</v>
      </c>
      <c r="O1356" s="2" t="s">
        <v>38</v>
      </c>
      <c r="P1356" s="2" t="s">
        <v>38</v>
      </c>
      <c r="Q1356" s="2" t="s">
        <v>38</v>
      </c>
      <c r="R1356" s="2" t="s">
        <v>38</v>
      </c>
      <c r="S1356" s="2" t="s">
        <v>38</v>
      </c>
      <c r="T1356" s="2" t="s">
        <v>39</v>
      </c>
      <c r="U1356" s="2" t="s">
        <v>38</v>
      </c>
      <c r="V1356" s="2" t="s">
        <v>39</v>
      </c>
      <c r="W1356" s="2" t="s">
        <v>38</v>
      </c>
      <c r="X1356" s="2" t="s">
        <v>39</v>
      </c>
      <c r="Y1356" s="2" t="s">
        <v>38</v>
      </c>
      <c r="Z1356" s="2" t="s">
        <v>38</v>
      </c>
      <c r="AA1356" s="2" t="s">
        <v>38</v>
      </c>
      <c r="AB1356" s="2" t="s">
        <v>38</v>
      </c>
      <c r="AC1356" s="2" t="s">
        <v>38</v>
      </c>
      <c r="AD1356" s="2" t="s">
        <v>38</v>
      </c>
      <c r="AE1356" s="2" t="s">
        <v>39</v>
      </c>
    </row>
    <row r="1357" spans="1:31" ht="409.5">
      <c r="A1357" s="2">
        <v>2585135</v>
      </c>
      <c r="B1357" s="2">
        <f>HYPERLINK("https://platform.v2.vetology.net/cases/2585135/screening-report/18?type=pdf&amp;v=v6&amp;scorecard=1&amp;secret_key=BX%25IJ%24%2F65ieZ%29f6", 2585135)</f>
        <v>2585135</v>
      </c>
      <c r="C1357" s="2">
        <f>HYPERLINK("https://platform.v2.vetology.net/report/v/final/"&amp;2585135, 2585135)</f>
        <v>2585135</v>
      </c>
      <c r="D1357" s="2" t="s">
        <v>3911</v>
      </c>
      <c r="E1357" s="2" t="s">
        <v>3912</v>
      </c>
      <c r="F1357" s="2" t="s">
        <v>3913</v>
      </c>
      <c r="G1357" s="2" t="s">
        <v>63</v>
      </c>
      <c r="H1357" s="2" t="s">
        <v>539</v>
      </c>
      <c r="I1357" s="2" t="s">
        <v>207</v>
      </c>
      <c r="J1357" s="2" t="s">
        <v>208</v>
      </c>
      <c r="K1357" s="2" t="s">
        <v>38</v>
      </c>
      <c r="L1357" s="2" t="s">
        <v>38</v>
      </c>
      <c r="M1357" s="2" t="s">
        <v>38</v>
      </c>
      <c r="N1357" s="2" t="s">
        <v>38</v>
      </c>
      <c r="O1357" s="2" t="s">
        <v>38</v>
      </c>
      <c r="P1357" s="2" t="s">
        <v>38</v>
      </c>
      <c r="Q1357" s="2" t="s">
        <v>38</v>
      </c>
      <c r="R1357" s="2" t="s">
        <v>38</v>
      </c>
      <c r="S1357" s="2" t="s">
        <v>38</v>
      </c>
      <c r="T1357" s="2" t="s">
        <v>39</v>
      </c>
      <c r="U1357" s="2" t="s">
        <v>38</v>
      </c>
      <c r="V1357" s="2" t="s">
        <v>38</v>
      </c>
      <c r="W1357" s="2" t="s">
        <v>38</v>
      </c>
      <c r="X1357" s="2" t="s">
        <v>38</v>
      </c>
      <c r="Y1357" s="2" t="s">
        <v>38</v>
      </c>
      <c r="Z1357" s="2" t="s">
        <v>38</v>
      </c>
      <c r="AA1357" s="2" t="s">
        <v>38</v>
      </c>
      <c r="AB1357" s="2" t="s">
        <v>38</v>
      </c>
      <c r="AC1357" s="2" t="s">
        <v>38</v>
      </c>
      <c r="AD1357" s="2" t="s">
        <v>38</v>
      </c>
      <c r="AE1357" s="2" t="s">
        <v>38</v>
      </c>
    </row>
    <row r="1358" spans="1:31" ht="409.5">
      <c r="A1358" s="2">
        <v>2584992</v>
      </c>
      <c r="B1358" s="2">
        <f>HYPERLINK("https://platform.v2.vetology.net/cases/2584992/screening-report/18?type=pdf&amp;v=v6&amp;scorecard=1&amp;secret_key=BX%25IJ%24%2F65ieZ%29f6", 2584992)</f>
        <v>2584992</v>
      </c>
      <c r="C1358" s="2">
        <f>HYPERLINK("https://platform.v2.vetology.net/report/v/final/"&amp;2584992, 2584992)</f>
        <v>2584992</v>
      </c>
      <c r="D1358" s="2" t="s">
        <v>3914</v>
      </c>
      <c r="E1358" s="2" t="s">
        <v>1996</v>
      </c>
      <c r="F1358" s="2" t="s">
        <v>687</v>
      </c>
      <c r="G1358" s="2" t="s">
        <v>150</v>
      </c>
      <c r="H1358" s="2" t="s">
        <v>43</v>
      </c>
      <c r="I1358" s="2" t="s">
        <v>44</v>
      </c>
      <c r="J1358" s="2" t="s">
        <v>106</v>
      </c>
      <c r="K1358" s="2" t="s">
        <v>38</v>
      </c>
      <c r="L1358" s="2" t="s">
        <v>39</v>
      </c>
      <c r="M1358" s="2" t="s">
        <v>38</v>
      </c>
      <c r="N1358" s="2" t="s">
        <v>38</v>
      </c>
      <c r="O1358" s="2" t="s">
        <v>38</v>
      </c>
      <c r="P1358" s="2" t="s">
        <v>38</v>
      </c>
      <c r="Q1358" s="2" t="s">
        <v>38</v>
      </c>
      <c r="R1358" s="2" t="s">
        <v>38</v>
      </c>
      <c r="S1358" s="2" t="s">
        <v>38</v>
      </c>
      <c r="T1358" s="2" t="s">
        <v>38</v>
      </c>
      <c r="U1358" s="2" t="s">
        <v>38</v>
      </c>
      <c r="V1358" s="2" t="s">
        <v>38</v>
      </c>
      <c r="W1358" s="2" t="s">
        <v>38</v>
      </c>
      <c r="X1358" s="2" t="s">
        <v>38</v>
      </c>
      <c r="Y1358" s="2" t="s">
        <v>38</v>
      </c>
      <c r="Z1358" s="2" t="s">
        <v>38</v>
      </c>
      <c r="AA1358" s="2" t="s">
        <v>38</v>
      </c>
      <c r="AB1358" s="2" t="s">
        <v>38</v>
      </c>
      <c r="AC1358" s="2" t="s">
        <v>38</v>
      </c>
      <c r="AD1358" s="2" t="s">
        <v>38</v>
      </c>
      <c r="AE1358" s="2" t="s">
        <v>38</v>
      </c>
    </row>
    <row r="1359" spans="1:31" ht="409.5">
      <c r="A1359" s="2">
        <v>2584676</v>
      </c>
      <c r="B1359" s="2">
        <f>HYPERLINK("https://platform.v2.vetology.net/cases/2584676/screening-report/18?type=pdf&amp;v=v6&amp;scorecard=1&amp;secret_key=BX%25IJ%24%2F65ieZ%29f6", 2584676)</f>
        <v>2584676</v>
      </c>
      <c r="C1359" s="2">
        <f>HYPERLINK("https://platform.v2.vetology.net/report/v/final/"&amp;2584676, 2584676)</f>
        <v>2584676</v>
      </c>
      <c r="D1359" s="2" t="s">
        <v>3915</v>
      </c>
      <c r="E1359" s="2" t="s">
        <v>3916</v>
      </c>
      <c r="F1359" s="2" t="s">
        <v>149</v>
      </c>
      <c r="G1359" s="2" t="s">
        <v>150</v>
      </c>
      <c r="H1359" s="2" t="s">
        <v>3917</v>
      </c>
      <c r="I1359" s="2" t="s">
        <v>137</v>
      </c>
      <c r="J1359" s="2" t="s">
        <v>66</v>
      </c>
      <c r="K1359" s="2" t="s">
        <v>38</v>
      </c>
      <c r="L1359" s="2" t="s">
        <v>39</v>
      </c>
      <c r="M1359" s="2" t="s">
        <v>38</v>
      </c>
      <c r="N1359" s="2" t="s">
        <v>38</v>
      </c>
      <c r="O1359" s="2" t="s">
        <v>38</v>
      </c>
      <c r="P1359" s="2" t="s">
        <v>39</v>
      </c>
      <c r="Q1359" s="2" t="s">
        <v>38</v>
      </c>
      <c r="R1359" s="2" t="s">
        <v>38</v>
      </c>
      <c r="S1359" s="2" t="s">
        <v>38</v>
      </c>
      <c r="T1359" s="2" t="s">
        <v>39</v>
      </c>
      <c r="U1359" s="2" t="s">
        <v>38</v>
      </c>
      <c r="V1359" s="2" t="s">
        <v>38</v>
      </c>
      <c r="W1359" s="2" t="s">
        <v>38</v>
      </c>
      <c r="X1359" s="2" t="s">
        <v>39</v>
      </c>
      <c r="Y1359" s="2" t="s">
        <v>38</v>
      </c>
      <c r="Z1359" s="2" t="s">
        <v>39</v>
      </c>
      <c r="AA1359" s="2" t="s">
        <v>38</v>
      </c>
      <c r="AB1359" s="2" t="s">
        <v>38</v>
      </c>
      <c r="AC1359" s="2" t="s">
        <v>39</v>
      </c>
      <c r="AD1359" s="2" t="s">
        <v>38</v>
      </c>
      <c r="AE1359" s="2" t="s">
        <v>39</v>
      </c>
    </row>
    <row r="1360" spans="1:31" ht="409.5">
      <c r="A1360" s="2">
        <v>2584623</v>
      </c>
      <c r="B1360" s="2">
        <f>HYPERLINK("https://platform.v2.vetology.net/cases/2584623/screening-report/18?type=pdf&amp;v=v6&amp;scorecard=1&amp;secret_key=BX%25IJ%24%2F65ieZ%29f6", 2584623)</f>
        <v>2584623</v>
      </c>
      <c r="C1360" s="2">
        <f>HYPERLINK("https://platform.v2.vetology.net/report/v/final/"&amp;2584623, 2584623)</f>
        <v>2584623</v>
      </c>
      <c r="D1360" s="2" t="s">
        <v>3918</v>
      </c>
      <c r="E1360" s="2" t="s">
        <v>3919</v>
      </c>
      <c r="F1360" s="2" t="s">
        <v>3920</v>
      </c>
      <c r="G1360" s="2" t="s">
        <v>58</v>
      </c>
      <c r="H1360" s="2" t="s">
        <v>43</v>
      </c>
      <c r="I1360" s="2" t="s">
        <v>44</v>
      </c>
      <c r="J1360" s="2"/>
      <c r="K1360" s="2" t="s">
        <v>38</v>
      </c>
      <c r="L1360" s="2" t="s">
        <v>38</v>
      </c>
      <c r="M1360" s="2" t="s">
        <v>38</v>
      </c>
      <c r="N1360" s="2" t="s">
        <v>38</v>
      </c>
      <c r="O1360" s="2" t="s">
        <v>38</v>
      </c>
      <c r="P1360" s="2" t="s">
        <v>38</v>
      </c>
      <c r="Q1360" s="2" t="s">
        <v>38</v>
      </c>
      <c r="R1360" s="2" t="s">
        <v>38</v>
      </c>
      <c r="S1360" s="2" t="s">
        <v>38</v>
      </c>
      <c r="T1360" s="2" t="s">
        <v>38</v>
      </c>
      <c r="U1360" s="2" t="s">
        <v>38</v>
      </c>
      <c r="V1360" s="2" t="s">
        <v>38</v>
      </c>
      <c r="W1360" s="2" t="s">
        <v>38</v>
      </c>
      <c r="X1360" s="2" t="s">
        <v>38</v>
      </c>
      <c r="Y1360" s="2" t="s">
        <v>38</v>
      </c>
      <c r="Z1360" s="2" t="s">
        <v>38</v>
      </c>
      <c r="AA1360" s="2" t="s">
        <v>38</v>
      </c>
      <c r="AB1360" s="2" t="s">
        <v>38</v>
      </c>
      <c r="AC1360" s="2" t="s">
        <v>38</v>
      </c>
      <c r="AD1360" s="2" t="s">
        <v>38</v>
      </c>
      <c r="AE1360" s="2" t="s">
        <v>38</v>
      </c>
    </row>
    <row r="1361" spans="1:31" ht="409.5">
      <c r="A1361" s="2">
        <v>2583824</v>
      </c>
      <c r="B1361" s="2">
        <f>HYPERLINK("https://platform.v2.vetology.net/cases/2583824/screening-report/18?type=pdf&amp;v=v6&amp;scorecard=1&amp;secret_key=BX%25IJ%24%2F65ieZ%29f6", 2583824)</f>
        <v>2583824</v>
      </c>
      <c r="C1361" s="2">
        <f>HYPERLINK("https://platform.v2.vetology.net/report/v/final/"&amp;2583824, 2583824)</f>
        <v>2583824</v>
      </c>
      <c r="D1361" s="2" t="s">
        <v>1114</v>
      </c>
      <c r="E1361" s="2" t="s">
        <v>238</v>
      </c>
      <c r="F1361" s="2" t="s">
        <v>687</v>
      </c>
      <c r="G1361" s="2" t="s">
        <v>150</v>
      </c>
      <c r="H1361" s="2" t="s">
        <v>3921</v>
      </c>
      <c r="I1361" s="2" t="s">
        <v>227</v>
      </c>
      <c r="J1361" s="2" t="s">
        <v>228</v>
      </c>
      <c r="K1361" s="2" t="s">
        <v>38</v>
      </c>
      <c r="L1361" s="2" t="s">
        <v>38</v>
      </c>
      <c r="M1361" s="2" t="s">
        <v>38</v>
      </c>
      <c r="N1361" s="2" t="s">
        <v>39</v>
      </c>
      <c r="O1361" s="2" t="s">
        <v>38</v>
      </c>
      <c r="P1361" s="2" t="s">
        <v>38</v>
      </c>
      <c r="Q1361" s="2" t="s">
        <v>38</v>
      </c>
      <c r="R1361" s="2" t="s">
        <v>38</v>
      </c>
      <c r="S1361" s="2" t="s">
        <v>38</v>
      </c>
      <c r="T1361" s="2" t="s">
        <v>39</v>
      </c>
      <c r="U1361" s="2" t="s">
        <v>38</v>
      </c>
      <c r="V1361" s="2" t="s">
        <v>39</v>
      </c>
      <c r="W1361" s="2" t="s">
        <v>38</v>
      </c>
      <c r="X1361" s="2" t="s">
        <v>39</v>
      </c>
      <c r="Y1361" s="2" t="s">
        <v>38</v>
      </c>
      <c r="Z1361" s="2" t="s">
        <v>38</v>
      </c>
      <c r="AA1361" s="2" t="s">
        <v>38</v>
      </c>
      <c r="AB1361" s="2" t="s">
        <v>39</v>
      </c>
      <c r="AC1361" s="2" t="s">
        <v>39</v>
      </c>
      <c r="AD1361" s="2" t="s">
        <v>38</v>
      </c>
      <c r="AE1361" s="2" t="s">
        <v>38</v>
      </c>
    </row>
    <row r="1362" spans="1:31" ht="409.5">
      <c r="A1362" s="2">
        <v>2583508</v>
      </c>
      <c r="B1362" s="2">
        <f>HYPERLINK("https://platform.v2.vetology.net/cases/2583508/screening-report/18?type=pdf&amp;v=v6&amp;scorecard=1&amp;secret_key=BX%25IJ%24%2F65ieZ%29f6", 2583508)</f>
        <v>2583508</v>
      </c>
      <c r="C1362" s="2">
        <f>HYPERLINK("https://platform.v2.vetology.net/report/v/final/"&amp;2583508, 2583508)</f>
        <v>2583508</v>
      </c>
      <c r="D1362" s="2" t="s">
        <v>3922</v>
      </c>
      <c r="E1362" s="2" t="s">
        <v>3923</v>
      </c>
      <c r="F1362" s="2" t="s">
        <v>3924</v>
      </c>
      <c r="G1362" s="2" t="s">
        <v>63</v>
      </c>
      <c r="H1362" s="2" t="s">
        <v>54</v>
      </c>
      <c r="I1362" s="2" t="s">
        <v>199</v>
      </c>
      <c r="J1362" s="2"/>
      <c r="K1362" s="2" t="s">
        <v>38</v>
      </c>
      <c r="L1362" s="2" t="s">
        <v>39</v>
      </c>
      <c r="M1362" s="2" t="s">
        <v>39</v>
      </c>
      <c r="N1362" s="2" t="s">
        <v>38</v>
      </c>
      <c r="O1362" s="2" t="s">
        <v>38</v>
      </c>
      <c r="P1362" s="2" t="s">
        <v>38</v>
      </c>
      <c r="Q1362" s="2" t="s">
        <v>38</v>
      </c>
      <c r="R1362" s="2" t="s">
        <v>38</v>
      </c>
      <c r="S1362" s="2" t="s">
        <v>38</v>
      </c>
      <c r="T1362" s="2" t="s">
        <v>39</v>
      </c>
      <c r="U1362" s="2" t="s">
        <v>38</v>
      </c>
      <c r="V1362" s="2" t="s">
        <v>39</v>
      </c>
      <c r="W1362" s="2" t="s">
        <v>38</v>
      </c>
      <c r="X1362" s="2" t="s">
        <v>39</v>
      </c>
      <c r="Y1362" s="2" t="s">
        <v>38</v>
      </c>
      <c r="Z1362" s="2" t="s">
        <v>39</v>
      </c>
      <c r="AA1362" s="2" t="s">
        <v>38</v>
      </c>
      <c r="AB1362" s="2" t="s">
        <v>38</v>
      </c>
      <c r="AC1362" s="2" t="s">
        <v>38</v>
      </c>
      <c r="AD1362" s="2" t="s">
        <v>38</v>
      </c>
      <c r="AE1362" s="2" t="s">
        <v>38</v>
      </c>
    </row>
    <row r="1363" spans="1:31" ht="409.5">
      <c r="A1363" s="2">
        <v>2583334</v>
      </c>
      <c r="B1363" s="2">
        <f>HYPERLINK("https://platform.v2.vetology.net/cases/2583334/screening-report/18?type=pdf&amp;v=v6&amp;scorecard=1&amp;secret_key=BX%25IJ%24%2F65ieZ%29f6", 2583334)</f>
        <v>2583334</v>
      </c>
      <c r="C1363" s="2">
        <f>HYPERLINK("https://platform.v2.vetology.net/report/v/final/"&amp;2583334, 2583334)</f>
        <v>2583334</v>
      </c>
      <c r="D1363" s="2" t="s">
        <v>3925</v>
      </c>
      <c r="E1363" s="2" t="s">
        <v>3926</v>
      </c>
      <c r="F1363" s="2" t="s">
        <v>1854</v>
      </c>
      <c r="G1363" s="2" t="s">
        <v>63</v>
      </c>
      <c r="H1363" s="2" t="s">
        <v>3927</v>
      </c>
      <c r="I1363" s="2" t="s">
        <v>158</v>
      </c>
      <c r="J1363" s="2" t="s">
        <v>50</v>
      </c>
      <c r="K1363" s="2" t="s">
        <v>38</v>
      </c>
      <c r="L1363" s="2" t="s">
        <v>38</v>
      </c>
      <c r="M1363" s="2" t="s">
        <v>38</v>
      </c>
      <c r="N1363" s="2" t="s">
        <v>38</v>
      </c>
      <c r="O1363" s="2" t="s">
        <v>38</v>
      </c>
      <c r="P1363" s="2" t="s">
        <v>39</v>
      </c>
      <c r="Q1363" s="2" t="s">
        <v>38</v>
      </c>
      <c r="R1363" s="2" t="s">
        <v>38</v>
      </c>
      <c r="S1363" s="2" t="s">
        <v>38</v>
      </c>
      <c r="T1363" s="2" t="s">
        <v>38</v>
      </c>
      <c r="U1363" s="2" t="s">
        <v>38</v>
      </c>
      <c r="V1363" s="2" t="s">
        <v>38</v>
      </c>
      <c r="W1363" s="2" t="s">
        <v>38</v>
      </c>
      <c r="X1363" s="2" t="s">
        <v>38</v>
      </c>
      <c r="Y1363" s="2" t="s">
        <v>38</v>
      </c>
      <c r="Z1363" s="2" t="s">
        <v>38</v>
      </c>
      <c r="AA1363" s="2" t="s">
        <v>38</v>
      </c>
      <c r="AB1363" s="2" t="s">
        <v>39</v>
      </c>
      <c r="AC1363" s="2" t="s">
        <v>38</v>
      </c>
      <c r="AD1363" s="2" t="s">
        <v>38</v>
      </c>
      <c r="AE1363" s="2" t="s">
        <v>39</v>
      </c>
    </row>
    <row r="1364" spans="1:31" ht="409.5">
      <c r="A1364" s="2">
        <v>2583324</v>
      </c>
      <c r="B1364" s="2">
        <f>HYPERLINK("https://platform.v2.vetology.net/cases/2583324/screening-report/18?type=pdf&amp;v=v6&amp;scorecard=1&amp;secret_key=BX%25IJ%24%2F65ieZ%29f6", 2583324)</f>
        <v>2583324</v>
      </c>
      <c r="C1364" s="2">
        <f>HYPERLINK("https://platform.v2.vetology.net/report/v/final/"&amp;2583324, 2583324)</f>
        <v>2583324</v>
      </c>
      <c r="D1364" s="2" t="s">
        <v>3928</v>
      </c>
      <c r="E1364" s="2" t="s">
        <v>3929</v>
      </c>
      <c r="F1364" s="2" t="s">
        <v>149</v>
      </c>
      <c r="G1364" s="2" t="s">
        <v>150</v>
      </c>
      <c r="H1364" s="2" t="s">
        <v>3930</v>
      </c>
      <c r="I1364" s="2" t="s">
        <v>89</v>
      </c>
      <c r="J1364" s="2" t="s">
        <v>66</v>
      </c>
      <c r="K1364" s="2" t="s">
        <v>38</v>
      </c>
      <c r="L1364" s="2" t="s">
        <v>39</v>
      </c>
      <c r="M1364" s="2" t="s">
        <v>39</v>
      </c>
      <c r="N1364" s="2" t="s">
        <v>38</v>
      </c>
      <c r="O1364" s="2" t="s">
        <v>38</v>
      </c>
      <c r="P1364" s="2" t="s">
        <v>39</v>
      </c>
      <c r="Q1364" s="2" t="s">
        <v>38</v>
      </c>
      <c r="R1364" s="2" t="s">
        <v>38</v>
      </c>
      <c r="S1364" s="2" t="s">
        <v>38</v>
      </c>
      <c r="T1364" s="2" t="s">
        <v>38</v>
      </c>
      <c r="U1364" s="2" t="s">
        <v>38</v>
      </c>
      <c r="V1364" s="2" t="s">
        <v>38</v>
      </c>
      <c r="W1364" s="2" t="s">
        <v>38</v>
      </c>
      <c r="X1364" s="2" t="s">
        <v>38</v>
      </c>
      <c r="Y1364" s="2" t="s">
        <v>38</v>
      </c>
      <c r="Z1364" s="2" t="s">
        <v>38</v>
      </c>
      <c r="AA1364" s="2" t="s">
        <v>38</v>
      </c>
      <c r="AB1364" s="2" t="s">
        <v>38</v>
      </c>
      <c r="AC1364" s="2" t="s">
        <v>39</v>
      </c>
      <c r="AD1364" s="2" t="s">
        <v>38</v>
      </c>
      <c r="AE1364" s="2" t="s">
        <v>39</v>
      </c>
    </row>
    <row r="1365" spans="1:31" ht="409.5">
      <c r="A1365" s="2">
        <v>2583078</v>
      </c>
      <c r="B1365" s="2">
        <f>HYPERLINK("https://platform.v2.vetology.net/cases/2583078/screening-report/18?type=pdf&amp;v=v6&amp;scorecard=1&amp;secret_key=BX%25IJ%24%2F65ieZ%29f6", 2583078)</f>
        <v>2583078</v>
      </c>
      <c r="C1365" s="2">
        <f>HYPERLINK("https://platform.v2.vetology.net/report/v/final/"&amp;2583078, 2583078)</f>
        <v>2583078</v>
      </c>
      <c r="D1365" s="2" t="s">
        <v>3420</v>
      </c>
      <c r="E1365" s="2" t="s">
        <v>617</v>
      </c>
      <c r="F1365" s="2" t="s">
        <v>3931</v>
      </c>
      <c r="G1365" s="2" t="s">
        <v>135</v>
      </c>
      <c r="H1365" s="2" t="s">
        <v>78</v>
      </c>
      <c r="I1365" s="2" t="s">
        <v>44</v>
      </c>
      <c r="J1365" s="2"/>
      <c r="K1365" s="2" t="s">
        <v>38</v>
      </c>
      <c r="L1365" s="2" t="s">
        <v>38</v>
      </c>
      <c r="M1365" s="2" t="s">
        <v>39</v>
      </c>
      <c r="N1365" s="2" t="s">
        <v>38</v>
      </c>
      <c r="O1365" s="2" t="s">
        <v>38</v>
      </c>
      <c r="P1365" s="2" t="s">
        <v>39</v>
      </c>
      <c r="Q1365" s="2" t="s">
        <v>38</v>
      </c>
      <c r="R1365" s="2" t="s">
        <v>38</v>
      </c>
      <c r="S1365" s="2" t="s">
        <v>38</v>
      </c>
      <c r="T1365" s="2" t="s">
        <v>39</v>
      </c>
      <c r="U1365" s="2" t="s">
        <v>38</v>
      </c>
      <c r="V1365" s="2" t="s">
        <v>39</v>
      </c>
      <c r="W1365" s="2" t="s">
        <v>38</v>
      </c>
      <c r="X1365" s="2" t="s">
        <v>39</v>
      </c>
      <c r="Y1365" s="2" t="s">
        <v>38</v>
      </c>
      <c r="Z1365" s="2" t="s">
        <v>38</v>
      </c>
      <c r="AA1365" s="2" t="s">
        <v>38</v>
      </c>
      <c r="AB1365" s="2" t="s">
        <v>38</v>
      </c>
      <c r="AC1365" s="2" t="s">
        <v>38</v>
      </c>
      <c r="AD1365" s="2" t="s">
        <v>38</v>
      </c>
      <c r="AE1365" s="2" t="s">
        <v>39</v>
      </c>
    </row>
    <row r="1366" spans="1:31" ht="409.5">
      <c r="A1366" s="2">
        <v>2583023</v>
      </c>
      <c r="B1366" s="2">
        <f>HYPERLINK("https://platform.v2.vetology.net/cases/2583023/screening-report/18?type=pdf&amp;v=v6&amp;scorecard=1&amp;secret_key=BX%25IJ%24%2F65ieZ%29f6", 2583023)</f>
        <v>2583023</v>
      </c>
      <c r="C1366" s="2">
        <f>HYPERLINK("https://platform.v2.vetology.net/report/v/final/"&amp;2583023, 2583023)</f>
        <v>2583023</v>
      </c>
      <c r="D1366" s="2" t="s">
        <v>3932</v>
      </c>
      <c r="E1366" s="2" t="s">
        <v>3933</v>
      </c>
      <c r="F1366" s="2" t="s">
        <v>81</v>
      </c>
      <c r="G1366" s="2" t="s">
        <v>150</v>
      </c>
      <c r="H1366" s="2" t="s">
        <v>54</v>
      </c>
      <c r="I1366" s="2" t="s">
        <v>44</v>
      </c>
      <c r="J1366" s="2"/>
      <c r="K1366" s="2" t="s">
        <v>38</v>
      </c>
      <c r="L1366" s="2" t="s">
        <v>39</v>
      </c>
      <c r="M1366" s="2" t="s">
        <v>38</v>
      </c>
      <c r="N1366" s="2" t="s">
        <v>38</v>
      </c>
      <c r="O1366" s="2" t="s">
        <v>38</v>
      </c>
      <c r="P1366" s="2" t="s">
        <v>39</v>
      </c>
      <c r="Q1366" s="2" t="s">
        <v>38</v>
      </c>
      <c r="R1366" s="2" t="s">
        <v>38</v>
      </c>
      <c r="S1366" s="2" t="s">
        <v>38</v>
      </c>
      <c r="T1366" s="2" t="s">
        <v>38</v>
      </c>
      <c r="U1366" s="2" t="s">
        <v>38</v>
      </c>
      <c r="V1366" s="2" t="s">
        <v>38</v>
      </c>
      <c r="W1366" s="2" t="s">
        <v>38</v>
      </c>
      <c r="X1366" s="2" t="s">
        <v>38</v>
      </c>
      <c r="Y1366" s="2" t="s">
        <v>38</v>
      </c>
      <c r="Z1366" s="2" t="s">
        <v>38</v>
      </c>
      <c r="AA1366" s="2" t="s">
        <v>38</v>
      </c>
      <c r="AB1366" s="2" t="s">
        <v>38</v>
      </c>
      <c r="AC1366" s="2" t="s">
        <v>38</v>
      </c>
      <c r="AD1366" s="2" t="s">
        <v>38</v>
      </c>
      <c r="AE1366" s="2" t="s">
        <v>38</v>
      </c>
    </row>
    <row r="1367" spans="1:31" ht="409.5">
      <c r="A1367" s="2">
        <v>2582848</v>
      </c>
      <c r="B1367" s="2">
        <f>HYPERLINK("https://platform.v2.vetology.net/cases/2582848/screening-report/18?type=pdf&amp;v=v6&amp;scorecard=1&amp;secret_key=BX%25IJ%24%2F65ieZ%29f6", 2582848)</f>
        <v>2582848</v>
      </c>
      <c r="C1367" s="2">
        <f>HYPERLINK("https://platform.v2.vetology.net/report/v/final/"&amp;2582848, 2582848)</f>
        <v>2582848</v>
      </c>
      <c r="D1367" s="2" t="s">
        <v>3934</v>
      </c>
      <c r="E1367" s="2" t="s">
        <v>3935</v>
      </c>
      <c r="F1367" s="2" t="s">
        <v>3936</v>
      </c>
      <c r="G1367" s="2" t="s">
        <v>58</v>
      </c>
      <c r="H1367" s="2" t="s">
        <v>771</v>
      </c>
      <c r="I1367" s="2" t="s">
        <v>44</v>
      </c>
      <c r="J1367" s="2"/>
      <c r="K1367" s="2" t="s">
        <v>38</v>
      </c>
      <c r="L1367" s="2" t="s">
        <v>39</v>
      </c>
      <c r="M1367" s="2" t="s">
        <v>38</v>
      </c>
      <c r="N1367" s="2" t="s">
        <v>38</v>
      </c>
      <c r="O1367" s="2" t="s">
        <v>38</v>
      </c>
      <c r="P1367" s="2" t="s">
        <v>38</v>
      </c>
      <c r="Q1367" s="2" t="s">
        <v>38</v>
      </c>
      <c r="R1367" s="2" t="s">
        <v>38</v>
      </c>
      <c r="S1367" s="2" t="s">
        <v>38</v>
      </c>
      <c r="T1367" s="2" t="s">
        <v>38</v>
      </c>
      <c r="U1367" s="2" t="s">
        <v>38</v>
      </c>
      <c r="V1367" s="2" t="s">
        <v>38</v>
      </c>
      <c r="W1367" s="2" t="s">
        <v>38</v>
      </c>
      <c r="X1367" s="2" t="s">
        <v>38</v>
      </c>
      <c r="Y1367" s="2" t="s">
        <v>38</v>
      </c>
      <c r="Z1367" s="2" t="s">
        <v>38</v>
      </c>
      <c r="AA1367" s="2" t="s">
        <v>38</v>
      </c>
      <c r="AB1367" s="2" t="s">
        <v>39</v>
      </c>
      <c r="AC1367" s="2" t="s">
        <v>38</v>
      </c>
      <c r="AD1367" s="2" t="s">
        <v>38</v>
      </c>
      <c r="AE1367" s="2" t="s">
        <v>38</v>
      </c>
    </row>
    <row r="1368" spans="1:31" ht="409.5">
      <c r="A1368" s="2">
        <v>2582794</v>
      </c>
      <c r="B1368" s="2">
        <f>HYPERLINK("https://platform.v2.vetology.net/cases/2582794/screening-report/18?type=pdf&amp;v=v6&amp;scorecard=1&amp;secret_key=BX%25IJ%24%2F65ieZ%29f6", 2582794)</f>
        <v>2582794</v>
      </c>
      <c r="C1368" s="2">
        <f>HYPERLINK("https://platform.v2.vetology.net/report/v/final/"&amp;2582794, 2582794)</f>
        <v>2582794</v>
      </c>
      <c r="D1368" s="2" t="s">
        <v>3937</v>
      </c>
      <c r="E1368" s="2" t="s">
        <v>3938</v>
      </c>
      <c r="F1368" s="2" t="s">
        <v>3939</v>
      </c>
      <c r="G1368" s="2" t="s">
        <v>93</v>
      </c>
      <c r="H1368" s="2" t="s">
        <v>105</v>
      </c>
      <c r="I1368" s="2" t="s">
        <v>44</v>
      </c>
      <c r="J1368" s="2"/>
      <c r="K1368" s="2" t="s">
        <v>38</v>
      </c>
      <c r="L1368" s="2" t="s">
        <v>39</v>
      </c>
      <c r="M1368" s="2" t="s">
        <v>38</v>
      </c>
      <c r="N1368" s="2" t="s">
        <v>38</v>
      </c>
      <c r="O1368" s="2" t="s">
        <v>38</v>
      </c>
      <c r="P1368" s="2" t="s">
        <v>38</v>
      </c>
      <c r="Q1368" s="2" t="s">
        <v>38</v>
      </c>
      <c r="R1368" s="2" t="s">
        <v>38</v>
      </c>
      <c r="S1368" s="2" t="s">
        <v>38</v>
      </c>
      <c r="T1368" s="2" t="s">
        <v>39</v>
      </c>
      <c r="U1368" s="2" t="s">
        <v>38</v>
      </c>
      <c r="V1368" s="2" t="s">
        <v>39</v>
      </c>
      <c r="W1368" s="2" t="s">
        <v>38</v>
      </c>
      <c r="X1368" s="2" t="s">
        <v>38</v>
      </c>
      <c r="Y1368" s="2" t="s">
        <v>38</v>
      </c>
      <c r="Z1368" s="2" t="s">
        <v>38</v>
      </c>
      <c r="AA1368" s="2" t="s">
        <v>38</v>
      </c>
      <c r="AB1368" s="2" t="s">
        <v>38</v>
      </c>
      <c r="AC1368" s="2" t="s">
        <v>38</v>
      </c>
      <c r="AD1368" s="2" t="s">
        <v>38</v>
      </c>
      <c r="AE1368" s="2" t="s">
        <v>38</v>
      </c>
    </row>
    <row r="1369" spans="1:31" ht="409.5">
      <c r="A1369" s="2">
        <v>2582783</v>
      </c>
      <c r="B1369" s="2">
        <f>HYPERLINK("https://platform.v2.vetology.net/cases/2582783/screening-report/18?type=pdf&amp;v=v6&amp;scorecard=1&amp;secret_key=BX%25IJ%24%2F65ieZ%29f6", 2582783)</f>
        <v>2582783</v>
      </c>
      <c r="C1369" s="2">
        <f>HYPERLINK("https://platform.v2.vetology.net/report/v/final/"&amp;2582783, 2582783)</f>
        <v>2582783</v>
      </c>
      <c r="D1369" s="2" t="s">
        <v>3940</v>
      </c>
      <c r="E1369" s="2" t="s">
        <v>3941</v>
      </c>
      <c r="F1369" s="2" t="s">
        <v>3942</v>
      </c>
      <c r="G1369" s="2" t="s">
        <v>34</v>
      </c>
      <c r="H1369" s="2" t="s">
        <v>78</v>
      </c>
      <c r="I1369" s="2" t="s">
        <v>199</v>
      </c>
      <c r="J1369" s="2"/>
      <c r="K1369" s="2" t="s">
        <v>38</v>
      </c>
      <c r="L1369" s="2" t="s">
        <v>39</v>
      </c>
      <c r="M1369" s="2" t="s">
        <v>38</v>
      </c>
      <c r="N1369" s="2" t="s">
        <v>38</v>
      </c>
      <c r="O1369" s="2" t="s">
        <v>38</v>
      </c>
      <c r="P1369" s="2" t="s">
        <v>39</v>
      </c>
      <c r="Q1369" s="2" t="s">
        <v>38</v>
      </c>
      <c r="R1369" s="2" t="s">
        <v>38</v>
      </c>
      <c r="S1369" s="2" t="s">
        <v>38</v>
      </c>
      <c r="T1369" s="2" t="s">
        <v>38</v>
      </c>
      <c r="U1369" s="2" t="s">
        <v>38</v>
      </c>
      <c r="V1369" s="2" t="s">
        <v>38</v>
      </c>
      <c r="W1369" s="2" t="s">
        <v>38</v>
      </c>
      <c r="X1369" s="2" t="s">
        <v>38</v>
      </c>
      <c r="Y1369" s="2" t="s">
        <v>38</v>
      </c>
      <c r="Z1369" s="2" t="s">
        <v>38</v>
      </c>
      <c r="AA1369" s="2" t="s">
        <v>38</v>
      </c>
      <c r="AB1369" s="2" t="s">
        <v>38</v>
      </c>
      <c r="AC1369" s="2" t="s">
        <v>38</v>
      </c>
      <c r="AD1369" s="2" t="s">
        <v>38</v>
      </c>
      <c r="AE1369" s="2" t="s">
        <v>38</v>
      </c>
    </row>
    <row r="1370" spans="1:31" ht="409.5">
      <c r="A1370" s="2">
        <v>2582727</v>
      </c>
      <c r="B1370" s="2">
        <f>HYPERLINK("https://platform.v2.vetology.net/cases/2582727/screening-report/18?type=pdf&amp;v=v6&amp;scorecard=1&amp;secret_key=BX%25IJ%24%2F65ieZ%29f6", 2582727)</f>
        <v>2582727</v>
      </c>
      <c r="C1370" s="2">
        <f>HYPERLINK("https://platform.v2.vetology.net/report/v/final/"&amp;2582727, 2582727)</f>
        <v>2582727</v>
      </c>
      <c r="D1370" s="2" t="s">
        <v>3943</v>
      </c>
      <c r="E1370" s="2" t="s">
        <v>3944</v>
      </c>
      <c r="F1370" s="2" t="s">
        <v>3945</v>
      </c>
      <c r="G1370" s="2" t="s">
        <v>575</v>
      </c>
      <c r="H1370" s="2" t="s">
        <v>129</v>
      </c>
      <c r="I1370" s="2" t="s">
        <v>44</v>
      </c>
      <c r="J1370" s="2"/>
      <c r="K1370" s="2" t="s">
        <v>38</v>
      </c>
      <c r="L1370" s="2" t="s">
        <v>39</v>
      </c>
      <c r="M1370" s="2" t="s">
        <v>39</v>
      </c>
      <c r="N1370" s="2" t="s">
        <v>38</v>
      </c>
      <c r="O1370" s="2" t="s">
        <v>38</v>
      </c>
      <c r="P1370" s="2" t="s">
        <v>38</v>
      </c>
      <c r="Q1370" s="2" t="s">
        <v>39</v>
      </c>
      <c r="R1370" s="2" t="s">
        <v>38</v>
      </c>
      <c r="S1370" s="2" t="s">
        <v>38</v>
      </c>
      <c r="T1370" s="2" t="s">
        <v>39</v>
      </c>
      <c r="U1370" s="2" t="s">
        <v>38</v>
      </c>
      <c r="V1370" s="2" t="s">
        <v>38</v>
      </c>
      <c r="W1370" s="2" t="s">
        <v>38</v>
      </c>
      <c r="X1370" s="2" t="s">
        <v>38</v>
      </c>
      <c r="Y1370" s="2" t="s">
        <v>38</v>
      </c>
      <c r="Z1370" s="2" t="s">
        <v>38</v>
      </c>
      <c r="AA1370" s="2" t="s">
        <v>38</v>
      </c>
      <c r="AB1370" s="2" t="s">
        <v>38</v>
      </c>
      <c r="AC1370" s="2" t="s">
        <v>38</v>
      </c>
      <c r="AD1370" s="2" t="s">
        <v>38</v>
      </c>
      <c r="AE1370" s="2" t="s">
        <v>39</v>
      </c>
    </row>
    <row r="1371" spans="1:31" ht="409.5">
      <c r="A1371" s="2">
        <v>2582582</v>
      </c>
      <c r="B1371" s="2">
        <f>HYPERLINK("https://platform.v2.vetology.net/cases/2582582/screening-report/18?type=pdf&amp;v=v6&amp;scorecard=1&amp;secret_key=BX%25IJ%24%2F65ieZ%29f6", 2582582)</f>
        <v>2582582</v>
      </c>
      <c r="C1371" s="2">
        <f>HYPERLINK("https://platform.v2.vetology.net/report/v/final/"&amp;2582582, 2582582)</f>
        <v>2582582</v>
      </c>
      <c r="D1371" s="2" t="s">
        <v>414</v>
      </c>
      <c r="E1371" s="2" t="s">
        <v>1093</v>
      </c>
      <c r="F1371" s="2" t="s">
        <v>789</v>
      </c>
      <c r="G1371" s="2" t="s">
        <v>135</v>
      </c>
      <c r="H1371" s="2" t="s">
        <v>54</v>
      </c>
      <c r="I1371" s="2" t="s">
        <v>44</v>
      </c>
      <c r="J1371" s="2"/>
      <c r="K1371" s="2" t="s">
        <v>38</v>
      </c>
      <c r="L1371" s="2" t="s">
        <v>39</v>
      </c>
      <c r="M1371" s="2" t="s">
        <v>39</v>
      </c>
      <c r="N1371" s="2" t="s">
        <v>38</v>
      </c>
      <c r="O1371" s="2" t="s">
        <v>38</v>
      </c>
      <c r="P1371" s="2" t="s">
        <v>39</v>
      </c>
      <c r="Q1371" s="2" t="s">
        <v>38</v>
      </c>
      <c r="R1371" s="2" t="s">
        <v>38</v>
      </c>
      <c r="S1371" s="2" t="s">
        <v>38</v>
      </c>
      <c r="T1371" s="2" t="s">
        <v>38</v>
      </c>
      <c r="U1371" s="2" t="s">
        <v>38</v>
      </c>
      <c r="V1371" s="2" t="s">
        <v>38</v>
      </c>
      <c r="W1371" s="2" t="s">
        <v>38</v>
      </c>
      <c r="X1371" s="2" t="s">
        <v>38</v>
      </c>
      <c r="Y1371" s="2" t="s">
        <v>38</v>
      </c>
      <c r="Z1371" s="2" t="s">
        <v>38</v>
      </c>
      <c r="AA1371" s="2" t="s">
        <v>38</v>
      </c>
      <c r="AB1371" s="2" t="s">
        <v>38</v>
      </c>
      <c r="AC1371" s="2" t="s">
        <v>38</v>
      </c>
      <c r="AD1371" s="2" t="s">
        <v>38</v>
      </c>
      <c r="AE1371" s="2" t="s">
        <v>38</v>
      </c>
    </row>
    <row r="1372" spans="1:31" ht="409.5">
      <c r="A1372" s="2">
        <v>2582316</v>
      </c>
      <c r="B1372" s="2">
        <f>HYPERLINK("https://platform.v2.vetology.net/cases/2582316/screening-report/18?type=pdf&amp;v=v6&amp;scorecard=1&amp;secret_key=BX%25IJ%24%2F65ieZ%29f6", 2582316)</f>
        <v>2582316</v>
      </c>
      <c r="C1372" s="2">
        <f>HYPERLINK("https://platform.v2.vetology.net/report/v/final/"&amp;2582316, 2582316)</f>
        <v>2582316</v>
      </c>
      <c r="D1372" s="2" t="s">
        <v>758</v>
      </c>
      <c r="E1372" s="2" t="s">
        <v>387</v>
      </c>
      <c r="F1372" s="2" t="s">
        <v>149</v>
      </c>
      <c r="G1372" s="2" t="s">
        <v>150</v>
      </c>
      <c r="H1372" s="2" t="s">
        <v>3946</v>
      </c>
      <c r="I1372" s="2" t="s">
        <v>503</v>
      </c>
      <c r="J1372" s="2" t="s">
        <v>66</v>
      </c>
      <c r="K1372" s="2" t="s">
        <v>38</v>
      </c>
      <c r="L1372" s="2" t="s">
        <v>39</v>
      </c>
      <c r="M1372" s="2" t="s">
        <v>38</v>
      </c>
      <c r="N1372" s="2" t="s">
        <v>39</v>
      </c>
      <c r="O1372" s="2" t="s">
        <v>38</v>
      </c>
      <c r="P1372" s="2" t="s">
        <v>39</v>
      </c>
      <c r="Q1372" s="2" t="s">
        <v>38</v>
      </c>
      <c r="R1372" s="2" t="s">
        <v>38</v>
      </c>
      <c r="S1372" s="2" t="s">
        <v>38</v>
      </c>
      <c r="T1372" s="2" t="s">
        <v>38</v>
      </c>
      <c r="U1372" s="2" t="s">
        <v>39</v>
      </c>
      <c r="V1372" s="2" t="s">
        <v>38</v>
      </c>
      <c r="W1372" s="2" t="s">
        <v>38</v>
      </c>
      <c r="X1372" s="2" t="s">
        <v>38</v>
      </c>
      <c r="Y1372" s="2" t="s">
        <v>38</v>
      </c>
      <c r="Z1372" s="2" t="s">
        <v>38</v>
      </c>
      <c r="AA1372" s="2" t="s">
        <v>38</v>
      </c>
      <c r="AB1372" s="2" t="s">
        <v>39</v>
      </c>
      <c r="AC1372" s="2" t="s">
        <v>39</v>
      </c>
      <c r="AD1372" s="2" t="s">
        <v>38</v>
      </c>
      <c r="AE1372" s="2" t="s">
        <v>38</v>
      </c>
    </row>
    <row r="1373" spans="1:31" ht="409.5">
      <c r="A1373" s="2">
        <v>2582163</v>
      </c>
      <c r="B1373" s="2">
        <f>HYPERLINK("https://platform.v2.vetology.net/cases/2582163/screening-report/18?type=pdf&amp;v=v6&amp;scorecard=1&amp;secret_key=BX%25IJ%24%2F65ieZ%29f6", 2582163)</f>
        <v>2582163</v>
      </c>
      <c r="C1373" s="2">
        <f>HYPERLINK("https://platform.v2.vetology.net/report/v/final/"&amp;2582163, 2582163)</f>
        <v>2582163</v>
      </c>
      <c r="D1373" s="2" t="s">
        <v>3947</v>
      </c>
      <c r="E1373" s="2" t="s">
        <v>3948</v>
      </c>
      <c r="F1373" s="2" t="s">
        <v>3949</v>
      </c>
      <c r="G1373" s="2" t="s">
        <v>58</v>
      </c>
      <c r="H1373" s="2" t="s">
        <v>860</v>
      </c>
      <c r="I1373" s="2" t="s">
        <v>145</v>
      </c>
      <c r="J1373" s="2" t="s">
        <v>146</v>
      </c>
      <c r="K1373" s="2" t="s">
        <v>38</v>
      </c>
      <c r="L1373" s="2" t="s">
        <v>39</v>
      </c>
      <c r="M1373" s="2" t="s">
        <v>39</v>
      </c>
      <c r="N1373" s="2" t="s">
        <v>38</v>
      </c>
      <c r="O1373" s="2" t="s">
        <v>38</v>
      </c>
      <c r="P1373" s="2" t="s">
        <v>39</v>
      </c>
      <c r="Q1373" s="2" t="s">
        <v>39</v>
      </c>
      <c r="R1373" s="2" t="s">
        <v>38</v>
      </c>
      <c r="S1373" s="2" t="s">
        <v>38</v>
      </c>
      <c r="T1373" s="2" t="s">
        <v>39</v>
      </c>
      <c r="U1373" s="2" t="s">
        <v>38</v>
      </c>
      <c r="V1373" s="2" t="s">
        <v>38</v>
      </c>
      <c r="W1373" s="2" t="s">
        <v>38</v>
      </c>
      <c r="X1373" s="2" t="s">
        <v>39</v>
      </c>
      <c r="Y1373" s="2" t="s">
        <v>38</v>
      </c>
      <c r="Z1373" s="2" t="s">
        <v>38</v>
      </c>
      <c r="AA1373" s="2" t="s">
        <v>38</v>
      </c>
      <c r="AB1373" s="2" t="s">
        <v>39</v>
      </c>
      <c r="AC1373" s="2" t="s">
        <v>38</v>
      </c>
      <c r="AD1373" s="2" t="s">
        <v>38</v>
      </c>
      <c r="AE1373" s="2" t="s">
        <v>38</v>
      </c>
    </row>
    <row r="1374" spans="1:31" ht="409.5">
      <c r="A1374" s="2">
        <v>2582082</v>
      </c>
      <c r="B1374" s="2">
        <f>HYPERLINK("https://platform.v2.vetology.net/cases/2582082/screening-report/18?type=pdf&amp;v=v6&amp;scorecard=1&amp;secret_key=BX%25IJ%24%2F65ieZ%29f6", 2582082)</f>
        <v>2582082</v>
      </c>
      <c r="C1374" s="2">
        <f>HYPERLINK("https://platform.v2.vetology.net/report/v/final/"&amp;2582082, 2582082)</f>
        <v>2582082</v>
      </c>
      <c r="D1374" s="2" t="s">
        <v>3950</v>
      </c>
      <c r="E1374" s="2" t="s">
        <v>387</v>
      </c>
      <c r="F1374" s="2" t="s">
        <v>149</v>
      </c>
      <c r="G1374" s="2" t="s">
        <v>150</v>
      </c>
      <c r="H1374" s="2" t="s">
        <v>1205</v>
      </c>
      <c r="I1374" s="2" t="s">
        <v>245</v>
      </c>
      <c r="J1374" s="2" t="s">
        <v>246</v>
      </c>
      <c r="K1374" s="2" t="s">
        <v>38</v>
      </c>
      <c r="L1374" s="2" t="s">
        <v>39</v>
      </c>
      <c r="M1374" s="2" t="s">
        <v>39</v>
      </c>
      <c r="N1374" s="2" t="s">
        <v>38</v>
      </c>
      <c r="O1374" s="2" t="s">
        <v>39</v>
      </c>
      <c r="P1374" s="2" t="s">
        <v>39</v>
      </c>
      <c r="Q1374" s="2" t="s">
        <v>38</v>
      </c>
      <c r="R1374" s="2" t="s">
        <v>38</v>
      </c>
      <c r="S1374" s="2" t="s">
        <v>39</v>
      </c>
      <c r="T1374" s="2" t="s">
        <v>39</v>
      </c>
      <c r="U1374" s="2" t="s">
        <v>38</v>
      </c>
      <c r="V1374" s="2" t="s">
        <v>39</v>
      </c>
      <c r="W1374" s="2" t="s">
        <v>38</v>
      </c>
      <c r="X1374" s="2" t="s">
        <v>39</v>
      </c>
      <c r="Y1374" s="2" t="s">
        <v>38</v>
      </c>
      <c r="Z1374" s="2" t="s">
        <v>38</v>
      </c>
      <c r="AA1374" s="2" t="s">
        <v>38</v>
      </c>
      <c r="AB1374" s="2" t="s">
        <v>39</v>
      </c>
      <c r="AC1374" s="2" t="s">
        <v>38</v>
      </c>
      <c r="AD1374" s="2" t="s">
        <v>38</v>
      </c>
      <c r="AE1374" s="2" t="s">
        <v>39</v>
      </c>
    </row>
    <row r="1375" spans="1:31" ht="409.5">
      <c r="A1375" s="2">
        <v>2582061</v>
      </c>
      <c r="B1375" s="2">
        <f>HYPERLINK("https://platform.v2.vetology.net/cases/2582061/screening-report/18?type=pdf&amp;v=v6&amp;scorecard=1&amp;secret_key=BX%25IJ%24%2F65ieZ%29f6", 2582061)</f>
        <v>2582061</v>
      </c>
      <c r="C1375" s="2">
        <f>HYPERLINK("https://platform.v2.vetology.net/report/v/final/"&amp;2582061, 2582061)</f>
        <v>2582061</v>
      </c>
      <c r="D1375" s="2" t="s">
        <v>3951</v>
      </c>
      <c r="E1375" s="2" t="s">
        <v>3952</v>
      </c>
      <c r="F1375" s="2" t="s">
        <v>81</v>
      </c>
      <c r="G1375" s="2" t="s">
        <v>82</v>
      </c>
      <c r="H1375" s="2" t="s">
        <v>54</v>
      </c>
      <c r="I1375" s="2" t="s">
        <v>44</v>
      </c>
      <c r="J1375" s="2" t="s">
        <v>106</v>
      </c>
      <c r="K1375" s="2" t="s">
        <v>38</v>
      </c>
      <c r="L1375" s="2" t="s">
        <v>38</v>
      </c>
      <c r="M1375" s="2" t="s">
        <v>39</v>
      </c>
      <c r="N1375" s="2" t="s">
        <v>38</v>
      </c>
      <c r="O1375" s="2" t="s">
        <v>38</v>
      </c>
      <c r="P1375" s="2" t="s">
        <v>39</v>
      </c>
      <c r="Q1375" s="2" t="s">
        <v>38</v>
      </c>
      <c r="R1375" s="2" t="s">
        <v>38</v>
      </c>
      <c r="S1375" s="2" t="s">
        <v>38</v>
      </c>
      <c r="T1375" s="2" t="s">
        <v>39</v>
      </c>
      <c r="U1375" s="2" t="s">
        <v>38</v>
      </c>
      <c r="V1375" s="2" t="s">
        <v>38</v>
      </c>
      <c r="W1375" s="2" t="s">
        <v>38</v>
      </c>
      <c r="X1375" s="2" t="s">
        <v>38</v>
      </c>
      <c r="Y1375" s="2" t="s">
        <v>38</v>
      </c>
      <c r="Z1375" s="2" t="s">
        <v>38</v>
      </c>
      <c r="AA1375" s="2" t="s">
        <v>38</v>
      </c>
      <c r="AB1375" s="2" t="s">
        <v>38</v>
      </c>
      <c r="AC1375" s="2" t="s">
        <v>38</v>
      </c>
      <c r="AD1375" s="2" t="s">
        <v>38</v>
      </c>
      <c r="AE1375" s="2" t="s">
        <v>38</v>
      </c>
    </row>
    <row r="1376" spans="1:31" ht="409.5">
      <c r="A1376" s="2">
        <v>2581639</v>
      </c>
      <c r="B1376" s="2">
        <f>HYPERLINK("https://platform.v2.vetology.net/cases/2581639/screening-report/18?type=pdf&amp;v=v6&amp;scorecard=1&amp;secret_key=BX%25IJ%24%2F65ieZ%29f6", 2581639)</f>
        <v>2581639</v>
      </c>
      <c r="C1376" s="2">
        <f>HYPERLINK("https://platform.v2.vetology.net/report/v/final/"&amp;2581639, 2581639)</f>
        <v>2581639</v>
      </c>
      <c r="D1376" s="2" t="s">
        <v>3953</v>
      </c>
      <c r="E1376" s="2" t="s">
        <v>3954</v>
      </c>
      <c r="F1376" s="2" t="s">
        <v>2699</v>
      </c>
      <c r="G1376" s="2" t="s">
        <v>150</v>
      </c>
      <c r="H1376" s="2" t="s">
        <v>78</v>
      </c>
      <c r="I1376" s="2" t="s">
        <v>44</v>
      </c>
      <c r="J1376" s="2" t="s">
        <v>106</v>
      </c>
      <c r="K1376" s="2" t="s">
        <v>38</v>
      </c>
      <c r="L1376" s="2" t="s">
        <v>38</v>
      </c>
      <c r="M1376" s="2" t="s">
        <v>38</v>
      </c>
      <c r="N1376" s="2" t="s">
        <v>38</v>
      </c>
      <c r="O1376" s="2" t="s">
        <v>38</v>
      </c>
      <c r="P1376" s="2" t="s">
        <v>38</v>
      </c>
      <c r="Q1376" s="2" t="s">
        <v>38</v>
      </c>
      <c r="R1376" s="2" t="s">
        <v>38</v>
      </c>
      <c r="S1376" s="2" t="s">
        <v>38</v>
      </c>
      <c r="T1376" s="2" t="s">
        <v>39</v>
      </c>
      <c r="U1376" s="2" t="s">
        <v>38</v>
      </c>
      <c r="V1376" s="2" t="s">
        <v>38</v>
      </c>
      <c r="W1376" s="2" t="s">
        <v>38</v>
      </c>
      <c r="X1376" s="2" t="s">
        <v>38</v>
      </c>
      <c r="Y1376" s="2" t="s">
        <v>38</v>
      </c>
      <c r="Z1376" s="2" t="s">
        <v>38</v>
      </c>
      <c r="AA1376" s="2" t="s">
        <v>38</v>
      </c>
      <c r="AB1376" s="2" t="s">
        <v>38</v>
      </c>
      <c r="AC1376" s="2" t="s">
        <v>38</v>
      </c>
      <c r="AD1376" s="2" t="s">
        <v>38</v>
      </c>
      <c r="AE1376" s="2" t="s">
        <v>38</v>
      </c>
    </row>
    <row r="1377" spans="1:31" ht="409.5">
      <c r="A1377" s="2">
        <v>2581355</v>
      </c>
      <c r="B1377" s="2">
        <f>HYPERLINK("https://platform.v2.vetology.net/cases/2581355/screening-report/18?type=pdf&amp;v=v6&amp;scorecard=1&amp;secret_key=BX%25IJ%24%2F65ieZ%29f6", 2581355)</f>
        <v>2581355</v>
      </c>
      <c r="C1377" s="2">
        <f>HYPERLINK("https://platform.v2.vetology.net/report/v/final/"&amp;2581355, 2581355)</f>
        <v>2581355</v>
      </c>
      <c r="D1377" s="2" t="s">
        <v>3955</v>
      </c>
      <c r="E1377" s="2" t="s">
        <v>3956</v>
      </c>
      <c r="F1377" s="2" t="s">
        <v>3957</v>
      </c>
      <c r="G1377" s="2" t="s">
        <v>464</v>
      </c>
      <c r="H1377" s="2" t="s">
        <v>822</v>
      </c>
      <c r="I1377" s="2" t="s">
        <v>36</v>
      </c>
      <c r="J1377" s="2" t="s">
        <v>37</v>
      </c>
      <c r="K1377" s="2" t="s">
        <v>38</v>
      </c>
      <c r="L1377" s="2" t="s">
        <v>38</v>
      </c>
      <c r="M1377" s="2" t="s">
        <v>38</v>
      </c>
      <c r="N1377" s="2" t="s">
        <v>38</v>
      </c>
      <c r="O1377" s="2" t="s">
        <v>38</v>
      </c>
      <c r="P1377" s="2" t="s">
        <v>38</v>
      </c>
      <c r="Q1377" s="2" t="s">
        <v>38</v>
      </c>
      <c r="R1377" s="2" t="s">
        <v>38</v>
      </c>
      <c r="S1377" s="2" t="s">
        <v>38</v>
      </c>
      <c r="T1377" s="2" t="s">
        <v>38</v>
      </c>
      <c r="U1377" s="2" t="s">
        <v>38</v>
      </c>
      <c r="V1377" s="2" t="s">
        <v>38</v>
      </c>
      <c r="W1377" s="2" t="s">
        <v>38</v>
      </c>
      <c r="X1377" s="2" t="s">
        <v>38</v>
      </c>
      <c r="Y1377" s="2" t="s">
        <v>38</v>
      </c>
      <c r="Z1377" s="2" t="s">
        <v>38</v>
      </c>
      <c r="AA1377" s="2" t="s">
        <v>38</v>
      </c>
      <c r="AB1377" s="2" t="s">
        <v>38</v>
      </c>
      <c r="AC1377" s="2" t="s">
        <v>38</v>
      </c>
      <c r="AD1377" s="2" t="s">
        <v>38</v>
      </c>
      <c r="AE1377" s="2" t="s">
        <v>38</v>
      </c>
    </row>
    <row r="1378" spans="1:31" ht="409.5">
      <c r="A1378" s="2">
        <v>2581036</v>
      </c>
      <c r="B1378" s="2">
        <f>HYPERLINK("https://platform.v2.vetology.net/cases/2581036/screening-report/18?type=pdf&amp;v=v6&amp;scorecard=1&amp;secret_key=BX%25IJ%24%2F65ieZ%29f6", 2581036)</f>
        <v>2581036</v>
      </c>
      <c r="C1378" s="2">
        <f>HYPERLINK("https://platform.v2.vetology.net/report/v/final/"&amp;2581036, 2581036)</f>
        <v>2581036</v>
      </c>
      <c r="D1378" s="2" t="s">
        <v>3958</v>
      </c>
      <c r="E1378" s="2" t="s">
        <v>3959</v>
      </c>
      <c r="F1378" s="2" t="s">
        <v>698</v>
      </c>
      <c r="G1378" s="2" t="s">
        <v>150</v>
      </c>
      <c r="H1378" s="2" t="s">
        <v>244</v>
      </c>
      <c r="I1378" s="2" t="s">
        <v>245</v>
      </c>
      <c r="J1378" s="2" t="s">
        <v>246</v>
      </c>
      <c r="K1378" s="2" t="s">
        <v>38</v>
      </c>
      <c r="L1378" s="2" t="s">
        <v>39</v>
      </c>
      <c r="M1378" s="2" t="s">
        <v>39</v>
      </c>
      <c r="N1378" s="2" t="s">
        <v>39</v>
      </c>
      <c r="O1378" s="2" t="s">
        <v>38</v>
      </c>
      <c r="P1378" s="2" t="s">
        <v>39</v>
      </c>
      <c r="Q1378" s="2" t="s">
        <v>38</v>
      </c>
      <c r="R1378" s="2" t="s">
        <v>38</v>
      </c>
      <c r="S1378" s="2" t="s">
        <v>39</v>
      </c>
      <c r="T1378" s="2" t="s">
        <v>39</v>
      </c>
      <c r="U1378" s="2" t="s">
        <v>38</v>
      </c>
      <c r="V1378" s="2" t="s">
        <v>39</v>
      </c>
      <c r="W1378" s="2" t="s">
        <v>38</v>
      </c>
      <c r="X1378" s="2" t="s">
        <v>39</v>
      </c>
      <c r="Y1378" s="2" t="s">
        <v>38</v>
      </c>
      <c r="Z1378" s="2" t="s">
        <v>39</v>
      </c>
      <c r="AA1378" s="2" t="s">
        <v>38</v>
      </c>
      <c r="AB1378" s="2" t="s">
        <v>39</v>
      </c>
      <c r="AC1378" s="2" t="s">
        <v>38</v>
      </c>
      <c r="AD1378" s="2" t="s">
        <v>38</v>
      </c>
      <c r="AE1378" s="2" t="s">
        <v>38</v>
      </c>
    </row>
    <row r="1379" spans="1:31" ht="409.5">
      <c r="A1379" s="2">
        <v>2581034</v>
      </c>
      <c r="B1379" s="2">
        <f>HYPERLINK("https://platform.v2.vetology.net/cases/2581034/screening-report/18?type=pdf&amp;v=v6&amp;scorecard=1&amp;secret_key=BX%25IJ%24%2F65ieZ%29f6", 2581034)</f>
        <v>2581034</v>
      </c>
      <c r="C1379" s="2">
        <f>HYPERLINK("https://platform.v2.vetology.net/report/v/final/"&amp;2581034, 2581034)</f>
        <v>2581034</v>
      </c>
      <c r="D1379" s="2" t="s">
        <v>386</v>
      </c>
      <c r="E1379" s="2" t="s">
        <v>3960</v>
      </c>
      <c r="F1379" s="2" t="s">
        <v>149</v>
      </c>
      <c r="G1379" s="2" t="s">
        <v>150</v>
      </c>
      <c r="H1379" s="2" t="s">
        <v>680</v>
      </c>
      <c r="I1379" s="2" t="s">
        <v>681</v>
      </c>
      <c r="J1379" s="2" t="s">
        <v>50</v>
      </c>
      <c r="K1379" s="2" t="s">
        <v>38</v>
      </c>
      <c r="L1379" s="2" t="s">
        <v>38</v>
      </c>
      <c r="M1379" s="2" t="s">
        <v>39</v>
      </c>
      <c r="N1379" s="2" t="s">
        <v>38</v>
      </c>
      <c r="O1379" s="2" t="s">
        <v>38</v>
      </c>
      <c r="P1379" s="2" t="s">
        <v>38</v>
      </c>
      <c r="Q1379" s="2" t="s">
        <v>38</v>
      </c>
      <c r="R1379" s="2" t="s">
        <v>38</v>
      </c>
      <c r="S1379" s="2" t="s">
        <v>39</v>
      </c>
      <c r="T1379" s="2" t="s">
        <v>39</v>
      </c>
      <c r="U1379" s="2" t="s">
        <v>38</v>
      </c>
      <c r="V1379" s="2" t="s">
        <v>39</v>
      </c>
      <c r="W1379" s="2" t="s">
        <v>38</v>
      </c>
      <c r="X1379" s="2" t="s">
        <v>39</v>
      </c>
      <c r="Y1379" s="2" t="s">
        <v>38</v>
      </c>
      <c r="Z1379" s="2" t="s">
        <v>38</v>
      </c>
      <c r="AA1379" s="2" t="s">
        <v>38</v>
      </c>
      <c r="AB1379" s="2" t="s">
        <v>38</v>
      </c>
      <c r="AC1379" s="2" t="s">
        <v>38</v>
      </c>
      <c r="AD1379" s="2" t="s">
        <v>38</v>
      </c>
      <c r="AE1379" s="2" t="s">
        <v>39</v>
      </c>
    </row>
    <row r="1380" spans="1:31" ht="409.5">
      <c r="A1380" s="2">
        <v>2580941</v>
      </c>
      <c r="B1380" s="2">
        <f>HYPERLINK("https://platform.v2.vetology.net/cases/2580941/screening-report/18?type=pdf&amp;v=v6&amp;scorecard=1&amp;secret_key=BX%25IJ%24%2F65ieZ%29f6", 2580941)</f>
        <v>2580941</v>
      </c>
      <c r="C1380" s="2">
        <f>HYPERLINK("https://platform.v2.vetology.net/report/v/final/"&amp;2580941, 2580941)</f>
        <v>2580941</v>
      </c>
      <c r="D1380" s="2" t="s">
        <v>414</v>
      </c>
      <c r="E1380" s="2" t="s">
        <v>1093</v>
      </c>
      <c r="F1380" s="2" t="s">
        <v>3961</v>
      </c>
      <c r="G1380" s="2" t="s">
        <v>135</v>
      </c>
      <c r="H1380" s="2" t="s">
        <v>2320</v>
      </c>
      <c r="I1380" s="2" t="s">
        <v>137</v>
      </c>
      <c r="J1380" s="2" t="s">
        <v>66</v>
      </c>
      <c r="K1380" s="2" t="s">
        <v>38</v>
      </c>
      <c r="L1380" s="2" t="s">
        <v>39</v>
      </c>
      <c r="M1380" s="2" t="s">
        <v>39</v>
      </c>
      <c r="N1380" s="2" t="s">
        <v>38</v>
      </c>
      <c r="O1380" s="2" t="s">
        <v>38</v>
      </c>
      <c r="P1380" s="2" t="s">
        <v>39</v>
      </c>
      <c r="Q1380" s="2" t="s">
        <v>38</v>
      </c>
      <c r="R1380" s="2" t="s">
        <v>38</v>
      </c>
      <c r="S1380" s="2" t="s">
        <v>38</v>
      </c>
      <c r="T1380" s="2" t="s">
        <v>38</v>
      </c>
      <c r="U1380" s="2" t="s">
        <v>38</v>
      </c>
      <c r="V1380" s="2" t="s">
        <v>38</v>
      </c>
      <c r="W1380" s="2" t="s">
        <v>38</v>
      </c>
      <c r="X1380" s="2" t="s">
        <v>38</v>
      </c>
      <c r="Y1380" s="2" t="s">
        <v>38</v>
      </c>
      <c r="Z1380" s="2" t="s">
        <v>38</v>
      </c>
      <c r="AA1380" s="2" t="s">
        <v>38</v>
      </c>
      <c r="AB1380" s="2" t="s">
        <v>38</v>
      </c>
      <c r="AC1380" s="2" t="s">
        <v>38</v>
      </c>
      <c r="AD1380" s="2" t="s">
        <v>38</v>
      </c>
      <c r="AE1380" s="2" t="s">
        <v>39</v>
      </c>
    </row>
    <row r="1381" spans="1:31" ht="409.5">
      <c r="A1381" s="2">
        <v>2580895</v>
      </c>
      <c r="B1381" s="2">
        <f>HYPERLINK("https://platform.v2.vetology.net/cases/2580895/screening-report/18?type=pdf&amp;v=v6&amp;scorecard=1&amp;secret_key=BX%25IJ%24%2F65ieZ%29f6", 2580895)</f>
        <v>2580895</v>
      </c>
      <c r="C1381" s="2">
        <f>HYPERLINK("https://platform.v2.vetology.net/report/v/final/"&amp;2580895, 2580895)</f>
        <v>2580895</v>
      </c>
      <c r="D1381" s="2" t="s">
        <v>3962</v>
      </c>
      <c r="E1381" s="2" t="s">
        <v>3963</v>
      </c>
      <c r="F1381" s="2" t="s">
        <v>3964</v>
      </c>
      <c r="G1381" s="2" t="s">
        <v>63</v>
      </c>
      <c r="H1381" s="2" t="s">
        <v>71</v>
      </c>
      <c r="I1381" s="2" t="s">
        <v>44</v>
      </c>
      <c r="J1381" s="2"/>
      <c r="K1381" s="2" t="s">
        <v>38</v>
      </c>
      <c r="L1381" s="2" t="s">
        <v>39</v>
      </c>
      <c r="M1381" s="2" t="s">
        <v>39</v>
      </c>
      <c r="N1381" s="2" t="s">
        <v>38</v>
      </c>
      <c r="O1381" s="2" t="s">
        <v>38</v>
      </c>
      <c r="P1381" s="2" t="s">
        <v>39</v>
      </c>
      <c r="Q1381" s="2" t="s">
        <v>39</v>
      </c>
      <c r="R1381" s="2" t="s">
        <v>38</v>
      </c>
      <c r="S1381" s="2" t="s">
        <v>38</v>
      </c>
      <c r="T1381" s="2" t="s">
        <v>38</v>
      </c>
      <c r="U1381" s="2" t="s">
        <v>38</v>
      </c>
      <c r="V1381" s="2" t="s">
        <v>38</v>
      </c>
      <c r="W1381" s="2" t="s">
        <v>38</v>
      </c>
      <c r="X1381" s="2" t="s">
        <v>38</v>
      </c>
      <c r="Y1381" s="2" t="s">
        <v>38</v>
      </c>
      <c r="Z1381" s="2" t="s">
        <v>38</v>
      </c>
      <c r="AA1381" s="2" t="s">
        <v>38</v>
      </c>
      <c r="AB1381" s="2" t="s">
        <v>39</v>
      </c>
      <c r="AC1381" s="2" t="s">
        <v>38</v>
      </c>
      <c r="AD1381" s="2" t="s">
        <v>38</v>
      </c>
      <c r="AE1381" s="2" t="s">
        <v>38</v>
      </c>
    </row>
    <row r="1382" spans="1:31" ht="409.5">
      <c r="A1382" s="2">
        <v>2580805</v>
      </c>
      <c r="B1382" s="2">
        <f>HYPERLINK("https://platform.v2.vetology.net/cases/2580805/screening-report/18?type=pdf&amp;v=v6&amp;scorecard=1&amp;secret_key=BX%25IJ%24%2F65ieZ%29f6", 2580805)</f>
        <v>2580805</v>
      </c>
      <c r="C1382" s="2">
        <f>HYPERLINK("https://platform.v2.vetology.net/report/v/final/"&amp;2580805, 2580805)</f>
        <v>2580805</v>
      </c>
      <c r="D1382" s="2" t="s">
        <v>3965</v>
      </c>
      <c r="E1382" s="2" t="s">
        <v>3966</v>
      </c>
      <c r="F1382" s="2" t="s">
        <v>1444</v>
      </c>
      <c r="G1382" s="2" t="s">
        <v>464</v>
      </c>
      <c r="H1382" s="2" t="s">
        <v>339</v>
      </c>
      <c r="I1382" s="2" t="s">
        <v>124</v>
      </c>
      <c r="J1382" s="2" t="s">
        <v>125</v>
      </c>
      <c r="K1382" s="2" t="s">
        <v>38</v>
      </c>
      <c r="L1382" s="2" t="s">
        <v>39</v>
      </c>
      <c r="M1382" s="2" t="s">
        <v>39</v>
      </c>
      <c r="N1382" s="2" t="s">
        <v>38</v>
      </c>
      <c r="O1382" s="2" t="s">
        <v>38</v>
      </c>
      <c r="P1382" s="2" t="s">
        <v>38</v>
      </c>
      <c r="Q1382" s="2" t="s">
        <v>38</v>
      </c>
      <c r="R1382" s="2" t="s">
        <v>38</v>
      </c>
      <c r="S1382" s="2" t="s">
        <v>39</v>
      </c>
      <c r="T1382" s="2" t="s">
        <v>38</v>
      </c>
      <c r="U1382" s="2" t="s">
        <v>38</v>
      </c>
      <c r="V1382" s="2" t="s">
        <v>39</v>
      </c>
      <c r="W1382" s="2" t="s">
        <v>38</v>
      </c>
      <c r="X1382" s="2" t="s">
        <v>39</v>
      </c>
      <c r="Y1382" s="2" t="s">
        <v>38</v>
      </c>
      <c r="Z1382" s="2" t="s">
        <v>38</v>
      </c>
      <c r="AA1382" s="2" t="s">
        <v>38</v>
      </c>
      <c r="AB1382" s="2" t="s">
        <v>39</v>
      </c>
      <c r="AC1382" s="2" t="s">
        <v>39</v>
      </c>
      <c r="AD1382" s="2" t="s">
        <v>38</v>
      </c>
      <c r="AE1382" s="2" t="s">
        <v>38</v>
      </c>
    </row>
    <row r="1383" spans="1:31" ht="409.5">
      <c r="A1383" s="2">
        <v>2580649</v>
      </c>
      <c r="B1383" s="2">
        <f>HYPERLINK("https://platform.v2.vetology.net/cases/2580649/screening-report/18?type=pdf&amp;v=v6&amp;scorecard=1&amp;secret_key=BX%25IJ%24%2F65ieZ%29f6", 2580649)</f>
        <v>2580649</v>
      </c>
      <c r="C1383" s="2">
        <f>HYPERLINK("https://platform.v2.vetology.net/report/v/final/"&amp;2580649, 2580649)</f>
        <v>2580649</v>
      </c>
      <c r="D1383" s="2" t="s">
        <v>3967</v>
      </c>
      <c r="E1383" s="2" t="s">
        <v>387</v>
      </c>
      <c r="F1383" s="2" t="s">
        <v>149</v>
      </c>
      <c r="G1383" s="2" t="s">
        <v>150</v>
      </c>
      <c r="H1383" s="2" t="s">
        <v>3921</v>
      </c>
      <c r="I1383" s="2" t="s">
        <v>227</v>
      </c>
      <c r="J1383" s="2" t="s">
        <v>228</v>
      </c>
      <c r="K1383" s="2" t="s">
        <v>38</v>
      </c>
      <c r="L1383" s="2" t="s">
        <v>39</v>
      </c>
      <c r="M1383" s="2" t="s">
        <v>38</v>
      </c>
      <c r="N1383" s="2" t="s">
        <v>39</v>
      </c>
      <c r="O1383" s="2" t="s">
        <v>38</v>
      </c>
      <c r="P1383" s="2" t="s">
        <v>38</v>
      </c>
      <c r="Q1383" s="2" t="s">
        <v>38</v>
      </c>
      <c r="R1383" s="2" t="s">
        <v>38</v>
      </c>
      <c r="S1383" s="2" t="s">
        <v>39</v>
      </c>
      <c r="T1383" s="2" t="s">
        <v>39</v>
      </c>
      <c r="U1383" s="2" t="s">
        <v>39</v>
      </c>
      <c r="V1383" s="2" t="s">
        <v>39</v>
      </c>
      <c r="W1383" s="2" t="s">
        <v>38</v>
      </c>
      <c r="X1383" s="2" t="s">
        <v>39</v>
      </c>
      <c r="Y1383" s="2" t="s">
        <v>38</v>
      </c>
      <c r="Z1383" s="2" t="s">
        <v>39</v>
      </c>
      <c r="AA1383" s="2" t="s">
        <v>38</v>
      </c>
      <c r="AB1383" s="2" t="s">
        <v>39</v>
      </c>
      <c r="AC1383" s="2" t="s">
        <v>39</v>
      </c>
      <c r="AD1383" s="2" t="s">
        <v>38</v>
      </c>
      <c r="AE1383" s="2" t="s">
        <v>38</v>
      </c>
    </row>
    <row r="1384" spans="1:31" ht="409.5">
      <c r="A1384" s="2">
        <v>2580250</v>
      </c>
      <c r="B1384" s="2">
        <f>HYPERLINK("https://platform.v2.vetology.net/cases/2580250/screening-report/18?type=pdf&amp;v=v6&amp;scorecard=1&amp;secret_key=BX%25IJ%24%2F65ieZ%29f6", 2580250)</f>
        <v>2580250</v>
      </c>
      <c r="C1384" s="2">
        <f>HYPERLINK("https://platform.v2.vetology.net/report/v/final/"&amp;2580250, 2580250)</f>
        <v>2580250</v>
      </c>
      <c r="D1384" s="2" t="s">
        <v>3968</v>
      </c>
      <c r="E1384" s="2" t="s">
        <v>3969</v>
      </c>
      <c r="F1384" s="2"/>
      <c r="G1384" s="2" t="s">
        <v>150</v>
      </c>
      <c r="H1384" s="2" t="s">
        <v>180</v>
      </c>
      <c r="I1384" s="2" t="s">
        <v>124</v>
      </c>
      <c r="J1384" s="2" t="s">
        <v>125</v>
      </c>
      <c r="K1384" s="2" t="s">
        <v>38</v>
      </c>
      <c r="L1384" s="2" t="s">
        <v>38</v>
      </c>
      <c r="M1384" s="2" t="s">
        <v>39</v>
      </c>
      <c r="N1384" s="2" t="s">
        <v>38</v>
      </c>
      <c r="O1384" s="2" t="s">
        <v>38</v>
      </c>
      <c r="P1384" s="2" t="s">
        <v>38</v>
      </c>
      <c r="Q1384" s="2" t="s">
        <v>38</v>
      </c>
      <c r="R1384" s="2" t="s">
        <v>38</v>
      </c>
      <c r="S1384" s="2" t="s">
        <v>38</v>
      </c>
      <c r="T1384" s="2" t="s">
        <v>39</v>
      </c>
      <c r="U1384" s="2" t="s">
        <v>38</v>
      </c>
      <c r="V1384" s="2" t="s">
        <v>39</v>
      </c>
      <c r="W1384" s="2" t="s">
        <v>38</v>
      </c>
      <c r="X1384" s="2" t="s">
        <v>39</v>
      </c>
      <c r="Y1384" s="2" t="s">
        <v>38</v>
      </c>
      <c r="Z1384" s="2" t="s">
        <v>38</v>
      </c>
      <c r="AA1384" s="2" t="s">
        <v>38</v>
      </c>
      <c r="AB1384" s="2" t="s">
        <v>39</v>
      </c>
      <c r="AC1384" s="2" t="s">
        <v>39</v>
      </c>
      <c r="AD1384" s="2" t="s">
        <v>38</v>
      </c>
      <c r="AE1384" s="2" t="s">
        <v>38</v>
      </c>
    </row>
    <row r="1385" spans="1:31" ht="409.5">
      <c r="A1385" s="2">
        <v>2579946</v>
      </c>
      <c r="B1385" s="2">
        <f>HYPERLINK("https://platform.v2.vetology.net/cases/2579946/screening-report/18?type=pdf&amp;v=v6&amp;scorecard=1&amp;secret_key=BX%25IJ%24%2F65ieZ%29f6", 2579946)</f>
        <v>2579946</v>
      </c>
      <c r="C1385" s="2">
        <f>HYPERLINK("https://platform.v2.vetology.net/report/v/final/"&amp;2579946, 2579946)</f>
        <v>2579946</v>
      </c>
      <c r="D1385" s="2" t="s">
        <v>3970</v>
      </c>
      <c r="E1385" s="2" t="s">
        <v>3971</v>
      </c>
      <c r="F1385" s="2" t="s">
        <v>3972</v>
      </c>
      <c r="G1385" s="2" t="s">
        <v>63</v>
      </c>
      <c r="H1385" s="2" t="s">
        <v>218</v>
      </c>
      <c r="I1385" s="2" t="s">
        <v>137</v>
      </c>
      <c r="J1385" s="2" t="s">
        <v>66</v>
      </c>
      <c r="K1385" s="2" t="s">
        <v>38</v>
      </c>
      <c r="L1385" s="2" t="s">
        <v>39</v>
      </c>
      <c r="M1385" s="2" t="s">
        <v>39</v>
      </c>
      <c r="N1385" s="2" t="s">
        <v>39</v>
      </c>
      <c r="O1385" s="2" t="s">
        <v>38</v>
      </c>
      <c r="P1385" s="2" t="s">
        <v>39</v>
      </c>
      <c r="Q1385" s="2" t="s">
        <v>38</v>
      </c>
      <c r="R1385" s="2" t="s">
        <v>38</v>
      </c>
      <c r="S1385" s="2" t="s">
        <v>38</v>
      </c>
      <c r="T1385" s="2" t="s">
        <v>38</v>
      </c>
      <c r="U1385" s="2" t="s">
        <v>38</v>
      </c>
      <c r="V1385" s="2" t="s">
        <v>38</v>
      </c>
      <c r="W1385" s="2" t="s">
        <v>38</v>
      </c>
      <c r="X1385" s="2" t="s">
        <v>39</v>
      </c>
      <c r="Y1385" s="2" t="s">
        <v>38</v>
      </c>
      <c r="Z1385" s="2" t="s">
        <v>39</v>
      </c>
      <c r="AA1385" s="2" t="s">
        <v>38</v>
      </c>
      <c r="AB1385" s="2" t="s">
        <v>39</v>
      </c>
      <c r="AC1385" s="2" t="s">
        <v>39</v>
      </c>
      <c r="AD1385" s="2" t="s">
        <v>38</v>
      </c>
      <c r="AE1385" s="2" t="s">
        <v>39</v>
      </c>
    </row>
    <row r="1386" spans="1:31" ht="409.5">
      <c r="A1386" s="2">
        <v>2579795</v>
      </c>
      <c r="B1386" s="2">
        <f>HYPERLINK("https://platform.v2.vetology.net/cases/2579795/screening-report/18?type=pdf&amp;v=v6&amp;scorecard=1&amp;secret_key=BX%25IJ%24%2F65ieZ%29f6", 2579795)</f>
        <v>2579795</v>
      </c>
      <c r="C1386" s="2">
        <f>HYPERLINK("https://platform.v2.vetology.net/report/v/final/"&amp;2579795, 2579795)</f>
        <v>2579795</v>
      </c>
      <c r="D1386" s="2" t="s">
        <v>3973</v>
      </c>
      <c r="E1386" s="2" t="s">
        <v>3974</v>
      </c>
      <c r="F1386" s="2" t="s">
        <v>81</v>
      </c>
      <c r="G1386" s="2" t="s">
        <v>268</v>
      </c>
      <c r="H1386" s="2" t="s">
        <v>94</v>
      </c>
      <c r="I1386" s="2" t="s">
        <v>89</v>
      </c>
      <c r="J1386" s="2" t="s">
        <v>66</v>
      </c>
      <c r="K1386" s="2" t="s">
        <v>38</v>
      </c>
      <c r="L1386" s="2" t="s">
        <v>38</v>
      </c>
      <c r="M1386" s="2" t="s">
        <v>38</v>
      </c>
      <c r="N1386" s="2" t="s">
        <v>38</v>
      </c>
      <c r="O1386" s="2" t="s">
        <v>38</v>
      </c>
      <c r="P1386" s="2" t="s">
        <v>38</v>
      </c>
      <c r="Q1386" s="2" t="s">
        <v>38</v>
      </c>
      <c r="R1386" s="2" t="s">
        <v>38</v>
      </c>
      <c r="S1386" s="2" t="s">
        <v>38</v>
      </c>
      <c r="T1386" s="2" t="s">
        <v>39</v>
      </c>
      <c r="U1386" s="2" t="s">
        <v>38</v>
      </c>
      <c r="V1386" s="2" t="s">
        <v>39</v>
      </c>
      <c r="W1386" s="2" t="s">
        <v>38</v>
      </c>
      <c r="X1386" s="2" t="s">
        <v>39</v>
      </c>
      <c r="Y1386" s="2" t="s">
        <v>38</v>
      </c>
      <c r="Z1386" s="2" t="s">
        <v>38</v>
      </c>
      <c r="AA1386" s="2" t="s">
        <v>38</v>
      </c>
      <c r="AB1386" s="2" t="s">
        <v>38</v>
      </c>
      <c r="AC1386" s="2" t="s">
        <v>38</v>
      </c>
      <c r="AD1386" s="2" t="s">
        <v>38</v>
      </c>
      <c r="AE1386" s="2" t="s">
        <v>38</v>
      </c>
    </row>
    <row r="1387" spans="1:31" ht="409.5">
      <c r="A1387" s="2">
        <v>2579766</v>
      </c>
      <c r="B1387" s="2">
        <f>HYPERLINK("https://platform.v2.vetology.net/cases/2579766/screening-report/18?type=pdf&amp;v=v6&amp;scorecard=1&amp;secret_key=BX%25IJ%24%2F65ieZ%29f6", 2579766)</f>
        <v>2579766</v>
      </c>
      <c r="C1387" s="2">
        <f>HYPERLINK("https://platform.v2.vetology.net/report/v/final/"&amp;2579766, 2579766)</f>
        <v>2579766</v>
      </c>
      <c r="D1387" s="2" t="s">
        <v>3975</v>
      </c>
      <c r="E1387" s="2" t="s">
        <v>3976</v>
      </c>
      <c r="F1387" s="2" t="s">
        <v>81</v>
      </c>
      <c r="G1387" s="2" t="s">
        <v>268</v>
      </c>
      <c r="H1387" s="2" t="s">
        <v>3977</v>
      </c>
      <c r="I1387" s="2" t="s">
        <v>1091</v>
      </c>
      <c r="J1387" s="2" t="s">
        <v>50</v>
      </c>
      <c r="K1387" s="2" t="s">
        <v>39</v>
      </c>
      <c r="L1387" s="2" t="s">
        <v>39</v>
      </c>
      <c r="M1387" s="2" t="s">
        <v>39</v>
      </c>
      <c r="N1387" s="2" t="s">
        <v>38</v>
      </c>
      <c r="O1387" s="2" t="s">
        <v>39</v>
      </c>
      <c r="P1387" s="2" t="s">
        <v>39</v>
      </c>
      <c r="Q1387" s="2" t="s">
        <v>38</v>
      </c>
      <c r="R1387" s="2" t="s">
        <v>38</v>
      </c>
      <c r="S1387" s="2" t="s">
        <v>39</v>
      </c>
      <c r="T1387" s="2" t="s">
        <v>39</v>
      </c>
      <c r="U1387" s="2" t="s">
        <v>39</v>
      </c>
      <c r="V1387" s="2" t="s">
        <v>39</v>
      </c>
      <c r="W1387" s="2" t="s">
        <v>39</v>
      </c>
      <c r="X1387" s="2" t="s">
        <v>39</v>
      </c>
      <c r="Y1387" s="2" t="s">
        <v>38</v>
      </c>
      <c r="Z1387" s="2" t="s">
        <v>39</v>
      </c>
      <c r="AA1387" s="2" t="s">
        <v>39</v>
      </c>
      <c r="AB1387" s="2" t="s">
        <v>39</v>
      </c>
      <c r="AC1387" s="2" t="s">
        <v>39</v>
      </c>
      <c r="AD1387" s="2" t="s">
        <v>38</v>
      </c>
      <c r="AE1387" s="2" t="s">
        <v>38</v>
      </c>
    </row>
    <row r="1388" spans="1:31" ht="409.5">
      <c r="A1388" s="2">
        <v>2579762</v>
      </c>
      <c r="B1388" s="2">
        <f>HYPERLINK("https://platform.v2.vetology.net/cases/2579762/screening-report/18?type=pdf&amp;v=v6&amp;scorecard=1&amp;secret_key=BX%25IJ%24%2F65ieZ%29f6", 2579762)</f>
        <v>2579762</v>
      </c>
      <c r="C1388" s="2">
        <f>HYPERLINK("https://platform.v2.vetology.net/report/v/final/"&amp;2579762, 2579762)</f>
        <v>2579762</v>
      </c>
      <c r="D1388" s="2" t="s">
        <v>3978</v>
      </c>
      <c r="E1388" s="2" t="s">
        <v>3979</v>
      </c>
      <c r="F1388" s="2" t="s">
        <v>81</v>
      </c>
      <c r="G1388" s="2" t="s">
        <v>268</v>
      </c>
      <c r="H1388" s="2" t="s">
        <v>1147</v>
      </c>
      <c r="I1388" s="2" t="s">
        <v>190</v>
      </c>
      <c r="J1388" s="2" t="s">
        <v>112</v>
      </c>
      <c r="K1388" s="2" t="s">
        <v>38</v>
      </c>
      <c r="L1388" s="2" t="s">
        <v>39</v>
      </c>
      <c r="M1388" s="2" t="s">
        <v>39</v>
      </c>
      <c r="N1388" s="2" t="s">
        <v>39</v>
      </c>
      <c r="O1388" s="2" t="s">
        <v>39</v>
      </c>
      <c r="P1388" s="2" t="s">
        <v>39</v>
      </c>
      <c r="Q1388" s="2" t="s">
        <v>39</v>
      </c>
      <c r="R1388" s="2" t="s">
        <v>39</v>
      </c>
      <c r="S1388" s="2" t="s">
        <v>39</v>
      </c>
      <c r="T1388" s="2" t="s">
        <v>39</v>
      </c>
      <c r="U1388" s="2" t="s">
        <v>39</v>
      </c>
      <c r="V1388" s="2" t="s">
        <v>39</v>
      </c>
      <c r="W1388" s="2" t="s">
        <v>39</v>
      </c>
      <c r="X1388" s="2" t="s">
        <v>39</v>
      </c>
      <c r="Y1388" s="2" t="s">
        <v>39</v>
      </c>
      <c r="Z1388" s="2" t="s">
        <v>39</v>
      </c>
      <c r="AA1388" s="2" t="s">
        <v>39</v>
      </c>
      <c r="AB1388" s="2" t="s">
        <v>39</v>
      </c>
      <c r="AC1388" s="2" t="s">
        <v>39</v>
      </c>
      <c r="AD1388" s="2" t="s">
        <v>38</v>
      </c>
      <c r="AE1388" s="2" t="s">
        <v>39</v>
      </c>
    </row>
    <row r="1389" spans="1:31" ht="409.5">
      <c r="A1389" s="2">
        <v>2579288</v>
      </c>
      <c r="B1389" s="2">
        <f>HYPERLINK("https://platform.v2.vetology.net/cases/2579288/screening-report/18?type=pdf&amp;v=v6&amp;scorecard=1&amp;secret_key=BX%25IJ%24%2F65ieZ%29f6", 2579288)</f>
        <v>2579288</v>
      </c>
      <c r="C1389" s="2">
        <f>HYPERLINK("https://platform.v2.vetology.net/report/v/final/"&amp;2579288, 2579288)</f>
        <v>2579288</v>
      </c>
      <c r="D1389" s="2" t="s">
        <v>3980</v>
      </c>
      <c r="E1389" s="2" t="s">
        <v>3981</v>
      </c>
      <c r="F1389" s="2" t="s">
        <v>3982</v>
      </c>
      <c r="G1389" s="2" t="s">
        <v>464</v>
      </c>
      <c r="H1389" s="2" t="s">
        <v>54</v>
      </c>
      <c r="I1389" s="2" t="s">
        <v>44</v>
      </c>
      <c r="J1389" s="2"/>
      <c r="K1389" s="2" t="s">
        <v>38</v>
      </c>
      <c r="L1389" s="2" t="s">
        <v>39</v>
      </c>
      <c r="M1389" s="2" t="s">
        <v>39</v>
      </c>
      <c r="N1389" s="2" t="s">
        <v>38</v>
      </c>
      <c r="O1389" s="2" t="s">
        <v>38</v>
      </c>
      <c r="P1389" s="2" t="s">
        <v>38</v>
      </c>
      <c r="Q1389" s="2" t="s">
        <v>38</v>
      </c>
      <c r="R1389" s="2" t="s">
        <v>38</v>
      </c>
      <c r="S1389" s="2" t="s">
        <v>38</v>
      </c>
      <c r="T1389" s="2" t="s">
        <v>38</v>
      </c>
      <c r="U1389" s="2" t="s">
        <v>38</v>
      </c>
      <c r="V1389" s="2" t="s">
        <v>38</v>
      </c>
      <c r="W1389" s="2" t="s">
        <v>38</v>
      </c>
      <c r="X1389" s="2" t="s">
        <v>38</v>
      </c>
      <c r="Y1389" s="2" t="s">
        <v>38</v>
      </c>
      <c r="Z1389" s="2" t="s">
        <v>38</v>
      </c>
      <c r="AA1389" s="2" t="s">
        <v>38</v>
      </c>
      <c r="AB1389" s="2" t="s">
        <v>39</v>
      </c>
      <c r="AC1389" s="2" t="s">
        <v>38</v>
      </c>
      <c r="AD1389" s="2" t="s">
        <v>38</v>
      </c>
      <c r="AE1389" s="2" t="s">
        <v>38</v>
      </c>
    </row>
    <row r="1390" spans="1:31" ht="409.5">
      <c r="A1390" s="2">
        <v>2579200</v>
      </c>
      <c r="B1390" s="2">
        <f>HYPERLINK("https://platform.v2.vetology.net/cases/2579200/screening-report/18?type=pdf&amp;v=v6&amp;scorecard=1&amp;secret_key=BX%25IJ%24%2F65ieZ%29f6", 2579200)</f>
        <v>2579200</v>
      </c>
      <c r="C1390" s="2">
        <f>HYPERLINK("https://platform.v2.vetology.net/report/v/final/"&amp;2579200, 2579200)</f>
        <v>2579200</v>
      </c>
      <c r="D1390" s="2" t="s">
        <v>3983</v>
      </c>
      <c r="E1390" s="2" t="s">
        <v>3984</v>
      </c>
      <c r="F1390" s="2" t="s">
        <v>3985</v>
      </c>
      <c r="G1390" s="2" t="s">
        <v>93</v>
      </c>
      <c r="H1390" s="2" t="s">
        <v>94</v>
      </c>
      <c r="I1390" s="2" t="s">
        <v>89</v>
      </c>
      <c r="J1390" s="2" t="s">
        <v>66</v>
      </c>
      <c r="K1390" s="2" t="s">
        <v>38</v>
      </c>
      <c r="L1390" s="2" t="s">
        <v>39</v>
      </c>
      <c r="M1390" s="2" t="s">
        <v>39</v>
      </c>
      <c r="N1390" s="2" t="s">
        <v>38</v>
      </c>
      <c r="O1390" s="2" t="s">
        <v>39</v>
      </c>
      <c r="P1390" s="2" t="s">
        <v>39</v>
      </c>
      <c r="Q1390" s="2" t="s">
        <v>38</v>
      </c>
      <c r="R1390" s="2" t="s">
        <v>38</v>
      </c>
      <c r="S1390" s="2" t="s">
        <v>38</v>
      </c>
      <c r="T1390" s="2" t="s">
        <v>39</v>
      </c>
      <c r="U1390" s="2" t="s">
        <v>38</v>
      </c>
      <c r="V1390" s="2" t="s">
        <v>39</v>
      </c>
      <c r="W1390" s="2" t="s">
        <v>38</v>
      </c>
      <c r="X1390" s="2" t="s">
        <v>39</v>
      </c>
      <c r="Y1390" s="2" t="s">
        <v>38</v>
      </c>
      <c r="Z1390" s="2" t="s">
        <v>38</v>
      </c>
      <c r="AA1390" s="2" t="s">
        <v>38</v>
      </c>
      <c r="AB1390" s="2" t="s">
        <v>38</v>
      </c>
      <c r="AC1390" s="2" t="s">
        <v>39</v>
      </c>
      <c r="AD1390" s="2" t="s">
        <v>38</v>
      </c>
      <c r="AE1390" s="2" t="s">
        <v>39</v>
      </c>
    </row>
    <row r="1391" spans="1:31" ht="409.5">
      <c r="A1391" s="2">
        <v>2579177</v>
      </c>
      <c r="B1391" s="2">
        <f>HYPERLINK("https://platform.v2.vetology.net/cases/2579177/screening-report/18?type=pdf&amp;v=v6&amp;scorecard=1&amp;secret_key=BX%25IJ%24%2F65ieZ%29f6", 2579177)</f>
        <v>2579177</v>
      </c>
      <c r="C1391" s="2">
        <f>HYPERLINK("https://platform.v2.vetology.net/report/v/final/"&amp;2579177, 2579177)</f>
        <v>2579177</v>
      </c>
      <c r="D1391" s="2" t="s">
        <v>3986</v>
      </c>
      <c r="E1391" s="2" t="s">
        <v>3987</v>
      </c>
      <c r="F1391" s="2" t="s">
        <v>3988</v>
      </c>
      <c r="G1391" s="2" t="s">
        <v>63</v>
      </c>
      <c r="H1391" s="2" t="s">
        <v>94</v>
      </c>
      <c r="I1391" s="2" t="s">
        <v>89</v>
      </c>
      <c r="J1391" s="2" t="s">
        <v>66</v>
      </c>
      <c r="K1391" s="2" t="s">
        <v>38</v>
      </c>
      <c r="L1391" s="2" t="s">
        <v>39</v>
      </c>
      <c r="M1391" s="2" t="s">
        <v>39</v>
      </c>
      <c r="N1391" s="2" t="s">
        <v>38</v>
      </c>
      <c r="O1391" s="2" t="s">
        <v>38</v>
      </c>
      <c r="P1391" s="2" t="s">
        <v>39</v>
      </c>
      <c r="Q1391" s="2" t="s">
        <v>38</v>
      </c>
      <c r="R1391" s="2" t="s">
        <v>38</v>
      </c>
      <c r="S1391" s="2" t="s">
        <v>38</v>
      </c>
      <c r="T1391" s="2" t="s">
        <v>38</v>
      </c>
      <c r="U1391" s="2" t="s">
        <v>38</v>
      </c>
      <c r="V1391" s="2" t="s">
        <v>38</v>
      </c>
      <c r="W1391" s="2" t="s">
        <v>38</v>
      </c>
      <c r="X1391" s="2" t="s">
        <v>38</v>
      </c>
      <c r="Y1391" s="2" t="s">
        <v>38</v>
      </c>
      <c r="Z1391" s="2" t="s">
        <v>38</v>
      </c>
      <c r="AA1391" s="2" t="s">
        <v>38</v>
      </c>
      <c r="AB1391" s="2" t="s">
        <v>38</v>
      </c>
      <c r="AC1391" s="2" t="s">
        <v>38</v>
      </c>
      <c r="AD1391" s="2" t="s">
        <v>38</v>
      </c>
      <c r="AE1391" s="2" t="s">
        <v>39</v>
      </c>
    </row>
    <row r="1392" spans="1:31" ht="409.5">
      <c r="A1392" s="2">
        <v>2579153</v>
      </c>
      <c r="B1392" s="2">
        <f>HYPERLINK("https://platform.v2.vetology.net/cases/2579153/screening-report/18?type=pdf&amp;v=v6&amp;scorecard=1&amp;secret_key=BX%25IJ%24%2F65ieZ%29f6", 2579153)</f>
        <v>2579153</v>
      </c>
      <c r="C1392" s="2">
        <f>HYPERLINK("https://platform.v2.vetology.net/report/v/final/"&amp;2579153, 2579153)</f>
        <v>2579153</v>
      </c>
      <c r="D1392" s="2" t="s">
        <v>3989</v>
      </c>
      <c r="E1392" s="2" t="s">
        <v>3990</v>
      </c>
      <c r="F1392" s="2" t="s">
        <v>81</v>
      </c>
      <c r="G1392" s="2" t="s">
        <v>268</v>
      </c>
      <c r="H1392" s="2" t="s">
        <v>607</v>
      </c>
      <c r="I1392" s="2" t="s">
        <v>137</v>
      </c>
      <c r="J1392" s="2" t="s">
        <v>66</v>
      </c>
      <c r="K1392" s="2" t="s">
        <v>38</v>
      </c>
      <c r="L1392" s="2" t="s">
        <v>38</v>
      </c>
      <c r="M1392" s="2" t="s">
        <v>38</v>
      </c>
      <c r="N1392" s="2" t="s">
        <v>38</v>
      </c>
      <c r="O1392" s="2" t="s">
        <v>38</v>
      </c>
      <c r="P1392" s="2" t="s">
        <v>38</v>
      </c>
      <c r="Q1392" s="2" t="s">
        <v>38</v>
      </c>
      <c r="R1392" s="2" t="s">
        <v>38</v>
      </c>
      <c r="S1392" s="2" t="s">
        <v>38</v>
      </c>
      <c r="T1392" s="2" t="s">
        <v>38</v>
      </c>
      <c r="U1392" s="2" t="s">
        <v>38</v>
      </c>
      <c r="V1392" s="2" t="s">
        <v>38</v>
      </c>
      <c r="W1392" s="2" t="s">
        <v>38</v>
      </c>
      <c r="X1392" s="2" t="s">
        <v>38</v>
      </c>
      <c r="Y1392" s="2" t="s">
        <v>38</v>
      </c>
      <c r="Z1392" s="2" t="s">
        <v>38</v>
      </c>
      <c r="AA1392" s="2" t="s">
        <v>38</v>
      </c>
      <c r="AB1392" s="2" t="s">
        <v>38</v>
      </c>
      <c r="AC1392" s="2" t="s">
        <v>38</v>
      </c>
      <c r="AD1392" s="2" t="s">
        <v>38</v>
      </c>
      <c r="AE1392" s="2" t="s">
        <v>39</v>
      </c>
    </row>
    <row r="1393" spans="1:31" ht="409.5">
      <c r="A1393" s="2">
        <v>2579088</v>
      </c>
      <c r="B1393" s="2">
        <f>HYPERLINK("https://platform.v2.vetology.net/cases/2579088/screening-report/18?type=pdf&amp;v=v6&amp;scorecard=1&amp;secret_key=BX%25IJ%24%2F65ieZ%29f6", 2579088)</f>
        <v>2579088</v>
      </c>
      <c r="C1393" s="2">
        <f>HYPERLINK("https://platform.v2.vetology.net/report/v/final/"&amp;2579088, 2579088)</f>
        <v>2579088</v>
      </c>
      <c r="D1393" s="2" t="s">
        <v>3991</v>
      </c>
      <c r="E1393" s="2" t="s">
        <v>3992</v>
      </c>
      <c r="F1393" s="2" t="s">
        <v>3993</v>
      </c>
      <c r="G1393" s="2" t="s">
        <v>93</v>
      </c>
      <c r="H1393" s="2" t="s">
        <v>3994</v>
      </c>
      <c r="I1393" s="2" t="s">
        <v>137</v>
      </c>
      <c r="J1393" s="2" t="s">
        <v>66</v>
      </c>
      <c r="K1393" s="2" t="s">
        <v>38</v>
      </c>
      <c r="L1393" s="2" t="s">
        <v>39</v>
      </c>
      <c r="M1393" s="2" t="s">
        <v>39</v>
      </c>
      <c r="N1393" s="2" t="s">
        <v>38</v>
      </c>
      <c r="O1393" s="2" t="s">
        <v>38</v>
      </c>
      <c r="P1393" s="2" t="s">
        <v>38</v>
      </c>
      <c r="Q1393" s="2" t="s">
        <v>38</v>
      </c>
      <c r="R1393" s="2" t="s">
        <v>38</v>
      </c>
      <c r="S1393" s="2" t="s">
        <v>38</v>
      </c>
      <c r="T1393" s="2" t="s">
        <v>39</v>
      </c>
      <c r="U1393" s="2" t="s">
        <v>38</v>
      </c>
      <c r="V1393" s="2" t="s">
        <v>38</v>
      </c>
      <c r="W1393" s="2" t="s">
        <v>38</v>
      </c>
      <c r="X1393" s="2" t="s">
        <v>39</v>
      </c>
      <c r="Y1393" s="2" t="s">
        <v>38</v>
      </c>
      <c r="Z1393" s="2" t="s">
        <v>38</v>
      </c>
      <c r="AA1393" s="2" t="s">
        <v>38</v>
      </c>
      <c r="AB1393" s="2" t="s">
        <v>38</v>
      </c>
      <c r="AC1393" s="2" t="s">
        <v>38</v>
      </c>
      <c r="AD1393" s="2" t="s">
        <v>38</v>
      </c>
      <c r="AE1393" s="2" t="s">
        <v>39</v>
      </c>
    </row>
    <row r="1394" spans="1:31" ht="409.5">
      <c r="A1394" s="2">
        <v>2578740</v>
      </c>
      <c r="B1394" s="2">
        <f>HYPERLINK("https://platform.v2.vetology.net/cases/2578740/screening-report/18?type=pdf&amp;v=v6&amp;scorecard=1&amp;secret_key=BX%25IJ%24%2F65ieZ%29f6", 2578740)</f>
        <v>2578740</v>
      </c>
      <c r="C1394" s="2">
        <f>HYPERLINK("https://platform.v2.vetology.net/report/v/final/"&amp;2578740, 2578740)</f>
        <v>2578740</v>
      </c>
      <c r="D1394" s="2" t="s">
        <v>3995</v>
      </c>
      <c r="E1394" s="2" t="s">
        <v>3996</v>
      </c>
      <c r="F1394" s="2" t="s">
        <v>81</v>
      </c>
      <c r="G1394" s="2" t="s">
        <v>268</v>
      </c>
      <c r="H1394" s="2" t="s">
        <v>446</v>
      </c>
      <c r="I1394" s="2" t="s">
        <v>321</v>
      </c>
      <c r="J1394" s="2" t="s">
        <v>66</v>
      </c>
      <c r="K1394" s="2" t="s">
        <v>38</v>
      </c>
      <c r="L1394" s="2" t="s">
        <v>39</v>
      </c>
      <c r="M1394" s="2" t="s">
        <v>39</v>
      </c>
      <c r="N1394" s="2" t="s">
        <v>38</v>
      </c>
      <c r="O1394" s="2" t="s">
        <v>39</v>
      </c>
      <c r="P1394" s="2" t="s">
        <v>39</v>
      </c>
      <c r="Q1394" s="2" t="s">
        <v>38</v>
      </c>
      <c r="R1394" s="2" t="s">
        <v>38</v>
      </c>
      <c r="S1394" s="2" t="s">
        <v>38</v>
      </c>
      <c r="T1394" s="2" t="s">
        <v>39</v>
      </c>
      <c r="U1394" s="2" t="s">
        <v>38</v>
      </c>
      <c r="V1394" s="2" t="s">
        <v>39</v>
      </c>
      <c r="W1394" s="2" t="s">
        <v>38</v>
      </c>
      <c r="X1394" s="2" t="s">
        <v>39</v>
      </c>
      <c r="Y1394" s="2" t="s">
        <v>38</v>
      </c>
      <c r="Z1394" s="2" t="s">
        <v>39</v>
      </c>
      <c r="AA1394" s="2" t="s">
        <v>38</v>
      </c>
      <c r="AB1394" s="2" t="s">
        <v>39</v>
      </c>
      <c r="AC1394" s="2" t="s">
        <v>38</v>
      </c>
      <c r="AD1394" s="2" t="s">
        <v>38</v>
      </c>
      <c r="AE1394" s="2" t="s">
        <v>38</v>
      </c>
    </row>
    <row r="1395" spans="1:31" ht="409.5">
      <c r="A1395" s="2">
        <v>2578555</v>
      </c>
      <c r="B1395" s="2">
        <f>HYPERLINK("https://platform.v2.vetology.net/cases/2578555/screening-report/18?type=pdf&amp;v=v6&amp;scorecard=1&amp;secret_key=BX%25IJ%24%2F65ieZ%29f6", 2578555)</f>
        <v>2578555</v>
      </c>
      <c r="C1395" s="2">
        <f>HYPERLINK("https://platform.v2.vetology.net/report/v/final/"&amp;2578555, 2578555)</f>
        <v>2578555</v>
      </c>
      <c r="D1395" s="2" t="s">
        <v>3997</v>
      </c>
      <c r="E1395" s="2" t="s">
        <v>3998</v>
      </c>
      <c r="F1395" s="2"/>
      <c r="G1395" s="2" t="s">
        <v>141</v>
      </c>
      <c r="H1395" s="2" t="s">
        <v>2017</v>
      </c>
      <c r="I1395" s="2" t="s">
        <v>65</v>
      </c>
      <c r="J1395" s="2" t="s">
        <v>66</v>
      </c>
      <c r="K1395" s="2" t="s">
        <v>38</v>
      </c>
      <c r="L1395" s="2" t="s">
        <v>39</v>
      </c>
      <c r="M1395" s="2" t="s">
        <v>39</v>
      </c>
      <c r="N1395" s="2" t="s">
        <v>39</v>
      </c>
      <c r="O1395" s="2" t="s">
        <v>39</v>
      </c>
      <c r="P1395" s="2" t="s">
        <v>39</v>
      </c>
      <c r="Q1395" s="2" t="s">
        <v>39</v>
      </c>
      <c r="R1395" s="2" t="s">
        <v>38</v>
      </c>
      <c r="S1395" s="2" t="s">
        <v>38</v>
      </c>
      <c r="T1395" s="2" t="s">
        <v>38</v>
      </c>
      <c r="U1395" s="2" t="s">
        <v>38</v>
      </c>
      <c r="V1395" s="2" t="s">
        <v>38</v>
      </c>
      <c r="W1395" s="2" t="s">
        <v>38</v>
      </c>
      <c r="X1395" s="2" t="s">
        <v>39</v>
      </c>
      <c r="Y1395" s="2" t="s">
        <v>38</v>
      </c>
      <c r="Z1395" s="2" t="s">
        <v>39</v>
      </c>
      <c r="AA1395" s="2" t="s">
        <v>38</v>
      </c>
      <c r="AB1395" s="2" t="s">
        <v>39</v>
      </c>
      <c r="AC1395" s="2" t="s">
        <v>39</v>
      </c>
      <c r="AD1395" s="2" t="s">
        <v>38</v>
      </c>
      <c r="AE1395" s="2" t="s">
        <v>38</v>
      </c>
    </row>
    <row r="1396" spans="1:31" ht="409.5">
      <c r="A1396" s="2">
        <v>2578520</v>
      </c>
      <c r="B1396" s="2">
        <f>HYPERLINK("https://platform.v2.vetology.net/cases/2578520/screening-report/18?type=pdf&amp;v=v6&amp;scorecard=1&amp;secret_key=BX%25IJ%24%2F65ieZ%29f6", 2578520)</f>
        <v>2578520</v>
      </c>
      <c r="C1396" s="2">
        <f>HYPERLINK("https://platform.v2.vetology.net/report/v/final/"&amp;2578520, 2578520)</f>
        <v>2578520</v>
      </c>
      <c r="D1396" s="2" t="s">
        <v>3999</v>
      </c>
      <c r="E1396" s="2" t="s">
        <v>4000</v>
      </c>
      <c r="F1396" s="2" t="s">
        <v>4001</v>
      </c>
      <c r="G1396" s="2" t="s">
        <v>464</v>
      </c>
      <c r="H1396" s="2" t="s">
        <v>471</v>
      </c>
      <c r="I1396" s="2" t="s">
        <v>158</v>
      </c>
      <c r="J1396" s="2" t="s">
        <v>50</v>
      </c>
      <c r="K1396" s="2" t="s">
        <v>38</v>
      </c>
      <c r="L1396" s="2" t="s">
        <v>39</v>
      </c>
      <c r="M1396" s="2" t="s">
        <v>38</v>
      </c>
      <c r="N1396" s="2" t="s">
        <v>38</v>
      </c>
      <c r="O1396" s="2" t="s">
        <v>38</v>
      </c>
      <c r="P1396" s="2" t="s">
        <v>38</v>
      </c>
      <c r="Q1396" s="2" t="s">
        <v>38</v>
      </c>
      <c r="R1396" s="2" t="s">
        <v>38</v>
      </c>
      <c r="S1396" s="2" t="s">
        <v>38</v>
      </c>
      <c r="T1396" s="2" t="s">
        <v>38</v>
      </c>
      <c r="U1396" s="2" t="s">
        <v>38</v>
      </c>
      <c r="V1396" s="2" t="s">
        <v>38</v>
      </c>
      <c r="W1396" s="2" t="s">
        <v>38</v>
      </c>
      <c r="X1396" s="2" t="s">
        <v>38</v>
      </c>
      <c r="Y1396" s="2" t="s">
        <v>38</v>
      </c>
      <c r="Z1396" s="2" t="s">
        <v>38</v>
      </c>
      <c r="AA1396" s="2" t="s">
        <v>38</v>
      </c>
      <c r="AB1396" s="2" t="s">
        <v>38</v>
      </c>
      <c r="AC1396" s="2" t="s">
        <v>38</v>
      </c>
      <c r="AD1396" s="2" t="s">
        <v>38</v>
      </c>
      <c r="AE1396" s="2" t="s">
        <v>38</v>
      </c>
    </row>
    <row r="1397" spans="1:31" ht="409.5">
      <c r="A1397" s="2">
        <v>2578460</v>
      </c>
      <c r="B1397" s="2">
        <f>HYPERLINK("https://platform.v2.vetology.net/cases/2578460/screening-report/18?type=pdf&amp;v=v6&amp;scorecard=1&amp;secret_key=BX%25IJ%24%2F65ieZ%29f6", 2578460)</f>
        <v>2578460</v>
      </c>
      <c r="C1397" s="2">
        <f>HYPERLINK("https://platform.v2.vetology.net/report/v/final/"&amp;2578460, 2578460)</f>
        <v>2578460</v>
      </c>
      <c r="D1397" s="2" t="s">
        <v>4002</v>
      </c>
      <c r="E1397" s="2" t="s">
        <v>4003</v>
      </c>
      <c r="F1397" s="2"/>
      <c r="G1397" s="2" t="s">
        <v>150</v>
      </c>
      <c r="H1397" s="2" t="s">
        <v>1180</v>
      </c>
      <c r="I1397" s="2" t="s">
        <v>158</v>
      </c>
      <c r="J1397" s="2" t="s">
        <v>50</v>
      </c>
      <c r="K1397" s="2" t="s">
        <v>38</v>
      </c>
      <c r="L1397" s="2" t="s">
        <v>39</v>
      </c>
      <c r="M1397" s="2" t="s">
        <v>38</v>
      </c>
      <c r="N1397" s="2" t="s">
        <v>39</v>
      </c>
      <c r="O1397" s="2" t="s">
        <v>38</v>
      </c>
      <c r="P1397" s="2" t="s">
        <v>39</v>
      </c>
      <c r="Q1397" s="2" t="s">
        <v>38</v>
      </c>
      <c r="R1397" s="2" t="s">
        <v>38</v>
      </c>
      <c r="S1397" s="2" t="s">
        <v>38</v>
      </c>
      <c r="T1397" s="2" t="s">
        <v>39</v>
      </c>
      <c r="U1397" s="2" t="s">
        <v>38</v>
      </c>
      <c r="V1397" s="2" t="s">
        <v>39</v>
      </c>
      <c r="W1397" s="2" t="s">
        <v>38</v>
      </c>
      <c r="X1397" s="2" t="s">
        <v>39</v>
      </c>
      <c r="Y1397" s="2" t="s">
        <v>38</v>
      </c>
      <c r="Z1397" s="2" t="s">
        <v>39</v>
      </c>
      <c r="AA1397" s="2" t="s">
        <v>38</v>
      </c>
      <c r="AB1397" s="2" t="s">
        <v>39</v>
      </c>
      <c r="AC1397" s="2" t="s">
        <v>39</v>
      </c>
      <c r="AD1397" s="2" t="s">
        <v>38</v>
      </c>
      <c r="AE1397" s="2" t="s">
        <v>38</v>
      </c>
    </row>
    <row r="1398" spans="1:31" ht="409.5">
      <c r="A1398" s="2">
        <v>2578333</v>
      </c>
      <c r="B1398" s="2">
        <f>HYPERLINK("https://platform.v2.vetology.net/cases/2578333/screening-report/18?type=pdf&amp;v=v6&amp;scorecard=1&amp;secret_key=BX%25IJ%24%2F65ieZ%29f6", 2578333)</f>
        <v>2578333</v>
      </c>
      <c r="C1398" s="2">
        <f>HYPERLINK("https://platform.v2.vetology.net/report/v/final/"&amp;2578333, 2578333)</f>
        <v>2578333</v>
      </c>
      <c r="D1398" s="2" t="s">
        <v>4004</v>
      </c>
      <c r="E1398" s="2" t="s">
        <v>4005</v>
      </c>
      <c r="F1398" s="2" t="s">
        <v>4006</v>
      </c>
      <c r="G1398" s="2" t="s">
        <v>268</v>
      </c>
      <c r="H1398" s="2" t="s">
        <v>129</v>
      </c>
      <c r="I1398" s="2" t="s">
        <v>44</v>
      </c>
      <c r="J1398" s="2"/>
      <c r="K1398" s="2" t="s">
        <v>38</v>
      </c>
      <c r="L1398" s="2" t="s">
        <v>39</v>
      </c>
      <c r="M1398" s="2" t="s">
        <v>38</v>
      </c>
      <c r="N1398" s="2" t="s">
        <v>38</v>
      </c>
      <c r="O1398" s="2" t="s">
        <v>38</v>
      </c>
      <c r="P1398" s="2" t="s">
        <v>38</v>
      </c>
      <c r="Q1398" s="2" t="s">
        <v>38</v>
      </c>
      <c r="R1398" s="2" t="s">
        <v>38</v>
      </c>
      <c r="S1398" s="2" t="s">
        <v>38</v>
      </c>
      <c r="T1398" s="2" t="s">
        <v>39</v>
      </c>
      <c r="U1398" s="2" t="s">
        <v>38</v>
      </c>
      <c r="V1398" s="2" t="s">
        <v>38</v>
      </c>
      <c r="W1398" s="2" t="s">
        <v>38</v>
      </c>
      <c r="X1398" s="2" t="s">
        <v>39</v>
      </c>
      <c r="Y1398" s="2" t="s">
        <v>38</v>
      </c>
      <c r="Z1398" s="2" t="s">
        <v>38</v>
      </c>
      <c r="AA1398" s="2" t="s">
        <v>38</v>
      </c>
      <c r="AB1398" s="2" t="s">
        <v>38</v>
      </c>
      <c r="AC1398" s="2" t="s">
        <v>38</v>
      </c>
      <c r="AD1398" s="2" t="s">
        <v>38</v>
      </c>
      <c r="AE1398" s="2" t="s">
        <v>38</v>
      </c>
    </row>
    <row r="1399" spans="1:31" ht="409.5">
      <c r="A1399" s="2">
        <v>2577871</v>
      </c>
      <c r="B1399" s="2">
        <f>HYPERLINK("https://platform.v2.vetology.net/cases/2577871/screening-report/18?type=pdf&amp;v=v6&amp;scorecard=1&amp;secret_key=BX%25IJ%24%2F65ieZ%29f6", 2577871)</f>
        <v>2577871</v>
      </c>
      <c r="C1399" s="2">
        <f>HYPERLINK("https://platform.v2.vetology.net/report/v/final/"&amp;2577871, 2577871)</f>
        <v>2577871</v>
      </c>
      <c r="D1399" s="2" t="s">
        <v>4007</v>
      </c>
      <c r="E1399" s="2" t="s">
        <v>4008</v>
      </c>
      <c r="F1399" s="2" t="s">
        <v>81</v>
      </c>
      <c r="G1399" s="2" t="s">
        <v>268</v>
      </c>
      <c r="H1399" s="2" t="s">
        <v>779</v>
      </c>
      <c r="I1399" s="2" t="s">
        <v>89</v>
      </c>
      <c r="J1399" s="2" t="s">
        <v>66</v>
      </c>
      <c r="K1399" s="2" t="s">
        <v>38</v>
      </c>
      <c r="L1399" s="2" t="s">
        <v>39</v>
      </c>
      <c r="M1399" s="2" t="s">
        <v>38</v>
      </c>
      <c r="N1399" s="2" t="s">
        <v>38</v>
      </c>
      <c r="O1399" s="2" t="s">
        <v>38</v>
      </c>
      <c r="P1399" s="2" t="s">
        <v>39</v>
      </c>
      <c r="Q1399" s="2" t="s">
        <v>38</v>
      </c>
      <c r="R1399" s="2" t="s">
        <v>38</v>
      </c>
      <c r="S1399" s="2" t="s">
        <v>38</v>
      </c>
      <c r="T1399" s="2" t="s">
        <v>38</v>
      </c>
      <c r="U1399" s="2" t="s">
        <v>38</v>
      </c>
      <c r="V1399" s="2" t="s">
        <v>38</v>
      </c>
      <c r="W1399" s="2" t="s">
        <v>38</v>
      </c>
      <c r="X1399" s="2" t="s">
        <v>39</v>
      </c>
      <c r="Y1399" s="2" t="s">
        <v>38</v>
      </c>
      <c r="Z1399" s="2" t="s">
        <v>38</v>
      </c>
      <c r="AA1399" s="2" t="s">
        <v>38</v>
      </c>
      <c r="AB1399" s="2" t="s">
        <v>38</v>
      </c>
      <c r="AC1399" s="2" t="s">
        <v>38</v>
      </c>
      <c r="AD1399" s="2" t="s">
        <v>38</v>
      </c>
      <c r="AE1399" s="2" t="s">
        <v>39</v>
      </c>
    </row>
    <row r="1400" spans="1:31" ht="409.5">
      <c r="A1400" s="2">
        <v>2577798</v>
      </c>
      <c r="B1400" s="2">
        <f>HYPERLINK("https://platform.v2.vetology.net/cases/2577798/screening-report/18?type=pdf&amp;v=v6&amp;scorecard=1&amp;secret_key=BX%25IJ%24%2F65ieZ%29f6", 2577798)</f>
        <v>2577798</v>
      </c>
      <c r="C1400" s="2">
        <f>HYPERLINK("https://platform.v2.vetology.net/report/v/final/"&amp;2577798, 2577798)</f>
        <v>2577798</v>
      </c>
      <c r="D1400" s="2" t="s">
        <v>4009</v>
      </c>
      <c r="E1400" s="2" t="s">
        <v>4010</v>
      </c>
      <c r="F1400" s="2" t="s">
        <v>4011</v>
      </c>
      <c r="G1400" s="2" t="s">
        <v>58</v>
      </c>
      <c r="H1400" s="2" t="s">
        <v>607</v>
      </c>
      <c r="I1400" s="2" t="s">
        <v>137</v>
      </c>
      <c r="J1400" s="2" t="s">
        <v>66</v>
      </c>
      <c r="K1400" s="2" t="s">
        <v>38</v>
      </c>
      <c r="L1400" s="2" t="s">
        <v>39</v>
      </c>
      <c r="M1400" s="2" t="s">
        <v>38</v>
      </c>
      <c r="N1400" s="2" t="s">
        <v>38</v>
      </c>
      <c r="O1400" s="2" t="s">
        <v>38</v>
      </c>
      <c r="P1400" s="2" t="s">
        <v>38</v>
      </c>
      <c r="Q1400" s="2" t="s">
        <v>38</v>
      </c>
      <c r="R1400" s="2" t="s">
        <v>38</v>
      </c>
      <c r="S1400" s="2" t="s">
        <v>38</v>
      </c>
      <c r="T1400" s="2" t="s">
        <v>38</v>
      </c>
      <c r="U1400" s="2" t="s">
        <v>38</v>
      </c>
      <c r="V1400" s="2" t="s">
        <v>38</v>
      </c>
      <c r="W1400" s="2" t="s">
        <v>38</v>
      </c>
      <c r="X1400" s="2" t="s">
        <v>38</v>
      </c>
      <c r="Y1400" s="2" t="s">
        <v>38</v>
      </c>
      <c r="Z1400" s="2" t="s">
        <v>38</v>
      </c>
      <c r="AA1400" s="2" t="s">
        <v>38</v>
      </c>
      <c r="AB1400" s="2" t="s">
        <v>39</v>
      </c>
      <c r="AC1400" s="2" t="s">
        <v>38</v>
      </c>
      <c r="AD1400" s="2" t="s">
        <v>38</v>
      </c>
      <c r="AE1400" s="2" t="s">
        <v>39</v>
      </c>
    </row>
    <row r="1401" spans="1:31" ht="409.5">
      <c r="A1401" s="2">
        <v>2577479</v>
      </c>
      <c r="B1401" s="2">
        <f>HYPERLINK("https://platform.v2.vetology.net/cases/2577479/screening-report/18?type=pdf&amp;v=v6&amp;scorecard=1&amp;secret_key=BX%25IJ%24%2F65ieZ%29f6", 2577479)</f>
        <v>2577479</v>
      </c>
      <c r="C1401" s="2">
        <f>HYPERLINK("https://platform.v2.vetology.net/report/v/final/"&amp;2577479, 2577479)</f>
        <v>2577479</v>
      </c>
      <c r="D1401" s="2" t="s">
        <v>4012</v>
      </c>
      <c r="E1401" s="2" t="s">
        <v>4013</v>
      </c>
      <c r="F1401" s="2" t="s">
        <v>1444</v>
      </c>
      <c r="G1401" s="2" t="s">
        <v>464</v>
      </c>
      <c r="H1401" s="2" t="s">
        <v>129</v>
      </c>
      <c r="I1401" s="2" t="s">
        <v>44</v>
      </c>
      <c r="J1401" s="2" t="s">
        <v>106</v>
      </c>
      <c r="K1401" s="2" t="s">
        <v>38</v>
      </c>
      <c r="L1401" s="2" t="s">
        <v>38</v>
      </c>
      <c r="M1401" s="2" t="s">
        <v>38</v>
      </c>
      <c r="N1401" s="2" t="s">
        <v>38</v>
      </c>
      <c r="O1401" s="2" t="s">
        <v>38</v>
      </c>
      <c r="P1401" s="2" t="s">
        <v>38</v>
      </c>
      <c r="Q1401" s="2" t="s">
        <v>38</v>
      </c>
      <c r="R1401" s="2" t="s">
        <v>38</v>
      </c>
      <c r="S1401" s="2" t="s">
        <v>38</v>
      </c>
      <c r="T1401" s="2" t="s">
        <v>39</v>
      </c>
      <c r="U1401" s="2" t="s">
        <v>38</v>
      </c>
      <c r="V1401" s="2" t="s">
        <v>38</v>
      </c>
      <c r="W1401" s="2" t="s">
        <v>38</v>
      </c>
      <c r="X1401" s="2" t="s">
        <v>38</v>
      </c>
      <c r="Y1401" s="2" t="s">
        <v>38</v>
      </c>
      <c r="Z1401" s="2" t="s">
        <v>38</v>
      </c>
      <c r="AA1401" s="2" t="s">
        <v>38</v>
      </c>
      <c r="AB1401" s="2" t="s">
        <v>38</v>
      </c>
      <c r="AC1401" s="2" t="s">
        <v>38</v>
      </c>
      <c r="AD1401" s="2" t="s">
        <v>38</v>
      </c>
      <c r="AE1401" s="2" t="s">
        <v>38</v>
      </c>
    </row>
    <row r="1402" spans="1:31" ht="409.5">
      <c r="A1402" s="2">
        <v>2576946</v>
      </c>
      <c r="B1402" s="2">
        <f>HYPERLINK("https://platform.v2.vetology.net/cases/2576946/screening-report/18?type=pdf&amp;v=v6&amp;scorecard=1&amp;secret_key=BX%25IJ%24%2F65ieZ%29f6", 2576946)</f>
        <v>2576946</v>
      </c>
      <c r="C1402" s="2">
        <f>HYPERLINK("https://platform.v2.vetology.net/report/v/final/"&amp;2576946, 2576946)</f>
        <v>2576946</v>
      </c>
      <c r="D1402" s="2" t="s">
        <v>4014</v>
      </c>
      <c r="E1402" s="2" t="s">
        <v>4015</v>
      </c>
      <c r="F1402" s="2" t="s">
        <v>4016</v>
      </c>
      <c r="G1402" s="2" t="s">
        <v>58</v>
      </c>
      <c r="H1402" s="2" t="s">
        <v>2742</v>
      </c>
      <c r="I1402" s="2" t="s">
        <v>89</v>
      </c>
      <c r="J1402" s="2" t="s">
        <v>66</v>
      </c>
      <c r="K1402" s="2" t="s">
        <v>38</v>
      </c>
      <c r="L1402" s="2" t="s">
        <v>38</v>
      </c>
      <c r="M1402" s="2" t="s">
        <v>38</v>
      </c>
      <c r="N1402" s="2" t="s">
        <v>38</v>
      </c>
      <c r="O1402" s="2" t="s">
        <v>38</v>
      </c>
      <c r="P1402" s="2" t="s">
        <v>38</v>
      </c>
      <c r="Q1402" s="2" t="s">
        <v>38</v>
      </c>
      <c r="R1402" s="2" t="s">
        <v>38</v>
      </c>
      <c r="S1402" s="2" t="s">
        <v>38</v>
      </c>
      <c r="T1402" s="2" t="s">
        <v>38</v>
      </c>
      <c r="U1402" s="2" t="s">
        <v>38</v>
      </c>
      <c r="V1402" s="2" t="s">
        <v>38</v>
      </c>
      <c r="W1402" s="2" t="s">
        <v>38</v>
      </c>
      <c r="X1402" s="2" t="s">
        <v>38</v>
      </c>
      <c r="Y1402" s="2" t="s">
        <v>38</v>
      </c>
      <c r="Z1402" s="2" t="s">
        <v>38</v>
      </c>
      <c r="AA1402" s="2" t="s">
        <v>38</v>
      </c>
      <c r="AB1402" s="2" t="s">
        <v>38</v>
      </c>
      <c r="AC1402" s="2" t="s">
        <v>38</v>
      </c>
      <c r="AD1402" s="2" t="s">
        <v>38</v>
      </c>
      <c r="AE1402" s="2" t="s">
        <v>38</v>
      </c>
    </row>
    <row r="1403" spans="1:31" ht="409.5">
      <c r="A1403" s="2">
        <v>2576936</v>
      </c>
      <c r="B1403" s="2">
        <f>HYPERLINK("https://platform.v2.vetology.net/cases/2576936/screening-report/18?type=pdf&amp;v=v6&amp;scorecard=1&amp;secret_key=BX%25IJ%24%2F65ieZ%29f6", 2576936)</f>
        <v>2576936</v>
      </c>
      <c r="C1403" s="2">
        <f>HYPERLINK("https://platform.v2.vetology.net/report/v/final/"&amp;2576936, 2576936)</f>
        <v>2576936</v>
      </c>
      <c r="D1403" s="2" t="s">
        <v>4017</v>
      </c>
      <c r="E1403" s="2" t="s">
        <v>4018</v>
      </c>
      <c r="F1403" s="2" t="s">
        <v>4019</v>
      </c>
      <c r="G1403" s="2" t="s">
        <v>58</v>
      </c>
      <c r="H1403" s="2" t="s">
        <v>488</v>
      </c>
      <c r="I1403" s="2" t="s">
        <v>89</v>
      </c>
      <c r="J1403" s="2" t="s">
        <v>66</v>
      </c>
      <c r="K1403" s="2" t="s">
        <v>38</v>
      </c>
      <c r="L1403" s="2" t="s">
        <v>39</v>
      </c>
      <c r="M1403" s="2" t="s">
        <v>39</v>
      </c>
      <c r="N1403" s="2" t="s">
        <v>38</v>
      </c>
      <c r="O1403" s="2" t="s">
        <v>38</v>
      </c>
      <c r="P1403" s="2" t="s">
        <v>39</v>
      </c>
      <c r="Q1403" s="2" t="s">
        <v>38</v>
      </c>
      <c r="R1403" s="2" t="s">
        <v>38</v>
      </c>
      <c r="S1403" s="2" t="s">
        <v>38</v>
      </c>
      <c r="T1403" s="2" t="s">
        <v>38</v>
      </c>
      <c r="U1403" s="2" t="s">
        <v>38</v>
      </c>
      <c r="V1403" s="2" t="s">
        <v>38</v>
      </c>
      <c r="W1403" s="2" t="s">
        <v>38</v>
      </c>
      <c r="X1403" s="2" t="s">
        <v>38</v>
      </c>
      <c r="Y1403" s="2" t="s">
        <v>38</v>
      </c>
      <c r="Z1403" s="2" t="s">
        <v>38</v>
      </c>
      <c r="AA1403" s="2" t="s">
        <v>38</v>
      </c>
      <c r="AB1403" s="2" t="s">
        <v>39</v>
      </c>
      <c r="AC1403" s="2" t="s">
        <v>39</v>
      </c>
      <c r="AD1403" s="2" t="s">
        <v>38</v>
      </c>
      <c r="AE1403" s="2" t="s">
        <v>39</v>
      </c>
    </row>
    <row r="1404" spans="1:31" ht="409.5">
      <c r="A1404" s="2">
        <v>2576783</v>
      </c>
      <c r="B1404" s="2">
        <f>HYPERLINK("https://platform.v2.vetology.net/cases/2576783/screening-report/18?type=pdf&amp;v=v6&amp;scorecard=1&amp;secret_key=BX%25IJ%24%2F65ieZ%29f6", 2576783)</f>
        <v>2576783</v>
      </c>
      <c r="C1404" s="2">
        <f>HYPERLINK("https://platform.v2.vetology.net/report/v/final/"&amp;2576783, 2576783)</f>
        <v>2576783</v>
      </c>
      <c r="D1404" s="2" t="s">
        <v>4020</v>
      </c>
      <c r="E1404" s="2" t="s">
        <v>4021</v>
      </c>
      <c r="F1404" s="2" t="s">
        <v>4022</v>
      </c>
      <c r="G1404" s="2" t="s">
        <v>212</v>
      </c>
      <c r="H1404" s="2" t="s">
        <v>4023</v>
      </c>
      <c r="I1404" s="2" t="s">
        <v>1516</v>
      </c>
      <c r="J1404" s="2" t="s">
        <v>518</v>
      </c>
      <c r="K1404" s="2" t="s">
        <v>38</v>
      </c>
      <c r="L1404" s="2" t="s">
        <v>39</v>
      </c>
      <c r="M1404" s="2" t="s">
        <v>39</v>
      </c>
      <c r="N1404" s="2" t="s">
        <v>39</v>
      </c>
      <c r="O1404" s="2" t="s">
        <v>39</v>
      </c>
      <c r="P1404" s="2" t="s">
        <v>39</v>
      </c>
      <c r="Q1404" s="2" t="s">
        <v>39</v>
      </c>
      <c r="R1404" s="2" t="s">
        <v>38</v>
      </c>
      <c r="S1404" s="2" t="s">
        <v>39</v>
      </c>
      <c r="T1404" s="2" t="s">
        <v>39</v>
      </c>
      <c r="U1404" s="2" t="s">
        <v>39</v>
      </c>
      <c r="V1404" s="2" t="s">
        <v>39</v>
      </c>
      <c r="W1404" s="2" t="s">
        <v>38</v>
      </c>
      <c r="X1404" s="2" t="s">
        <v>39</v>
      </c>
      <c r="Y1404" s="2" t="s">
        <v>38</v>
      </c>
      <c r="Z1404" s="2" t="s">
        <v>39</v>
      </c>
      <c r="AA1404" s="2" t="s">
        <v>39</v>
      </c>
      <c r="AB1404" s="2" t="s">
        <v>39</v>
      </c>
      <c r="AC1404" s="2" t="s">
        <v>39</v>
      </c>
      <c r="AD1404" s="2" t="s">
        <v>38</v>
      </c>
      <c r="AE1404" s="2" t="s">
        <v>38</v>
      </c>
    </row>
    <row r="1405" spans="1:31" ht="409.5">
      <c r="A1405" s="2">
        <v>2576680</v>
      </c>
      <c r="B1405" s="2">
        <f>HYPERLINK("https://platform.v2.vetology.net/cases/2576680/screening-report/18?type=pdf&amp;v=v6&amp;scorecard=1&amp;secret_key=BX%25IJ%24%2F65ieZ%29f6", 2576680)</f>
        <v>2576680</v>
      </c>
      <c r="C1405" s="2">
        <f>HYPERLINK("https://platform.v2.vetology.net/report/v/final/"&amp;2576680, 2576680)</f>
        <v>2576680</v>
      </c>
      <c r="D1405" s="2" t="s">
        <v>4024</v>
      </c>
      <c r="E1405" s="2" t="s">
        <v>4025</v>
      </c>
      <c r="F1405" s="2" t="s">
        <v>81</v>
      </c>
      <c r="G1405" s="2" t="s">
        <v>82</v>
      </c>
      <c r="H1405" s="2" t="s">
        <v>54</v>
      </c>
      <c r="I1405" s="2" t="s">
        <v>44</v>
      </c>
      <c r="J1405" s="2"/>
      <c r="K1405" s="2" t="s">
        <v>38</v>
      </c>
      <c r="L1405" s="2" t="s">
        <v>39</v>
      </c>
      <c r="M1405" s="2" t="s">
        <v>38</v>
      </c>
      <c r="N1405" s="2" t="s">
        <v>38</v>
      </c>
      <c r="O1405" s="2" t="s">
        <v>38</v>
      </c>
      <c r="P1405" s="2" t="s">
        <v>38</v>
      </c>
      <c r="Q1405" s="2" t="s">
        <v>38</v>
      </c>
      <c r="R1405" s="2" t="s">
        <v>38</v>
      </c>
      <c r="S1405" s="2" t="s">
        <v>38</v>
      </c>
      <c r="T1405" s="2" t="s">
        <v>38</v>
      </c>
      <c r="U1405" s="2" t="s">
        <v>38</v>
      </c>
      <c r="V1405" s="2" t="s">
        <v>38</v>
      </c>
      <c r="W1405" s="2" t="s">
        <v>38</v>
      </c>
      <c r="X1405" s="2" t="s">
        <v>38</v>
      </c>
      <c r="Y1405" s="2" t="s">
        <v>38</v>
      </c>
      <c r="Z1405" s="2" t="s">
        <v>38</v>
      </c>
      <c r="AA1405" s="2" t="s">
        <v>38</v>
      </c>
      <c r="AB1405" s="2" t="s">
        <v>38</v>
      </c>
      <c r="AC1405" s="2" t="s">
        <v>38</v>
      </c>
      <c r="AD1405" s="2" t="s">
        <v>38</v>
      </c>
      <c r="AE1405" s="2" t="s">
        <v>38</v>
      </c>
    </row>
    <row r="1406" spans="1:31" ht="409.5">
      <c r="A1406" s="2">
        <v>2576472</v>
      </c>
      <c r="B1406" s="2">
        <f>HYPERLINK("https://platform.v2.vetology.net/cases/2576472/screening-report/18?type=pdf&amp;v=v6&amp;scorecard=1&amp;secret_key=BX%25IJ%24%2F65ieZ%29f6", 2576472)</f>
        <v>2576472</v>
      </c>
      <c r="C1406" s="2">
        <f>HYPERLINK("https://platform.v2.vetology.net/report/v/final/"&amp;2576472, 2576472)</f>
        <v>2576472</v>
      </c>
      <c r="D1406" s="2" t="s">
        <v>4026</v>
      </c>
      <c r="E1406" s="2" t="s">
        <v>4027</v>
      </c>
      <c r="F1406" s="2" t="s">
        <v>4028</v>
      </c>
      <c r="G1406" s="2" t="s">
        <v>34</v>
      </c>
      <c r="H1406" s="2" t="s">
        <v>4029</v>
      </c>
      <c r="I1406" s="2" t="s">
        <v>119</v>
      </c>
      <c r="J1406" s="2" t="s">
        <v>112</v>
      </c>
      <c r="K1406" s="2" t="s">
        <v>39</v>
      </c>
      <c r="L1406" s="2" t="s">
        <v>39</v>
      </c>
      <c r="M1406" s="2" t="s">
        <v>39</v>
      </c>
      <c r="N1406" s="2" t="s">
        <v>39</v>
      </c>
      <c r="O1406" s="2" t="s">
        <v>39</v>
      </c>
      <c r="P1406" s="2" t="s">
        <v>39</v>
      </c>
      <c r="Q1406" s="2" t="s">
        <v>39</v>
      </c>
      <c r="R1406" s="2" t="s">
        <v>39</v>
      </c>
      <c r="S1406" s="2" t="s">
        <v>39</v>
      </c>
      <c r="T1406" s="2" t="s">
        <v>39</v>
      </c>
      <c r="U1406" s="2" t="s">
        <v>39</v>
      </c>
      <c r="V1406" s="2" t="s">
        <v>39</v>
      </c>
      <c r="W1406" s="2" t="s">
        <v>39</v>
      </c>
      <c r="X1406" s="2" t="s">
        <v>39</v>
      </c>
      <c r="Y1406" s="2" t="s">
        <v>39</v>
      </c>
      <c r="Z1406" s="2" t="s">
        <v>39</v>
      </c>
      <c r="AA1406" s="2" t="s">
        <v>39</v>
      </c>
      <c r="AB1406" s="2" t="s">
        <v>39</v>
      </c>
      <c r="AC1406" s="2" t="s">
        <v>39</v>
      </c>
      <c r="AD1406" s="2" t="s">
        <v>38</v>
      </c>
      <c r="AE1406" s="2" t="s">
        <v>39</v>
      </c>
    </row>
    <row r="1407" spans="1:31" ht="409.5">
      <c r="A1407" s="2">
        <v>2576443</v>
      </c>
      <c r="B1407" s="2">
        <f>HYPERLINK("https://platform.v2.vetology.net/cases/2576443/screening-report/18?type=pdf&amp;v=v6&amp;scorecard=1&amp;secret_key=BX%25IJ%24%2F65ieZ%29f6", 2576443)</f>
        <v>2576443</v>
      </c>
      <c r="C1407" s="2">
        <f>HYPERLINK("https://platform.v2.vetology.net/report/v/final/"&amp;2576443, 2576443)</f>
        <v>2576443</v>
      </c>
      <c r="D1407" s="2" t="s">
        <v>4030</v>
      </c>
      <c r="E1407" s="2" t="s">
        <v>4031</v>
      </c>
      <c r="F1407" s="2" t="s">
        <v>81</v>
      </c>
      <c r="G1407" s="2" t="s">
        <v>268</v>
      </c>
      <c r="H1407" s="2" t="s">
        <v>4032</v>
      </c>
      <c r="I1407" s="2" t="s">
        <v>689</v>
      </c>
      <c r="J1407" s="2" t="s">
        <v>690</v>
      </c>
      <c r="K1407" s="2" t="s">
        <v>38</v>
      </c>
      <c r="L1407" s="2" t="s">
        <v>39</v>
      </c>
      <c r="M1407" s="2" t="s">
        <v>39</v>
      </c>
      <c r="N1407" s="2" t="s">
        <v>39</v>
      </c>
      <c r="O1407" s="2" t="s">
        <v>39</v>
      </c>
      <c r="P1407" s="2" t="s">
        <v>39</v>
      </c>
      <c r="Q1407" s="2" t="s">
        <v>38</v>
      </c>
      <c r="R1407" s="2" t="s">
        <v>38</v>
      </c>
      <c r="S1407" s="2" t="s">
        <v>39</v>
      </c>
      <c r="T1407" s="2" t="s">
        <v>39</v>
      </c>
      <c r="U1407" s="2" t="s">
        <v>39</v>
      </c>
      <c r="V1407" s="2" t="s">
        <v>39</v>
      </c>
      <c r="W1407" s="2" t="s">
        <v>38</v>
      </c>
      <c r="X1407" s="2" t="s">
        <v>39</v>
      </c>
      <c r="Y1407" s="2" t="s">
        <v>38</v>
      </c>
      <c r="Z1407" s="2" t="s">
        <v>39</v>
      </c>
      <c r="AA1407" s="2" t="s">
        <v>39</v>
      </c>
      <c r="AB1407" s="2" t="s">
        <v>39</v>
      </c>
      <c r="AC1407" s="2" t="s">
        <v>39</v>
      </c>
      <c r="AD1407" s="2" t="s">
        <v>38</v>
      </c>
      <c r="AE1407" s="2" t="s">
        <v>39</v>
      </c>
    </row>
    <row r="1408" spans="1:31" ht="409.5">
      <c r="A1408" s="2">
        <v>2576225</v>
      </c>
      <c r="B1408" s="2">
        <f>HYPERLINK("https://platform.v2.vetology.net/cases/2576225/screening-report/18?type=pdf&amp;v=v6&amp;scorecard=1&amp;secret_key=BX%25IJ%24%2F65ieZ%29f6", 2576225)</f>
        <v>2576225</v>
      </c>
      <c r="C1408" s="2">
        <f>HYPERLINK("https://platform.v2.vetology.net/report/v/final/"&amp;2576225, 2576225)</f>
        <v>2576225</v>
      </c>
      <c r="D1408" s="2" t="s">
        <v>4033</v>
      </c>
      <c r="E1408" s="2" t="s">
        <v>4034</v>
      </c>
      <c r="F1408" s="2" t="s">
        <v>81</v>
      </c>
      <c r="G1408" s="2" t="s">
        <v>268</v>
      </c>
      <c r="H1408" s="2" t="s">
        <v>1966</v>
      </c>
      <c r="I1408" s="2" t="s">
        <v>124</v>
      </c>
      <c r="J1408" s="2" t="s">
        <v>125</v>
      </c>
      <c r="K1408" s="2" t="s">
        <v>38</v>
      </c>
      <c r="L1408" s="2" t="s">
        <v>38</v>
      </c>
      <c r="M1408" s="2" t="s">
        <v>39</v>
      </c>
      <c r="N1408" s="2" t="s">
        <v>38</v>
      </c>
      <c r="O1408" s="2" t="s">
        <v>38</v>
      </c>
      <c r="P1408" s="2" t="s">
        <v>38</v>
      </c>
      <c r="Q1408" s="2" t="s">
        <v>38</v>
      </c>
      <c r="R1408" s="2" t="s">
        <v>38</v>
      </c>
      <c r="S1408" s="2" t="s">
        <v>38</v>
      </c>
      <c r="T1408" s="2" t="s">
        <v>39</v>
      </c>
      <c r="U1408" s="2" t="s">
        <v>38</v>
      </c>
      <c r="V1408" s="2" t="s">
        <v>38</v>
      </c>
      <c r="W1408" s="2" t="s">
        <v>38</v>
      </c>
      <c r="X1408" s="2" t="s">
        <v>39</v>
      </c>
      <c r="Y1408" s="2" t="s">
        <v>38</v>
      </c>
      <c r="Z1408" s="2" t="s">
        <v>38</v>
      </c>
      <c r="AA1408" s="2" t="s">
        <v>38</v>
      </c>
      <c r="AB1408" s="2" t="s">
        <v>38</v>
      </c>
      <c r="AC1408" s="2" t="s">
        <v>38</v>
      </c>
      <c r="AD1408" s="2" t="s">
        <v>38</v>
      </c>
      <c r="AE1408" s="2" t="s">
        <v>38</v>
      </c>
    </row>
    <row r="1409" spans="1:31" ht="409.5">
      <c r="A1409" s="2">
        <v>2576173</v>
      </c>
      <c r="B1409" s="2">
        <f>HYPERLINK("https://platform.v2.vetology.net/cases/2576173/screening-report/18?type=pdf&amp;v=v6&amp;scorecard=1&amp;secret_key=BX%25IJ%24%2F65ieZ%29f6", 2576173)</f>
        <v>2576173</v>
      </c>
      <c r="C1409" s="2">
        <f>HYPERLINK("https://platform.v2.vetology.net/report/v/final/"&amp;2576173, 2576173)</f>
        <v>2576173</v>
      </c>
      <c r="D1409" s="2" t="s">
        <v>4035</v>
      </c>
      <c r="E1409" s="2" t="s">
        <v>4036</v>
      </c>
      <c r="F1409" s="2" t="s">
        <v>4037</v>
      </c>
      <c r="G1409" s="2" t="s">
        <v>212</v>
      </c>
      <c r="H1409" s="2" t="s">
        <v>54</v>
      </c>
      <c r="I1409" s="2" t="s">
        <v>44</v>
      </c>
      <c r="J1409" s="2"/>
      <c r="K1409" s="2" t="s">
        <v>38</v>
      </c>
      <c r="L1409" s="2" t="s">
        <v>39</v>
      </c>
      <c r="M1409" s="2" t="s">
        <v>38</v>
      </c>
      <c r="N1409" s="2" t="s">
        <v>38</v>
      </c>
      <c r="O1409" s="2" t="s">
        <v>38</v>
      </c>
      <c r="P1409" s="2" t="s">
        <v>38</v>
      </c>
      <c r="Q1409" s="2" t="s">
        <v>38</v>
      </c>
      <c r="R1409" s="2" t="s">
        <v>38</v>
      </c>
      <c r="S1409" s="2" t="s">
        <v>39</v>
      </c>
      <c r="T1409" s="2" t="s">
        <v>38</v>
      </c>
      <c r="U1409" s="2" t="s">
        <v>38</v>
      </c>
      <c r="V1409" s="2" t="s">
        <v>39</v>
      </c>
      <c r="W1409" s="2" t="s">
        <v>38</v>
      </c>
      <c r="X1409" s="2" t="s">
        <v>39</v>
      </c>
      <c r="Y1409" s="2" t="s">
        <v>38</v>
      </c>
      <c r="Z1409" s="2" t="s">
        <v>38</v>
      </c>
      <c r="AA1409" s="2" t="s">
        <v>38</v>
      </c>
      <c r="AB1409" s="2" t="s">
        <v>38</v>
      </c>
      <c r="AC1409" s="2" t="s">
        <v>38</v>
      </c>
      <c r="AD1409" s="2" t="s">
        <v>38</v>
      </c>
      <c r="AE1409" s="2" t="s">
        <v>38</v>
      </c>
    </row>
    <row r="1410" spans="1:31" ht="409.5">
      <c r="A1410" s="2">
        <v>2575957</v>
      </c>
      <c r="B1410" s="2">
        <f>HYPERLINK("https://platform.v2.vetology.net/cases/2575957/screening-report/18?type=pdf&amp;v=v6&amp;scorecard=1&amp;secret_key=BX%25IJ%24%2F65ieZ%29f6", 2575957)</f>
        <v>2575957</v>
      </c>
      <c r="C1410" s="2">
        <f>HYPERLINK("https://platform.v2.vetology.net/report/v/final/"&amp;2575957, 2575957)</f>
        <v>2575957</v>
      </c>
      <c r="D1410" s="2" t="s">
        <v>229</v>
      </c>
      <c r="E1410" s="2" t="s">
        <v>148</v>
      </c>
      <c r="F1410" s="2" t="s">
        <v>149</v>
      </c>
      <c r="G1410" s="2" t="s">
        <v>150</v>
      </c>
      <c r="H1410" s="2" t="s">
        <v>4038</v>
      </c>
      <c r="I1410" s="2" t="s">
        <v>167</v>
      </c>
      <c r="J1410" s="2" t="s">
        <v>168</v>
      </c>
      <c r="K1410" s="2" t="s">
        <v>38</v>
      </c>
      <c r="L1410" s="2" t="s">
        <v>39</v>
      </c>
      <c r="M1410" s="2" t="s">
        <v>38</v>
      </c>
      <c r="N1410" s="2" t="s">
        <v>38</v>
      </c>
      <c r="O1410" s="2" t="s">
        <v>38</v>
      </c>
      <c r="P1410" s="2" t="s">
        <v>38</v>
      </c>
      <c r="Q1410" s="2" t="s">
        <v>38</v>
      </c>
      <c r="R1410" s="2" t="s">
        <v>38</v>
      </c>
      <c r="S1410" s="2" t="s">
        <v>39</v>
      </c>
      <c r="T1410" s="2" t="s">
        <v>38</v>
      </c>
      <c r="U1410" s="2" t="s">
        <v>38</v>
      </c>
      <c r="V1410" s="2" t="s">
        <v>38</v>
      </c>
      <c r="W1410" s="2" t="s">
        <v>38</v>
      </c>
      <c r="X1410" s="2" t="s">
        <v>38</v>
      </c>
      <c r="Y1410" s="2" t="s">
        <v>38</v>
      </c>
      <c r="Z1410" s="2" t="s">
        <v>38</v>
      </c>
      <c r="AA1410" s="2" t="s">
        <v>38</v>
      </c>
      <c r="AB1410" s="2" t="s">
        <v>38</v>
      </c>
      <c r="AC1410" s="2" t="s">
        <v>38</v>
      </c>
      <c r="AD1410" s="2" t="s">
        <v>38</v>
      </c>
      <c r="AE1410" s="2" t="s">
        <v>38</v>
      </c>
    </row>
    <row r="1411" spans="1:31" ht="409.5">
      <c r="A1411" s="2">
        <v>2575787</v>
      </c>
      <c r="B1411" s="2">
        <f>HYPERLINK("https://platform.v2.vetology.net/cases/2575787/screening-report/18?type=pdf&amp;v=v6&amp;scorecard=1&amp;secret_key=BX%25IJ%24%2F65ieZ%29f6", 2575787)</f>
        <v>2575787</v>
      </c>
      <c r="C1411" s="2">
        <f>HYPERLINK("https://platform.v2.vetology.net/report/v/final/"&amp;2575787, 2575787)</f>
        <v>2575787</v>
      </c>
      <c r="D1411" s="2" t="s">
        <v>4039</v>
      </c>
      <c r="E1411" s="2" t="s">
        <v>4040</v>
      </c>
      <c r="F1411" s="2" t="s">
        <v>81</v>
      </c>
      <c r="G1411" s="2" t="s">
        <v>268</v>
      </c>
      <c r="H1411" s="2" t="s">
        <v>78</v>
      </c>
      <c r="I1411" s="2" t="s">
        <v>44</v>
      </c>
      <c r="J1411" s="2"/>
      <c r="K1411" s="2" t="s">
        <v>38</v>
      </c>
      <c r="L1411" s="2" t="s">
        <v>39</v>
      </c>
      <c r="M1411" s="2" t="s">
        <v>39</v>
      </c>
      <c r="N1411" s="2" t="s">
        <v>38</v>
      </c>
      <c r="O1411" s="2" t="s">
        <v>39</v>
      </c>
      <c r="P1411" s="2" t="s">
        <v>38</v>
      </c>
      <c r="Q1411" s="2" t="s">
        <v>38</v>
      </c>
      <c r="R1411" s="2" t="s">
        <v>38</v>
      </c>
      <c r="S1411" s="2" t="s">
        <v>38</v>
      </c>
      <c r="T1411" s="2" t="s">
        <v>39</v>
      </c>
      <c r="U1411" s="2" t="s">
        <v>38</v>
      </c>
      <c r="V1411" s="2" t="s">
        <v>39</v>
      </c>
      <c r="W1411" s="2" t="s">
        <v>38</v>
      </c>
      <c r="X1411" s="2" t="s">
        <v>39</v>
      </c>
      <c r="Y1411" s="2" t="s">
        <v>38</v>
      </c>
      <c r="Z1411" s="2" t="s">
        <v>38</v>
      </c>
      <c r="AA1411" s="2" t="s">
        <v>38</v>
      </c>
      <c r="AB1411" s="2" t="s">
        <v>38</v>
      </c>
      <c r="AC1411" s="2" t="s">
        <v>38</v>
      </c>
      <c r="AD1411" s="2" t="s">
        <v>38</v>
      </c>
      <c r="AE1411" s="2" t="s">
        <v>38</v>
      </c>
    </row>
    <row r="1412" spans="1:31" ht="409.5">
      <c r="A1412" s="2">
        <v>2575722</v>
      </c>
      <c r="B1412" s="2">
        <f>HYPERLINK("https://platform.v2.vetology.net/cases/2575722/screening-report/18?type=pdf&amp;v=v6&amp;scorecard=1&amp;secret_key=BX%25IJ%24%2F65ieZ%29f6", 2575722)</f>
        <v>2575722</v>
      </c>
      <c r="C1412" s="2">
        <f>HYPERLINK("https://platform.v2.vetology.net/report/v/final/"&amp;2575722, 2575722)</f>
        <v>2575722</v>
      </c>
      <c r="D1412" s="2" t="s">
        <v>229</v>
      </c>
      <c r="E1412" s="2" t="s">
        <v>148</v>
      </c>
      <c r="F1412" s="2" t="s">
        <v>149</v>
      </c>
      <c r="G1412" s="2" t="s">
        <v>150</v>
      </c>
      <c r="H1412" s="2" t="s">
        <v>88</v>
      </c>
      <c r="I1412" s="2" t="s">
        <v>89</v>
      </c>
      <c r="J1412" s="2" t="s">
        <v>66</v>
      </c>
      <c r="K1412" s="2" t="s">
        <v>38</v>
      </c>
      <c r="L1412" s="2" t="s">
        <v>39</v>
      </c>
      <c r="M1412" s="2" t="s">
        <v>38</v>
      </c>
      <c r="N1412" s="2" t="s">
        <v>38</v>
      </c>
      <c r="O1412" s="2" t="s">
        <v>38</v>
      </c>
      <c r="P1412" s="2" t="s">
        <v>38</v>
      </c>
      <c r="Q1412" s="2" t="s">
        <v>38</v>
      </c>
      <c r="R1412" s="2" t="s">
        <v>38</v>
      </c>
      <c r="S1412" s="2" t="s">
        <v>38</v>
      </c>
      <c r="T1412" s="2" t="s">
        <v>38</v>
      </c>
      <c r="U1412" s="2" t="s">
        <v>38</v>
      </c>
      <c r="V1412" s="2" t="s">
        <v>38</v>
      </c>
      <c r="W1412" s="2" t="s">
        <v>38</v>
      </c>
      <c r="X1412" s="2" t="s">
        <v>38</v>
      </c>
      <c r="Y1412" s="2" t="s">
        <v>38</v>
      </c>
      <c r="Z1412" s="2" t="s">
        <v>38</v>
      </c>
      <c r="AA1412" s="2" t="s">
        <v>38</v>
      </c>
      <c r="AB1412" s="2" t="s">
        <v>39</v>
      </c>
      <c r="AC1412" s="2" t="s">
        <v>39</v>
      </c>
      <c r="AD1412" s="2" t="s">
        <v>38</v>
      </c>
      <c r="AE1412" s="2" t="s">
        <v>39</v>
      </c>
    </row>
    <row r="1413" spans="1:31" ht="409.5">
      <c r="A1413" s="2">
        <v>2575402</v>
      </c>
      <c r="B1413" s="2">
        <f>HYPERLINK("https://platform.v2.vetology.net/cases/2575402/screening-report/18?type=pdf&amp;v=v6&amp;scorecard=1&amp;secret_key=BX%25IJ%24%2F65ieZ%29f6", 2575402)</f>
        <v>2575402</v>
      </c>
      <c r="C1413" s="2">
        <f>HYPERLINK("https://platform.v2.vetology.net/report/v/final/"&amp;2575402, 2575402)</f>
        <v>2575402</v>
      </c>
      <c r="D1413" s="2" t="s">
        <v>4041</v>
      </c>
      <c r="E1413" s="2" t="s">
        <v>4042</v>
      </c>
      <c r="F1413" s="2" t="s">
        <v>81</v>
      </c>
      <c r="G1413" s="2" t="s">
        <v>82</v>
      </c>
      <c r="H1413" s="2" t="s">
        <v>43</v>
      </c>
      <c r="I1413" s="2" t="s">
        <v>44</v>
      </c>
      <c r="J1413" s="2"/>
      <c r="K1413" s="2" t="s">
        <v>38</v>
      </c>
      <c r="L1413" s="2" t="s">
        <v>38</v>
      </c>
      <c r="M1413" s="2" t="s">
        <v>38</v>
      </c>
      <c r="N1413" s="2" t="s">
        <v>38</v>
      </c>
      <c r="O1413" s="2" t="s">
        <v>38</v>
      </c>
      <c r="P1413" s="2" t="s">
        <v>38</v>
      </c>
      <c r="Q1413" s="2" t="s">
        <v>38</v>
      </c>
      <c r="R1413" s="2" t="s">
        <v>38</v>
      </c>
      <c r="S1413" s="2" t="s">
        <v>38</v>
      </c>
      <c r="T1413" s="2" t="s">
        <v>38</v>
      </c>
      <c r="U1413" s="2" t="s">
        <v>38</v>
      </c>
      <c r="V1413" s="2" t="s">
        <v>38</v>
      </c>
      <c r="W1413" s="2" t="s">
        <v>38</v>
      </c>
      <c r="X1413" s="2" t="s">
        <v>38</v>
      </c>
      <c r="Y1413" s="2" t="s">
        <v>38</v>
      </c>
      <c r="Z1413" s="2" t="s">
        <v>38</v>
      </c>
      <c r="AA1413" s="2" t="s">
        <v>38</v>
      </c>
      <c r="AB1413" s="2" t="s">
        <v>38</v>
      </c>
      <c r="AC1413" s="2" t="s">
        <v>38</v>
      </c>
      <c r="AD1413" s="2" t="s">
        <v>38</v>
      </c>
      <c r="AE1413" s="2" t="s">
        <v>38</v>
      </c>
    </row>
    <row r="1414" spans="1:31" ht="409.5">
      <c r="A1414" s="2">
        <v>2574803</v>
      </c>
      <c r="B1414" s="2">
        <f>HYPERLINK("https://platform.v2.vetology.net/cases/2574803/screening-report/18?type=pdf&amp;v=v6&amp;scorecard=1&amp;secret_key=BX%25IJ%24%2F65ieZ%29f6", 2574803)</f>
        <v>2574803</v>
      </c>
      <c r="C1414" s="2">
        <f>HYPERLINK("https://platform.v2.vetology.net/report/v/final/"&amp;2574803, 2574803)</f>
        <v>2574803</v>
      </c>
      <c r="D1414" s="2" t="s">
        <v>4043</v>
      </c>
      <c r="E1414" s="2" t="s">
        <v>4044</v>
      </c>
      <c r="F1414" s="2" t="s">
        <v>4045</v>
      </c>
      <c r="G1414" s="2" t="s">
        <v>82</v>
      </c>
      <c r="H1414" s="2" t="s">
        <v>1460</v>
      </c>
      <c r="I1414" s="2" t="s">
        <v>214</v>
      </c>
      <c r="J1414" s="2" t="s">
        <v>50</v>
      </c>
      <c r="K1414" s="2" t="s">
        <v>38</v>
      </c>
      <c r="L1414" s="2" t="s">
        <v>38</v>
      </c>
      <c r="M1414" s="2" t="s">
        <v>38</v>
      </c>
      <c r="N1414" s="2" t="s">
        <v>38</v>
      </c>
      <c r="O1414" s="2" t="s">
        <v>38</v>
      </c>
      <c r="P1414" s="2" t="s">
        <v>38</v>
      </c>
      <c r="Q1414" s="2" t="s">
        <v>38</v>
      </c>
      <c r="R1414" s="2" t="s">
        <v>38</v>
      </c>
      <c r="S1414" s="2" t="s">
        <v>38</v>
      </c>
      <c r="T1414" s="2" t="s">
        <v>38</v>
      </c>
      <c r="U1414" s="2" t="s">
        <v>38</v>
      </c>
      <c r="V1414" s="2" t="s">
        <v>38</v>
      </c>
      <c r="W1414" s="2" t="s">
        <v>38</v>
      </c>
      <c r="X1414" s="2" t="s">
        <v>38</v>
      </c>
      <c r="Y1414" s="2" t="s">
        <v>38</v>
      </c>
      <c r="Z1414" s="2" t="s">
        <v>39</v>
      </c>
      <c r="AA1414" s="2" t="s">
        <v>38</v>
      </c>
      <c r="AB1414" s="2" t="s">
        <v>38</v>
      </c>
      <c r="AC1414" s="2" t="s">
        <v>38</v>
      </c>
      <c r="AD1414" s="2" t="s">
        <v>38</v>
      </c>
      <c r="AE1414" s="2" t="s">
        <v>38</v>
      </c>
    </row>
    <row r="1415" spans="1:31" ht="409.5">
      <c r="A1415" s="2">
        <v>2574772</v>
      </c>
      <c r="B1415" s="2">
        <f>HYPERLINK("https://platform.v2.vetology.net/cases/2574772/screening-report/18?type=pdf&amp;v=v6&amp;scorecard=1&amp;secret_key=BX%25IJ%24%2F65ieZ%29f6", 2574772)</f>
        <v>2574772</v>
      </c>
      <c r="C1415" s="2">
        <f>HYPERLINK("https://platform.v2.vetology.net/report/v/final/"&amp;2574772, 2574772)</f>
        <v>2574772</v>
      </c>
      <c r="D1415" s="2" t="s">
        <v>4046</v>
      </c>
      <c r="E1415" s="2" t="s">
        <v>4047</v>
      </c>
      <c r="F1415" s="2" t="s">
        <v>81</v>
      </c>
      <c r="G1415" s="2" t="s">
        <v>268</v>
      </c>
      <c r="H1415" s="2" t="s">
        <v>339</v>
      </c>
      <c r="I1415" s="2" t="s">
        <v>124</v>
      </c>
      <c r="J1415" s="2" t="s">
        <v>125</v>
      </c>
      <c r="K1415" s="2" t="s">
        <v>38</v>
      </c>
      <c r="L1415" s="2" t="s">
        <v>38</v>
      </c>
      <c r="M1415" s="2" t="s">
        <v>39</v>
      </c>
      <c r="N1415" s="2" t="s">
        <v>38</v>
      </c>
      <c r="O1415" s="2" t="s">
        <v>38</v>
      </c>
      <c r="P1415" s="2" t="s">
        <v>38</v>
      </c>
      <c r="Q1415" s="2" t="s">
        <v>38</v>
      </c>
      <c r="R1415" s="2" t="s">
        <v>38</v>
      </c>
      <c r="S1415" s="2" t="s">
        <v>38</v>
      </c>
      <c r="T1415" s="2" t="s">
        <v>39</v>
      </c>
      <c r="U1415" s="2" t="s">
        <v>38</v>
      </c>
      <c r="V1415" s="2" t="s">
        <v>38</v>
      </c>
      <c r="W1415" s="2" t="s">
        <v>38</v>
      </c>
      <c r="X1415" s="2" t="s">
        <v>39</v>
      </c>
      <c r="Y1415" s="2" t="s">
        <v>38</v>
      </c>
      <c r="Z1415" s="2" t="s">
        <v>38</v>
      </c>
      <c r="AA1415" s="2" t="s">
        <v>38</v>
      </c>
      <c r="AB1415" s="2" t="s">
        <v>38</v>
      </c>
      <c r="AC1415" s="2" t="s">
        <v>39</v>
      </c>
      <c r="AD1415" s="2" t="s">
        <v>38</v>
      </c>
      <c r="AE1415" s="2" t="s">
        <v>38</v>
      </c>
    </row>
    <row r="1416" spans="1:31" ht="409.5">
      <c r="A1416" s="2">
        <v>2574750</v>
      </c>
      <c r="B1416" s="2">
        <f>HYPERLINK("https://platform.v2.vetology.net/cases/2574750/screening-report/18?type=pdf&amp;v=v6&amp;scorecard=1&amp;secret_key=BX%25IJ%24%2F65ieZ%29f6", 2574750)</f>
        <v>2574750</v>
      </c>
      <c r="C1416" s="2">
        <f>HYPERLINK("https://platform.v2.vetology.net/report/v/final/"&amp;2574750, 2574750)</f>
        <v>2574750</v>
      </c>
      <c r="D1416" s="2" t="s">
        <v>4048</v>
      </c>
      <c r="E1416" s="2" t="s">
        <v>4049</v>
      </c>
      <c r="F1416" s="2" t="s">
        <v>4050</v>
      </c>
      <c r="G1416" s="2" t="s">
        <v>82</v>
      </c>
      <c r="H1416" s="2" t="s">
        <v>488</v>
      </c>
      <c r="I1416" s="2" t="s">
        <v>89</v>
      </c>
      <c r="J1416" s="2" t="s">
        <v>66</v>
      </c>
      <c r="K1416" s="2" t="s">
        <v>38</v>
      </c>
      <c r="L1416" s="2" t="s">
        <v>38</v>
      </c>
      <c r="M1416" s="2" t="s">
        <v>38</v>
      </c>
      <c r="N1416" s="2" t="s">
        <v>38</v>
      </c>
      <c r="O1416" s="2" t="s">
        <v>38</v>
      </c>
      <c r="P1416" s="2" t="s">
        <v>38</v>
      </c>
      <c r="Q1416" s="2" t="s">
        <v>38</v>
      </c>
      <c r="R1416" s="2" t="s">
        <v>38</v>
      </c>
      <c r="S1416" s="2" t="s">
        <v>39</v>
      </c>
      <c r="T1416" s="2" t="s">
        <v>39</v>
      </c>
      <c r="U1416" s="2" t="s">
        <v>38</v>
      </c>
      <c r="V1416" s="2" t="s">
        <v>39</v>
      </c>
      <c r="W1416" s="2" t="s">
        <v>38</v>
      </c>
      <c r="X1416" s="2" t="s">
        <v>39</v>
      </c>
      <c r="Y1416" s="2" t="s">
        <v>38</v>
      </c>
      <c r="Z1416" s="2" t="s">
        <v>38</v>
      </c>
      <c r="AA1416" s="2" t="s">
        <v>38</v>
      </c>
      <c r="AB1416" s="2" t="s">
        <v>38</v>
      </c>
      <c r="AC1416" s="2" t="s">
        <v>38</v>
      </c>
      <c r="AD1416" s="2" t="s">
        <v>38</v>
      </c>
      <c r="AE1416" s="2" t="s">
        <v>39</v>
      </c>
    </row>
    <row r="1417" spans="1:31" ht="409.5">
      <c r="A1417" s="2">
        <v>2574664</v>
      </c>
      <c r="B1417" s="2">
        <f>HYPERLINK("https://platform.v2.vetology.net/cases/2574664/screening-report/18?type=pdf&amp;v=v6&amp;scorecard=1&amp;secret_key=BX%25IJ%24%2F65ieZ%29f6", 2574664)</f>
        <v>2574664</v>
      </c>
      <c r="C1417" s="2">
        <f>HYPERLINK("https://platform.v2.vetology.net/report/v/final/"&amp;2574664, 2574664)</f>
        <v>2574664</v>
      </c>
      <c r="D1417" s="2" t="s">
        <v>4051</v>
      </c>
      <c r="E1417" s="2" t="s">
        <v>4052</v>
      </c>
      <c r="F1417" s="2" t="s">
        <v>4053</v>
      </c>
      <c r="G1417" s="2" t="s">
        <v>464</v>
      </c>
      <c r="H1417" s="2" t="s">
        <v>177</v>
      </c>
      <c r="I1417" s="2" t="s">
        <v>124</v>
      </c>
      <c r="J1417" s="2" t="s">
        <v>125</v>
      </c>
      <c r="K1417" s="2" t="s">
        <v>38</v>
      </c>
      <c r="L1417" s="2" t="s">
        <v>39</v>
      </c>
      <c r="M1417" s="2" t="s">
        <v>39</v>
      </c>
      <c r="N1417" s="2" t="s">
        <v>38</v>
      </c>
      <c r="O1417" s="2" t="s">
        <v>38</v>
      </c>
      <c r="P1417" s="2" t="s">
        <v>38</v>
      </c>
      <c r="Q1417" s="2" t="s">
        <v>38</v>
      </c>
      <c r="R1417" s="2" t="s">
        <v>38</v>
      </c>
      <c r="S1417" s="2" t="s">
        <v>38</v>
      </c>
      <c r="T1417" s="2" t="s">
        <v>38</v>
      </c>
      <c r="U1417" s="2" t="s">
        <v>38</v>
      </c>
      <c r="V1417" s="2" t="s">
        <v>38</v>
      </c>
      <c r="W1417" s="2" t="s">
        <v>38</v>
      </c>
      <c r="X1417" s="2" t="s">
        <v>39</v>
      </c>
      <c r="Y1417" s="2" t="s">
        <v>38</v>
      </c>
      <c r="Z1417" s="2" t="s">
        <v>38</v>
      </c>
      <c r="AA1417" s="2" t="s">
        <v>38</v>
      </c>
      <c r="AB1417" s="2" t="s">
        <v>38</v>
      </c>
      <c r="AC1417" s="2" t="s">
        <v>38</v>
      </c>
      <c r="AD1417" s="2" t="s">
        <v>38</v>
      </c>
      <c r="AE1417" s="2" t="s">
        <v>38</v>
      </c>
    </row>
    <row r="1418" spans="1:31" ht="409.5">
      <c r="A1418" s="2">
        <v>2574372</v>
      </c>
      <c r="B1418" s="2">
        <f>HYPERLINK("https://platform.v2.vetology.net/cases/2574372/screening-report/18?type=pdf&amp;v=v6&amp;scorecard=1&amp;secret_key=BX%25IJ%24%2F65ieZ%29f6", 2574372)</f>
        <v>2574372</v>
      </c>
      <c r="C1418" s="2">
        <f>HYPERLINK("https://platform.v2.vetology.net/report/v/final/"&amp;2574372, 2574372)</f>
        <v>2574372</v>
      </c>
      <c r="D1418" s="2" t="s">
        <v>4054</v>
      </c>
      <c r="E1418" s="2" t="s">
        <v>4055</v>
      </c>
      <c r="F1418" s="2" t="s">
        <v>4056</v>
      </c>
      <c r="G1418" s="2" t="s">
        <v>63</v>
      </c>
      <c r="H1418" s="2" t="s">
        <v>177</v>
      </c>
      <c r="I1418" s="2" t="s">
        <v>124</v>
      </c>
      <c r="J1418" s="2" t="s">
        <v>125</v>
      </c>
      <c r="K1418" s="2" t="s">
        <v>38</v>
      </c>
      <c r="L1418" s="2" t="s">
        <v>38</v>
      </c>
      <c r="M1418" s="2" t="s">
        <v>39</v>
      </c>
      <c r="N1418" s="2" t="s">
        <v>38</v>
      </c>
      <c r="O1418" s="2" t="s">
        <v>38</v>
      </c>
      <c r="P1418" s="2" t="s">
        <v>38</v>
      </c>
      <c r="Q1418" s="2" t="s">
        <v>38</v>
      </c>
      <c r="R1418" s="2" t="s">
        <v>38</v>
      </c>
      <c r="S1418" s="2" t="s">
        <v>38</v>
      </c>
      <c r="T1418" s="2" t="s">
        <v>38</v>
      </c>
      <c r="U1418" s="2" t="s">
        <v>38</v>
      </c>
      <c r="V1418" s="2" t="s">
        <v>38</v>
      </c>
      <c r="W1418" s="2" t="s">
        <v>38</v>
      </c>
      <c r="X1418" s="2" t="s">
        <v>38</v>
      </c>
      <c r="Y1418" s="2" t="s">
        <v>38</v>
      </c>
      <c r="Z1418" s="2" t="s">
        <v>38</v>
      </c>
      <c r="AA1418" s="2" t="s">
        <v>38</v>
      </c>
      <c r="AB1418" s="2" t="s">
        <v>38</v>
      </c>
      <c r="AC1418" s="2" t="s">
        <v>39</v>
      </c>
      <c r="AD1418" s="2" t="s">
        <v>38</v>
      </c>
      <c r="AE1418" s="2" t="s">
        <v>38</v>
      </c>
    </row>
    <row r="1419" spans="1:31" ht="409.5">
      <c r="A1419" s="2">
        <v>2574338</v>
      </c>
      <c r="B1419" s="2">
        <f>HYPERLINK("https://platform.v2.vetology.net/cases/2574338/screening-report/18?type=pdf&amp;v=v6&amp;scorecard=1&amp;secret_key=BX%25IJ%24%2F65ieZ%29f6", 2574338)</f>
        <v>2574338</v>
      </c>
      <c r="C1419" s="2">
        <f>HYPERLINK("https://platform.v2.vetology.net/report/v/final/"&amp;2574338, 2574338)</f>
        <v>2574338</v>
      </c>
      <c r="D1419" s="2" t="s">
        <v>4057</v>
      </c>
      <c r="E1419" s="2" t="s">
        <v>4058</v>
      </c>
      <c r="F1419" s="2" t="s">
        <v>4059</v>
      </c>
      <c r="G1419" s="2" t="s">
        <v>268</v>
      </c>
      <c r="H1419" s="2" t="s">
        <v>54</v>
      </c>
      <c r="I1419" s="2" t="s">
        <v>199</v>
      </c>
      <c r="J1419" s="2"/>
      <c r="K1419" s="2" t="s">
        <v>38</v>
      </c>
      <c r="L1419" s="2" t="s">
        <v>39</v>
      </c>
      <c r="M1419" s="2" t="s">
        <v>39</v>
      </c>
      <c r="N1419" s="2" t="s">
        <v>38</v>
      </c>
      <c r="O1419" s="2" t="s">
        <v>38</v>
      </c>
      <c r="P1419" s="2" t="s">
        <v>39</v>
      </c>
      <c r="Q1419" s="2" t="s">
        <v>38</v>
      </c>
      <c r="R1419" s="2" t="s">
        <v>38</v>
      </c>
      <c r="S1419" s="2" t="s">
        <v>38</v>
      </c>
      <c r="T1419" s="2" t="s">
        <v>39</v>
      </c>
      <c r="U1419" s="2" t="s">
        <v>38</v>
      </c>
      <c r="V1419" s="2" t="s">
        <v>39</v>
      </c>
      <c r="W1419" s="2" t="s">
        <v>38</v>
      </c>
      <c r="X1419" s="2" t="s">
        <v>39</v>
      </c>
      <c r="Y1419" s="2" t="s">
        <v>38</v>
      </c>
      <c r="Z1419" s="2" t="s">
        <v>38</v>
      </c>
      <c r="AA1419" s="2" t="s">
        <v>38</v>
      </c>
      <c r="AB1419" s="2" t="s">
        <v>39</v>
      </c>
      <c r="AC1419" s="2" t="s">
        <v>39</v>
      </c>
      <c r="AD1419" s="2" t="s">
        <v>38</v>
      </c>
      <c r="AE1419" s="2" t="s">
        <v>38</v>
      </c>
    </row>
    <row r="1420" spans="1:31" ht="409.5">
      <c r="A1420" s="2">
        <v>2574098</v>
      </c>
      <c r="B1420" s="2">
        <f>HYPERLINK("https://platform.v2.vetology.net/cases/2574098/screening-report/18?type=pdf&amp;v=v6&amp;scorecard=1&amp;secret_key=BX%25IJ%24%2F65ieZ%29f6", 2574098)</f>
        <v>2574098</v>
      </c>
      <c r="C1420" s="2">
        <f>HYPERLINK("https://platform.v2.vetology.net/report/v/final/"&amp;2574098, 2574098)</f>
        <v>2574098</v>
      </c>
      <c r="D1420" s="2" t="s">
        <v>4060</v>
      </c>
      <c r="E1420" s="2" t="s">
        <v>4061</v>
      </c>
      <c r="F1420" s="2" t="s">
        <v>81</v>
      </c>
      <c r="G1420" s="2" t="s">
        <v>82</v>
      </c>
      <c r="H1420" s="2" t="s">
        <v>1416</v>
      </c>
      <c r="I1420" s="2" t="s">
        <v>284</v>
      </c>
      <c r="J1420" s="2" t="s">
        <v>285</v>
      </c>
      <c r="K1420" s="2" t="s">
        <v>38</v>
      </c>
      <c r="L1420" s="2" t="s">
        <v>38</v>
      </c>
      <c r="M1420" s="2" t="s">
        <v>38</v>
      </c>
      <c r="N1420" s="2" t="s">
        <v>38</v>
      </c>
      <c r="O1420" s="2" t="s">
        <v>38</v>
      </c>
      <c r="P1420" s="2" t="s">
        <v>38</v>
      </c>
      <c r="Q1420" s="2" t="s">
        <v>38</v>
      </c>
      <c r="R1420" s="2" t="s">
        <v>38</v>
      </c>
      <c r="S1420" s="2" t="s">
        <v>38</v>
      </c>
      <c r="T1420" s="2" t="s">
        <v>38</v>
      </c>
      <c r="U1420" s="2" t="s">
        <v>38</v>
      </c>
      <c r="V1420" s="2" t="s">
        <v>38</v>
      </c>
      <c r="W1420" s="2" t="s">
        <v>38</v>
      </c>
      <c r="X1420" s="2" t="s">
        <v>38</v>
      </c>
      <c r="Y1420" s="2" t="s">
        <v>38</v>
      </c>
      <c r="Z1420" s="2" t="s">
        <v>38</v>
      </c>
      <c r="AA1420" s="2" t="s">
        <v>38</v>
      </c>
      <c r="AB1420" s="2" t="s">
        <v>38</v>
      </c>
      <c r="AC1420" s="2" t="s">
        <v>38</v>
      </c>
      <c r="AD1420" s="2" t="s">
        <v>38</v>
      </c>
      <c r="AE1420" s="2" t="s">
        <v>38</v>
      </c>
    </row>
    <row r="1421" spans="1:31" ht="409.5">
      <c r="A1421" s="2">
        <v>2574054</v>
      </c>
      <c r="B1421" s="2">
        <f>HYPERLINK("https://platform.v2.vetology.net/cases/2574054/screening-report/18?type=pdf&amp;v=v6&amp;scorecard=1&amp;secret_key=BX%25IJ%24%2F65ieZ%29f6", 2574054)</f>
        <v>2574054</v>
      </c>
      <c r="C1421" s="2">
        <f>HYPERLINK("https://platform.v2.vetology.net/report/v/final/"&amp;2574054, 2574054)</f>
        <v>2574054</v>
      </c>
      <c r="D1421" s="2" t="s">
        <v>4062</v>
      </c>
      <c r="E1421" s="2" t="s">
        <v>4063</v>
      </c>
      <c r="F1421" s="2" t="s">
        <v>2509</v>
      </c>
      <c r="G1421" s="2" t="s">
        <v>82</v>
      </c>
      <c r="H1421" s="2" t="s">
        <v>2017</v>
      </c>
      <c r="I1421" s="2" t="s">
        <v>65</v>
      </c>
      <c r="J1421" s="2" t="s">
        <v>66</v>
      </c>
      <c r="K1421" s="2" t="s">
        <v>38</v>
      </c>
      <c r="L1421" s="2" t="s">
        <v>39</v>
      </c>
      <c r="M1421" s="2" t="s">
        <v>39</v>
      </c>
      <c r="N1421" s="2" t="s">
        <v>39</v>
      </c>
      <c r="O1421" s="2" t="s">
        <v>38</v>
      </c>
      <c r="P1421" s="2" t="s">
        <v>39</v>
      </c>
      <c r="Q1421" s="2" t="s">
        <v>38</v>
      </c>
      <c r="R1421" s="2" t="s">
        <v>38</v>
      </c>
      <c r="S1421" s="2" t="s">
        <v>38</v>
      </c>
      <c r="T1421" s="2" t="s">
        <v>38</v>
      </c>
      <c r="U1421" s="2" t="s">
        <v>38</v>
      </c>
      <c r="V1421" s="2" t="s">
        <v>38</v>
      </c>
      <c r="W1421" s="2" t="s">
        <v>38</v>
      </c>
      <c r="X1421" s="2" t="s">
        <v>38</v>
      </c>
      <c r="Y1421" s="2" t="s">
        <v>38</v>
      </c>
      <c r="Z1421" s="2" t="s">
        <v>39</v>
      </c>
      <c r="AA1421" s="2" t="s">
        <v>38</v>
      </c>
      <c r="AB1421" s="2" t="s">
        <v>39</v>
      </c>
      <c r="AC1421" s="2" t="s">
        <v>39</v>
      </c>
      <c r="AD1421" s="2" t="s">
        <v>38</v>
      </c>
      <c r="AE1421" s="2" t="s">
        <v>38</v>
      </c>
    </row>
    <row r="1422" spans="1:31" ht="409.5">
      <c r="A1422" s="2">
        <v>2574050</v>
      </c>
      <c r="B1422" s="2">
        <f>HYPERLINK("https://platform.v2.vetology.net/cases/2574050/screening-report/18?type=pdf&amp;v=v6&amp;scorecard=1&amp;secret_key=BX%25IJ%24%2F65ieZ%29f6", 2574050)</f>
        <v>2574050</v>
      </c>
      <c r="C1422" s="2">
        <f>HYPERLINK("https://platform.v2.vetology.net/report/v/final/"&amp;2574050, 2574050)</f>
        <v>2574050</v>
      </c>
      <c r="D1422" s="2" t="s">
        <v>4064</v>
      </c>
      <c r="E1422" s="2" t="s">
        <v>4065</v>
      </c>
      <c r="F1422" s="2" t="s">
        <v>4066</v>
      </c>
      <c r="G1422" s="2" t="s">
        <v>464</v>
      </c>
      <c r="H1422" s="2" t="s">
        <v>1110</v>
      </c>
      <c r="I1422" s="2" t="s">
        <v>214</v>
      </c>
      <c r="J1422" s="2" t="s">
        <v>50</v>
      </c>
      <c r="K1422" s="2" t="s">
        <v>38</v>
      </c>
      <c r="L1422" s="2" t="s">
        <v>39</v>
      </c>
      <c r="M1422" s="2" t="s">
        <v>39</v>
      </c>
      <c r="N1422" s="2" t="s">
        <v>38</v>
      </c>
      <c r="O1422" s="2" t="s">
        <v>39</v>
      </c>
      <c r="P1422" s="2" t="s">
        <v>38</v>
      </c>
      <c r="Q1422" s="2" t="s">
        <v>39</v>
      </c>
      <c r="R1422" s="2" t="s">
        <v>38</v>
      </c>
      <c r="S1422" s="2" t="s">
        <v>39</v>
      </c>
      <c r="T1422" s="2" t="s">
        <v>38</v>
      </c>
      <c r="U1422" s="2" t="s">
        <v>38</v>
      </c>
      <c r="V1422" s="2" t="s">
        <v>38</v>
      </c>
      <c r="W1422" s="2" t="s">
        <v>38</v>
      </c>
      <c r="X1422" s="2" t="s">
        <v>39</v>
      </c>
      <c r="Y1422" s="2" t="s">
        <v>38</v>
      </c>
      <c r="Z1422" s="2" t="s">
        <v>39</v>
      </c>
      <c r="AA1422" s="2" t="s">
        <v>38</v>
      </c>
      <c r="AB1422" s="2" t="s">
        <v>39</v>
      </c>
      <c r="AC1422" s="2" t="s">
        <v>39</v>
      </c>
      <c r="AD1422" s="2" t="s">
        <v>38</v>
      </c>
      <c r="AE1422" s="2" t="s">
        <v>39</v>
      </c>
    </row>
    <row r="1423" spans="1:31" ht="409.5">
      <c r="A1423" s="2">
        <v>2573729</v>
      </c>
      <c r="B1423" s="2">
        <f>HYPERLINK("https://platform.v2.vetology.net/cases/2573729/screening-report/18?type=pdf&amp;v=v6&amp;scorecard=1&amp;secret_key=BX%25IJ%24%2F65ieZ%29f6", 2573729)</f>
        <v>2573729</v>
      </c>
      <c r="C1423" s="2">
        <f>HYPERLINK("https://platform.v2.vetology.net/report/v/final/"&amp;2573729, 2573729)</f>
        <v>2573729</v>
      </c>
      <c r="D1423" s="2" t="s">
        <v>1637</v>
      </c>
      <c r="E1423" s="2" t="s">
        <v>148</v>
      </c>
      <c r="F1423" s="2" t="s">
        <v>149</v>
      </c>
      <c r="G1423" s="2" t="s">
        <v>150</v>
      </c>
      <c r="H1423" s="2" t="s">
        <v>901</v>
      </c>
      <c r="I1423" s="2" t="s">
        <v>689</v>
      </c>
      <c r="J1423" s="2" t="s">
        <v>690</v>
      </c>
      <c r="K1423" s="2" t="s">
        <v>38</v>
      </c>
      <c r="L1423" s="2" t="s">
        <v>39</v>
      </c>
      <c r="M1423" s="2" t="s">
        <v>39</v>
      </c>
      <c r="N1423" s="2" t="s">
        <v>38</v>
      </c>
      <c r="O1423" s="2" t="s">
        <v>38</v>
      </c>
      <c r="P1423" s="2" t="s">
        <v>39</v>
      </c>
      <c r="Q1423" s="2" t="s">
        <v>38</v>
      </c>
      <c r="R1423" s="2" t="s">
        <v>38</v>
      </c>
      <c r="S1423" s="2" t="s">
        <v>39</v>
      </c>
      <c r="T1423" s="2" t="s">
        <v>38</v>
      </c>
      <c r="U1423" s="2" t="s">
        <v>39</v>
      </c>
      <c r="V1423" s="2" t="s">
        <v>38</v>
      </c>
      <c r="W1423" s="2" t="s">
        <v>38</v>
      </c>
      <c r="X1423" s="2" t="s">
        <v>39</v>
      </c>
      <c r="Y1423" s="2" t="s">
        <v>38</v>
      </c>
      <c r="Z1423" s="2" t="s">
        <v>39</v>
      </c>
      <c r="AA1423" s="2" t="s">
        <v>38</v>
      </c>
      <c r="AB1423" s="2" t="s">
        <v>39</v>
      </c>
      <c r="AC1423" s="2" t="s">
        <v>39</v>
      </c>
      <c r="AD1423" s="2" t="s">
        <v>38</v>
      </c>
      <c r="AE1423" s="2" t="s">
        <v>38</v>
      </c>
    </row>
    <row r="1424" spans="1:31" ht="409.5">
      <c r="A1424" s="2">
        <v>2573595</v>
      </c>
      <c r="B1424" s="2">
        <f>HYPERLINK("https://platform.v2.vetology.net/cases/2573595/screening-report/18?type=pdf&amp;v=v6&amp;scorecard=1&amp;secret_key=BX%25IJ%24%2F65ieZ%29f6", 2573595)</f>
        <v>2573595</v>
      </c>
      <c r="C1424" s="2">
        <f>HYPERLINK("https://platform.v2.vetology.net/report/v/final/"&amp;2573595, 2573595)</f>
        <v>2573595</v>
      </c>
      <c r="D1424" s="2" t="s">
        <v>4067</v>
      </c>
      <c r="E1424" s="2" t="s">
        <v>4068</v>
      </c>
      <c r="F1424" s="2"/>
      <c r="G1424" s="2" t="s">
        <v>150</v>
      </c>
      <c r="H1424" s="2" t="s">
        <v>54</v>
      </c>
      <c r="I1424" s="2" t="s">
        <v>44</v>
      </c>
      <c r="J1424" s="2"/>
      <c r="K1424" s="2" t="s">
        <v>38</v>
      </c>
      <c r="L1424" s="2" t="s">
        <v>38</v>
      </c>
      <c r="M1424" s="2" t="s">
        <v>38</v>
      </c>
      <c r="N1424" s="2" t="s">
        <v>38</v>
      </c>
      <c r="O1424" s="2" t="s">
        <v>38</v>
      </c>
      <c r="P1424" s="2" t="s">
        <v>38</v>
      </c>
      <c r="Q1424" s="2" t="s">
        <v>38</v>
      </c>
      <c r="R1424" s="2" t="s">
        <v>38</v>
      </c>
      <c r="S1424" s="2" t="s">
        <v>39</v>
      </c>
      <c r="T1424" s="2" t="s">
        <v>38</v>
      </c>
      <c r="U1424" s="2" t="s">
        <v>39</v>
      </c>
      <c r="V1424" s="2" t="s">
        <v>38</v>
      </c>
      <c r="W1424" s="2" t="s">
        <v>38</v>
      </c>
      <c r="X1424" s="2" t="s">
        <v>38</v>
      </c>
      <c r="Y1424" s="2" t="s">
        <v>38</v>
      </c>
      <c r="Z1424" s="2" t="s">
        <v>38</v>
      </c>
      <c r="AA1424" s="2" t="s">
        <v>38</v>
      </c>
      <c r="AB1424" s="2" t="s">
        <v>39</v>
      </c>
      <c r="AC1424" s="2" t="s">
        <v>38</v>
      </c>
      <c r="AD1424" s="2" t="s">
        <v>38</v>
      </c>
      <c r="AE1424" s="2" t="s">
        <v>38</v>
      </c>
    </row>
    <row r="1425" spans="1:31" ht="409.5">
      <c r="A1425" s="2">
        <v>2573532</v>
      </c>
      <c r="B1425" s="2">
        <f>HYPERLINK("https://platform.v2.vetology.net/cases/2573532/screening-report/18?type=pdf&amp;v=v6&amp;scorecard=1&amp;secret_key=BX%25IJ%24%2F65ieZ%29f6", 2573532)</f>
        <v>2573532</v>
      </c>
      <c r="C1425" s="2">
        <f>HYPERLINK("https://platform.v2.vetology.net/report/v/final/"&amp;2573532, 2573532)</f>
        <v>2573532</v>
      </c>
      <c r="D1425" s="2" t="s">
        <v>4069</v>
      </c>
      <c r="E1425" s="2" t="s">
        <v>4070</v>
      </c>
      <c r="F1425" s="2" t="s">
        <v>4071</v>
      </c>
      <c r="G1425" s="2" t="s">
        <v>464</v>
      </c>
      <c r="H1425" s="2" t="s">
        <v>136</v>
      </c>
      <c r="I1425" s="2" t="s">
        <v>137</v>
      </c>
      <c r="J1425" s="2" t="s">
        <v>66</v>
      </c>
      <c r="K1425" s="2" t="s">
        <v>38</v>
      </c>
      <c r="L1425" s="2" t="s">
        <v>39</v>
      </c>
      <c r="M1425" s="2" t="s">
        <v>39</v>
      </c>
      <c r="N1425" s="2" t="s">
        <v>38</v>
      </c>
      <c r="O1425" s="2" t="s">
        <v>38</v>
      </c>
      <c r="P1425" s="2" t="s">
        <v>39</v>
      </c>
      <c r="Q1425" s="2" t="s">
        <v>38</v>
      </c>
      <c r="R1425" s="2" t="s">
        <v>38</v>
      </c>
      <c r="S1425" s="2" t="s">
        <v>39</v>
      </c>
      <c r="T1425" s="2" t="s">
        <v>39</v>
      </c>
      <c r="U1425" s="2" t="s">
        <v>38</v>
      </c>
      <c r="V1425" s="2" t="s">
        <v>39</v>
      </c>
      <c r="W1425" s="2" t="s">
        <v>38</v>
      </c>
      <c r="X1425" s="2" t="s">
        <v>39</v>
      </c>
      <c r="Y1425" s="2" t="s">
        <v>38</v>
      </c>
      <c r="Z1425" s="2" t="s">
        <v>39</v>
      </c>
      <c r="AA1425" s="2" t="s">
        <v>38</v>
      </c>
      <c r="AB1425" s="2" t="s">
        <v>39</v>
      </c>
      <c r="AC1425" s="2" t="s">
        <v>39</v>
      </c>
      <c r="AD1425" s="2" t="s">
        <v>38</v>
      </c>
      <c r="AE1425" s="2" t="s">
        <v>39</v>
      </c>
    </row>
    <row r="1426" spans="1:31" ht="409.5">
      <c r="A1426" s="2">
        <v>2573487</v>
      </c>
      <c r="B1426" s="2">
        <f>HYPERLINK("https://platform.v2.vetology.net/cases/2573487/screening-report/18?type=pdf&amp;v=v6&amp;scorecard=1&amp;secret_key=BX%25IJ%24%2F65ieZ%29f6", 2573487)</f>
        <v>2573487</v>
      </c>
      <c r="C1426" s="2">
        <f>HYPERLINK("https://platform.v2.vetology.net/report/v/final/"&amp;2573487, 2573487)</f>
        <v>2573487</v>
      </c>
      <c r="D1426" s="2" t="s">
        <v>971</v>
      </c>
      <c r="E1426" s="2" t="s">
        <v>238</v>
      </c>
      <c r="F1426" s="2" t="s">
        <v>239</v>
      </c>
      <c r="G1426" s="2" t="s">
        <v>150</v>
      </c>
      <c r="H1426" s="2" t="s">
        <v>901</v>
      </c>
      <c r="I1426" s="2" t="s">
        <v>689</v>
      </c>
      <c r="J1426" s="2" t="s">
        <v>690</v>
      </c>
      <c r="K1426" s="2" t="s">
        <v>38</v>
      </c>
      <c r="L1426" s="2" t="s">
        <v>39</v>
      </c>
      <c r="M1426" s="2" t="s">
        <v>38</v>
      </c>
      <c r="N1426" s="2" t="s">
        <v>38</v>
      </c>
      <c r="O1426" s="2" t="s">
        <v>38</v>
      </c>
      <c r="P1426" s="2" t="s">
        <v>38</v>
      </c>
      <c r="Q1426" s="2" t="s">
        <v>38</v>
      </c>
      <c r="R1426" s="2" t="s">
        <v>38</v>
      </c>
      <c r="S1426" s="2" t="s">
        <v>38</v>
      </c>
      <c r="T1426" s="2" t="s">
        <v>38</v>
      </c>
      <c r="U1426" s="2" t="s">
        <v>38</v>
      </c>
      <c r="V1426" s="2" t="s">
        <v>38</v>
      </c>
      <c r="W1426" s="2" t="s">
        <v>38</v>
      </c>
      <c r="X1426" s="2" t="s">
        <v>38</v>
      </c>
      <c r="Y1426" s="2" t="s">
        <v>38</v>
      </c>
      <c r="Z1426" s="2" t="s">
        <v>39</v>
      </c>
      <c r="AA1426" s="2" t="s">
        <v>38</v>
      </c>
      <c r="AB1426" s="2" t="s">
        <v>38</v>
      </c>
      <c r="AC1426" s="2" t="s">
        <v>38</v>
      </c>
      <c r="AD1426" s="2" t="s">
        <v>38</v>
      </c>
      <c r="AE1426" s="2" t="s">
        <v>38</v>
      </c>
    </row>
    <row r="1427" spans="1:31" ht="409.5">
      <c r="A1427" s="2">
        <v>2573211</v>
      </c>
      <c r="B1427" s="2">
        <f>HYPERLINK("https://platform.v2.vetology.net/cases/2573211/screening-report/18?type=pdf&amp;v=v6&amp;scorecard=1&amp;secret_key=BX%25IJ%24%2F65ieZ%29f6", 2573211)</f>
        <v>2573211</v>
      </c>
      <c r="C1427" s="2">
        <f>HYPERLINK("https://platform.v2.vetology.net/report/v/final/"&amp;2573211, 2573211)</f>
        <v>2573211</v>
      </c>
      <c r="D1427" s="2" t="s">
        <v>4072</v>
      </c>
      <c r="E1427" s="2" t="s">
        <v>4073</v>
      </c>
      <c r="F1427" s="2" t="s">
        <v>2535</v>
      </c>
      <c r="G1427" s="2" t="s">
        <v>58</v>
      </c>
      <c r="H1427" s="2" t="s">
        <v>4074</v>
      </c>
      <c r="I1427" s="2" t="s">
        <v>1102</v>
      </c>
      <c r="J1427" s="2" t="s">
        <v>307</v>
      </c>
      <c r="K1427" s="2" t="s">
        <v>38</v>
      </c>
      <c r="L1427" s="2" t="s">
        <v>39</v>
      </c>
      <c r="M1427" s="2" t="s">
        <v>39</v>
      </c>
      <c r="N1427" s="2" t="s">
        <v>39</v>
      </c>
      <c r="O1427" s="2" t="s">
        <v>38</v>
      </c>
      <c r="P1427" s="2" t="s">
        <v>39</v>
      </c>
      <c r="Q1427" s="2" t="s">
        <v>39</v>
      </c>
      <c r="R1427" s="2" t="s">
        <v>38</v>
      </c>
      <c r="S1427" s="2" t="s">
        <v>38</v>
      </c>
      <c r="T1427" s="2" t="s">
        <v>39</v>
      </c>
      <c r="U1427" s="2" t="s">
        <v>38</v>
      </c>
      <c r="V1427" s="2" t="s">
        <v>38</v>
      </c>
      <c r="W1427" s="2" t="s">
        <v>38</v>
      </c>
      <c r="X1427" s="2" t="s">
        <v>39</v>
      </c>
      <c r="Y1427" s="2" t="s">
        <v>38</v>
      </c>
      <c r="Z1427" s="2" t="s">
        <v>38</v>
      </c>
      <c r="AA1427" s="2" t="s">
        <v>38</v>
      </c>
      <c r="AB1427" s="2" t="s">
        <v>39</v>
      </c>
      <c r="AC1427" s="2" t="s">
        <v>38</v>
      </c>
      <c r="AD1427" s="2" t="s">
        <v>38</v>
      </c>
      <c r="AE1427" s="2" t="s">
        <v>38</v>
      </c>
    </row>
    <row r="1428" spans="1:31" ht="409.5">
      <c r="A1428" s="2">
        <v>2573066</v>
      </c>
      <c r="B1428" s="2">
        <f>HYPERLINK("https://platform.v2.vetology.net/cases/2573066/screening-report/18?type=pdf&amp;v=v6&amp;scorecard=1&amp;secret_key=BX%25IJ%24%2F65ieZ%29f6", 2573066)</f>
        <v>2573066</v>
      </c>
      <c r="C1428" s="2">
        <f>HYPERLINK("https://platform.v2.vetology.net/report/v/final/"&amp;2573066, 2573066)</f>
        <v>2573066</v>
      </c>
      <c r="D1428" s="2" t="s">
        <v>4075</v>
      </c>
      <c r="E1428" s="2" t="s">
        <v>4076</v>
      </c>
      <c r="F1428" s="2" t="s">
        <v>4077</v>
      </c>
      <c r="G1428" s="2" t="s">
        <v>135</v>
      </c>
      <c r="H1428" s="2" t="s">
        <v>4078</v>
      </c>
      <c r="I1428" s="2" t="s">
        <v>957</v>
      </c>
      <c r="J1428" s="2" t="s">
        <v>66</v>
      </c>
      <c r="K1428" s="2" t="s">
        <v>38</v>
      </c>
      <c r="L1428" s="2" t="s">
        <v>38</v>
      </c>
      <c r="M1428" s="2" t="s">
        <v>38</v>
      </c>
      <c r="N1428" s="2" t="s">
        <v>38</v>
      </c>
      <c r="O1428" s="2" t="s">
        <v>38</v>
      </c>
      <c r="P1428" s="2" t="s">
        <v>38</v>
      </c>
      <c r="Q1428" s="2" t="s">
        <v>38</v>
      </c>
      <c r="R1428" s="2" t="s">
        <v>38</v>
      </c>
      <c r="S1428" s="2" t="s">
        <v>38</v>
      </c>
      <c r="T1428" s="2" t="s">
        <v>39</v>
      </c>
      <c r="U1428" s="2" t="s">
        <v>38</v>
      </c>
      <c r="V1428" s="2" t="s">
        <v>39</v>
      </c>
      <c r="W1428" s="2" t="s">
        <v>38</v>
      </c>
      <c r="X1428" s="2" t="s">
        <v>39</v>
      </c>
      <c r="Y1428" s="2" t="s">
        <v>38</v>
      </c>
      <c r="Z1428" s="2" t="s">
        <v>39</v>
      </c>
      <c r="AA1428" s="2" t="s">
        <v>38</v>
      </c>
      <c r="AB1428" s="2" t="s">
        <v>38</v>
      </c>
      <c r="AC1428" s="2" t="s">
        <v>39</v>
      </c>
      <c r="AD1428" s="2" t="s">
        <v>38</v>
      </c>
      <c r="AE1428" s="2" t="s">
        <v>39</v>
      </c>
    </row>
    <row r="1429" spans="1:31" ht="409.5">
      <c r="A1429" s="2">
        <v>2572791</v>
      </c>
      <c r="B1429" s="2">
        <f>HYPERLINK("https://platform.v2.vetology.net/cases/2572791/screening-report/18?type=pdf&amp;v=v6&amp;scorecard=1&amp;secret_key=BX%25IJ%24%2F65ieZ%29f6", 2572791)</f>
        <v>2572791</v>
      </c>
      <c r="C1429" s="2">
        <f>HYPERLINK("https://platform.v2.vetology.net/report/v/final/"&amp;2572791, 2572791)</f>
        <v>2572791</v>
      </c>
      <c r="D1429" s="2" t="s">
        <v>4079</v>
      </c>
      <c r="E1429" s="2" t="s">
        <v>4080</v>
      </c>
      <c r="F1429" s="2" t="s">
        <v>81</v>
      </c>
      <c r="G1429" s="2" t="s">
        <v>82</v>
      </c>
      <c r="H1429" s="2" t="s">
        <v>3366</v>
      </c>
      <c r="I1429" s="2" t="s">
        <v>382</v>
      </c>
      <c r="J1429" s="2" t="s">
        <v>66</v>
      </c>
      <c r="K1429" s="2" t="s">
        <v>38</v>
      </c>
      <c r="L1429" s="2" t="s">
        <v>39</v>
      </c>
      <c r="M1429" s="2" t="s">
        <v>39</v>
      </c>
      <c r="N1429" s="2" t="s">
        <v>38</v>
      </c>
      <c r="O1429" s="2" t="s">
        <v>39</v>
      </c>
      <c r="P1429" s="2" t="s">
        <v>39</v>
      </c>
      <c r="Q1429" s="2" t="s">
        <v>38</v>
      </c>
      <c r="R1429" s="2" t="s">
        <v>38</v>
      </c>
      <c r="S1429" s="2" t="s">
        <v>39</v>
      </c>
      <c r="T1429" s="2" t="s">
        <v>39</v>
      </c>
      <c r="U1429" s="2" t="s">
        <v>39</v>
      </c>
      <c r="V1429" s="2" t="s">
        <v>39</v>
      </c>
      <c r="W1429" s="2" t="s">
        <v>38</v>
      </c>
      <c r="X1429" s="2" t="s">
        <v>39</v>
      </c>
      <c r="Y1429" s="2" t="s">
        <v>38</v>
      </c>
      <c r="Z1429" s="2" t="s">
        <v>38</v>
      </c>
      <c r="AA1429" s="2" t="s">
        <v>38</v>
      </c>
      <c r="AB1429" s="2" t="s">
        <v>39</v>
      </c>
      <c r="AC1429" s="2" t="s">
        <v>39</v>
      </c>
      <c r="AD1429" s="2" t="s">
        <v>38</v>
      </c>
      <c r="AE1429" s="2" t="s">
        <v>38</v>
      </c>
    </row>
    <row r="1430" spans="1:31" ht="409.5">
      <c r="A1430" s="2">
        <v>2572572</v>
      </c>
      <c r="B1430" s="2">
        <f>HYPERLINK("https://platform.v2.vetology.net/cases/2572572/screening-report/18?type=pdf&amp;v=v6&amp;scorecard=1&amp;secret_key=BX%25IJ%24%2F65ieZ%29f6", 2572572)</f>
        <v>2572572</v>
      </c>
      <c r="C1430" s="2">
        <f>HYPERLINK("https://platform.v2.vetology.net/report/v/final/"&amp;2572572, 2572572)</f>
        <v>2572572</v>
      </c>
      <c r="D1430" s="2" t="s">
        <v>4081</v>
      </c>
      <c r="E1430" s="2" t="s">
        <v>4082</v>
      </c>
      <c r="F1430" s="2" t="s">
        <v>81</v>
      </c>
      <c r="G1430" s="2" t="s">
        <v>150</v>
      </c>
      <c r="H1430" s="2" t="s">
        <v>144</v>
      </c>
      <c r="I1430" s="2" t="s">
        <v>145</v>
      </c>
      <c r="J1430" s="2" t="s">
        <v>146</v>
      </c>
      <c r="K1430" s="2" t="s">
        <v>38</v>
      </c>
      <c r="L1430" s="2" t="s">
        <v>39</v>
      </c>
      <c r="M1430" s="2" t="s">
        <v>38</v>
      </c>
      <c r="N1430" s="2" t="s">
        <v>38</v>
      </c>
      <c r="O1430" s="2" t="s">
        <v>38</v>
      </c>
      <c r="P1430" s="2" t="s">
        <v>39</v>
      </c>
      <c r="Q1430" s="2" t="s">
        <v>38</v>
      </c>
      <c r="R1430" s="2" t="s">
        <v>38</v>
      </c>
      <c r="S1430" s="2" t="s">
        <v>38</v>
      </c>
      <c r="T1430" s="2" t="s">
        <v>38</v>
      </c>
      <c r="U1430" s="2" t="s">
        <v>38</v>
      </c>
      <c r="V1430" s="2" t="s">
        <v>38</v>
      </c>
      <c r="W1430" s="2" t="s">
        <v>38</v>
      </c>
      <c r="X1430" s="2" t="s">
        <v>38</v>
      </c>
      <c r="Y1430" s="2" t="s">
        <v>38</v>
      </c>
      <c r="Z1430" s="2" t="s">
        <v>38</v>
      </c>
      <c r="AA1430" s="2" t="s">
        <v>38</v>
      </c>
      <c r="AB1430" s="2" t="s">
        <v>38</v>
      </c>
      <c r="AC1430" s="2" t="s">
        <v>38</v>
      </c>
      <c r="AD1430" s="2" t="s">
        <v>38</v>
      </c>
      <c r="AE1430" s="2" t="s">
        <v>38</v>
      </c>
    </row>
    <row r="1431" spans="1:31" ht="409.5">
      <c r="A1431" s="2">
        <v>2572565</v>
      </c>
      <c r="B1431" s="2">
        <f>HYPERLINK("https://platform.v2.vetology.net/cases/2572565/screening-report/18?type=pdf&amp;v=v6&amp;scorecard=1&amp;secret_key=BX%25IJ%24%2F65ieZ%29f6", 2572565)</f>
        <v>2572565</v>
      </c>
      <c r="C1431" s="2">
        <f>HYPERLINK("https://platform.v2.vetology.net/report/v/final/"&amp;2572565, 2572565)</f>
        <v>2572565</v>
      </c>
      <c r="D1431" s="2" t="s">
        <v>4083</v>
      </c>
      <c r="E1431" s="2" t="s">
        <v>4084</v>
      </c>
      <c r="F1431" s="2" t="s">
        <v>4085</v>
      </c>
      <c r="G1431" s="2" t="s">
        <v>464</v>
      </c>
      <c r="H1431" s="2" t="s">
        <v>78</v>
      </c>
      <c r="I1431" s="2" t="s">
        <v>44</v>
      </c>
      <c r="J1431" s="2" t="s">
        <v>106</v>
      </c>
      <c r="K1431" s="2" t="s">
        <v>38</v>
      </c>
      <c r="L1431" s="2" t="s">
        <v>38</v>
      </c>
      <c r="M1431" s="2" t="s">
        <v>38</v>
      </c>
      <c r="N1431" s="2" t="s">
        <v>38</v>
      </c>
      <c r="O1431" s="2" t="s">
        <v>38</v>
      </c>
      <c r="P1431" s="2" t="s">
        <v>38</v>
      </c>
      <c r="Q1431" s="2" t="s">
        <v>38</v>
      </c>
      <c r="R1431" s="2" t="s">
        <v>38</v>
      </c>
      <c r="S1431" s="2" t="s">
        <v>38</v>
      </c>
      <c r="T1431" s="2" t="s">
        <v>38</v>
      </c>
      <c r="U1431" s="2" t="s">
        <v>38</v>
      </c>
      <c r="V1431" s="2" t="s">
        <v>38</v>
      </c>
      <c r="W1431" s="2" t="s">
        <v>38</v>
      </c>
      <c r="X1431" s="2" t="s">
        <v>38</v>
      </c>
      <c r="Y1431" s="2" t="s">
        <v>38</v>
      </c>
      <c r="Z1431" s="2" t="s">
        <v>38</v>
      </c>
      <c r="AA1431" s="2" t="s">
        <v>38</v>
      </c>
      <c r="AB1431" s="2" t="s">
        <v>38</v>
      </c>
      <c r="AC1431" s="2" t="s">
        <v>38</v>
      </c>
      <c r="AD1431" s="2" t="s">
        <v>38</v>
      </c>
      <c r="AE1431" s="2" t="s">
        <v>38</v>
      </c>
    </row>
    <row r="1432" spans="1:31" ht="409.5">
      <c r="A1432" s="2">
        <v>2572426</v>
      </c>
      <c r="B1432" s="2">
        <f>HYPERLINK("https://platform.v2.vetology.net/cases/2572426/screening-report/18?type=pdf&amp;v=v6&amp;scorecard=1&amp;secret_key=BX%25IJ%24%2F65ieZ%29f6", 2572426)</f>
        <v>2572426</v>
      </c>
      <c r="C1432" s="2">
        <f>HYPERLINK("https://platform.v2.vetology.net/report/v/final/"&amp;2572426, 2572426)</f>
        <v>2572426</v>
      </c>
      <c r="D1432" s="2" t="s">
        <v>4086</v>
      </c>
      <c r="E1432" s="2" t="s">
        <v>4087</v>
      </c>
      <c r="F1432" s="2" t="s">
        <v>4088</v>
      </c>
      <c r="G1432" s="2" t="s">
        <v>464</v>
      </c>
      <c r="H1432" s="2" t="s">
        <v>1301</v>
      </c>
      <c r="I1432" s="2" t="s">
        <v>1118</v>
      </c>
      <c r="J1432" s="2" t="s">
        <v>1119</v>
      </c>
      <c r="K1432" s="2" t="s">
        <v>38</v>
      </c>
      <c r="L1432" s="2" t="s">
        <v>39</v>
      </c>
      <c r="M1432" s="2" t="s">
        <v>39</v>
      </c>
      <c r="N1432" s="2" t="s">
        <v>38</v>
      </c>
      <c r="O1432" s="2" t="s">
        <v>38</v>
      </c>
      <c r="P1432" s="2" t="s">
        <v>38</v>
      </c>
      <c r="Q1432" s="2" t="s">
        <v>38</v>
      </c>
      <c r="R1432" s="2" t="s">
        <v>38</v>
      </c>
      <c r="S1432" s="2" t="s">
        <v>39</v>
      </c>
      <c r="T1432" s="2" t="s">
        <v>38</v>
      </c>
      <c r="U1432" s="2" t="s">
        <v>39</v>
      </c>
      <c r="V1432" s="2" t="s">
        <v>38</v>
      </c>
      <c r="W1432" s="2" t="s">
        <v>38</v>
      </c>
      <c r="X1432" s="2" t="s">
        <v>38</v>
      </c>
      <c r="Y1432" s="2" t="s">
        <v>38</v>
      </c>
      <c r="Z1432" s="2" t="s">
        <v>39</v>
      </c>
      <c r="AA1432" s="2" t="s">
        <v>38</v>
      </c>
      <c r="AB1432" s="2" t="s">
        <v>38</v>
      </c>
      <c r="AC1432" s="2" t="s">
        <v>39</v>
      </c>
      <c r="AD1432" s="2" t="s">
        <v>38</v>
      </c>
      <c r="AE1432" s="2" t="s">
        <v>38</v>
      </c>
    </row>
    <row r="1433" spans="1:31" ht="409.5">
      <c r="A1433" s="2">
        <v>2572354</v>
      </c>
      <c r="B1433" s="2">
        <f>HYPERLINK("https://platform.v2.vetology.net/cases/2572354/screening-report/18?type=pdf&amp;v=v6&amp;scorecard=1&amp;secret_key=BX%25IJ%24%2F65ieZ%29f6", 2572354)</f>
        <v>2572354</v>
      </c>
      <c r="C1433" s="2">
        <f>HYPERLINK("https://platform.v2.vetology.net/report/v/final/"&amp;2572354, 2572354)</f>
        <v>2572354</v>
      </c>
      <c r="D1433" s="2" t="s">
        <v>4089</v>
      </c>
      <c r="E1433" s="2" t="s">
        <v>4090</v>
      </c>
      <c r="F1433" s="2" t="s">
        <v>4091</v>
      </c>
      <c r="G1433" s="2" t="s">
        <v>464</v>
      </c>
      <c r="H1433" s="2" t="s">
        <v>3437</v>
      </c>
      <c r="I1433" s="2" t="s">
        <v>89</v>
      </c>
      <c r="J1433" s="2" t="s">
        <v>66</v>
      </c>
      <c r="K1433" s="2" t="s">
        <v>38</v>
      </c>
      <c r="L1433" s="2" t="s">
        <v>39</v>
      </c>
      <c r="M1433" s="2" t="s">
        <v>38</v>
      </c>
      <c r="N1433" s="2" t="s">
        <v>38</v>
      </c>
      <c r="O1433" s="2" t="s">
        <v>38</v>
      </c>
      <c r="P1433" s="2" t="s">
        <v>38</v>
      </c>
      <c r="Q1433" s="2" t="s">
        <v>38</v>
      </c>
      <c r="R1433" s="2" t="s">
        <v>38</v>
      </c>
      <c r="S1433" s="2" t="s">
        <v>38</v>
      </c>
      <c r="T1433" s="2" t="s">
        <v>39</v>
      </c>
      <c r="U1433" s="2" t="s">
        <v>38</v>
      </c>
      <c r="V1433" s="2" t="s">
        <v>39</v>
      </c>
      <c r="W1433" s="2" t="s">
        <v>38</v>
      </c>
      <c r="X1433" s="2" t="s">
        <v>39</v>
      </c>
      <c r="Y1433" s="2" t="s">
        <v>38</v>
      </c>
      <c r="Z1433" s="2" t="s">
        <v>38</v>
      </c>
      <c r="AA1433" s="2" t="s">
        <v>38</v>
      </c>
      <c r="AB1433" s="2" t="s">
        <v>39</v>
      </c>
      <c r="AC1433" s="2" t="s">
        <v>38</v>
      </c>
      <c r="AD1433" s="2" t="s">
        <v>38</v>
      </c>
      <c r="AE1433" s="2" t="s">
        <v>39</v>
      </c>
    </row>
    <row r="1434" spans="1:31" ht="409.5">
      <c r="A1434" s="2">
        <v>2572349</v>
      </c>
      <c r="B1434" s="2">
        <f>HYPERLINK("https://platform.v2.vetology.net/cases/2572349/screening-report/18?type=pdf&amp;v=v6&amp;scorecard=1&amp;secret_key=BX%25IJ%24%2F65ieZ%29f6", 2572349)</f>
        <v>2572349</v>
      </c>
      <c r="C1434" s="2">
        <f>HYPERLINK("https://platform.v2.vetology.net/report/v/final/"&amp;2572349, 2572349)</f>
        <v>2572349</v>
      </c>
      <c r="D1434" s="2" t="s">
        <v>4092</v>
      </c>
      <c r="E1434" s="2" t="s">
        <v>4093</v>
      </c>
      <c r="F1434" s="2" t="s">
        <v>4094</v>
      </c>
      <c r="G1434" s="2" t="s">
        <v>63</v>
      </c>
      <c r="H1434" s="2" t="s">
        <v>4095</v>
      </c>
      <c r="I1434" s="2" t="s">
        <v>227</v>
      </c>
      <c r="J1434" s="2" t="s">
        <v>228</v>
      </c>
      <c r="K1434" s="2" t="s">
        <v>38</v>
      </c>
      <c r="L1434" s="2" t="s">
        <v>39</v>
      </c>
      <c r="M1434" s="2" t="s">
        <v>38</v>
      </c>
      <c r="N1434" s="2" t="s">
        <v>39</v>
      </c>
      <c r="O1434" s="2" t="s">
        <v>38</v>
      </c>
      <c r="P1434" s="2" t="s">
        <v>39</v>
      </c>
      <c r="Q1434" s="2" t="s">
        <v>38</v>
      </c>
      <c r="R1434" s="2" t="s">
        <v>38</v>
      </c>
      <c r="S1434" s="2" t="s">
        <v>38</v>
      </c>
      <c r="T1434" s="2" t="s">
        <v>38</v>
      </c>
      <c r="U1434" s="2" t="s">
        <v>38</v>
      </c>
      <c r="V1434" s="2" t="s">
        <v>38</v>
      </c>
      <c r="W1434" s="2" t="s">
        <v>38</v>
      </c>
      <c r="X1434" s="2" t="s">
        <v>39</v>
      </c>
      <c r="Y1434" s="2" t="s">
        <v>38</v>
      </c>
      <c r="Z1434" s="2" t="s">
        <v>39</v>
      </c>
      <c r="AA1434" s="2" t="s">
        <v>38</v>
      </c>
      <c r="AB1434" s="2" t="s">
        <v>39</v>
      </c>
      <c r="AC1434" s="2" t="s">
        <v>39</v>
      </c>
      <c r="AD1434" s="2" t="s">
        <v>38</v>
      </c>
      <c r="AE1434" s="2" t="s">
        <v>38</v>
      </c>
    </row>
    <row r="1435" spans="1:31" ht="409.5">
      <c r="A1435" s="2">
        <v>2572063</v>
      </c>
      <c r="B1435" s="2">
        <f>HYPERLINK("https://platform.v2.vetology.net/cases/2572063/screening-report/18?type=pdf&amp;v=v6&amp;scorecard=1&amp;secret_key=BX%25IJ%24%2F65ieZ%29f6", 2572063)</f>
        <v>2572063</v>
      </c>
      <c r="C1435" s="2">
        <f>HYPERLINK("https://platform.v2.vetology.net/report/v/final/"&amp;2572063, 2572063)</f>
        <v>2572063</v>
      </c>
      <c r="D1435" s="2" t="s">
        <v>4096</v>
      </c>
      <c r="E1435" s="2" t="s">
        <v>4097</v>
      </c>
      <c r="F1435" s="2" t="s">
        <v>919</v>
      </c>
      <c r="G1435" s="2" t="s">
        <v>58</v>
      </c>
      <c r="H1435" s="2" t="s">
        <v>43</v>
      </c>
      <c r="I1435" s="2" t="s">
        <v>44</v>
      </c>
      <c r="J1435" s="2"/>
      <c r="K1435" s="2" t="s">
        <v>38</v>
      </c>
      <c r="L1435" s="2" t="s">
        <v>38</v>
      </c>
      <c r="M1435" s="2" t="s">
        <v>38</v>
      </c>
      <c r="N1435" s="2" t="s">
        <v>38</v>
      </c>
      <c r="O1435" s="2" t="s">
        <v>38</v>
      </c>
      <c r="P1435" s="2" t="s">
        <v>38</v>
      </c>
      <c r="Q1435" s="2" t="s">
        <v>38</v>
      </c>
      <c r="R1435" s="2" t="s">
        <v>38</v>
      </c>
      <c r="S1435" s="2" t="s">
        <v>38</v>
      </c>
      <c r="T1435" s="2" t="s">
        <v>38</v>
      </c>
      <c r="U1435" s="2" t="s">
        <v>38</v>
      </c>
      <c r="V1435" s="2" t="s">
        <v>38</v>
      </c>
      <c r="W1435" s="2" t="s">
        <v>38</v>
      </c>
      <c r="X1435" s="2" t="s">
        <v>38</v>
      </c>
      <c r="Y1435" s="2" t="s">
        <v>38</v>
      </c>
      <c r="Z1435" s="2" t="s">
        <v>38</v>
      </c>
      <c r="AA1435" s="2" t="s">
        <v>38</v>
      </c>
      <c r="AB1435" s="2" t="s">
        <v>38</v>
      </c>
      <c r="AC1435" s="2" t="s">
        <v>38</v>
      </c>
      <c r="AD1435" s="2" t="s">
        <v>38</v>
      </c>
      <c r="AE1435" s="2" t="s">
        <v>38</v>
      </c>
    </row>
    <row r="1436" spans="1:31" ht="409.5">
      <c r="A1436" s="2">
        <v>2571901</v>
      </c>
      <c r="B1436" s="2">
        <f>HYPERLINK("https://platform.v2.vetology.net/cases/2571901/screening-report/18?type=pdf&amp;v=v6&amp;scorecard=1&amp;secret_key=BX%25IJ%24%2F65ieZ%29f6", 2571901)</f>
        <v>2571901</v>
      </c>
      <c r="C1436" s="2">
        <f>HYPERLINK("https://platform.v2.vetology.net/report/v/final/"&amp;2571901, 2571901)</f>
        <v>2571901</v>
      </c>
      <c r="D1436" s="2" t="s">
        <v>4098</v>
      </c>
      <c r="E1436" s="2" t="s">
        <v>4099</v>
      </c>
      <c r="F1436" s="2" t="s">
        <v>4100</v>
      </c>
      <c r="G1436" s="2" t="s">
        <v>464</v>
      </c>
      <c r="H1436" s="2" t="s">
        <v>1205</v>
      </c>
      <c r="I1436" s="2" t="s">
        <v>245</v>
      </c>
      <c r="J1436" s="2" t="s">
        <v>246</v>
      </c>
      <c r="K1436" s="2" t="s">
        <v>38</v>
      </c>
      <c r="L1436" s="2" t="s">
        <v>38</v>
      </c>
      <c r="M1436" s="2" t="s">
        <v>39</v>
      </c>
      <c r="N1436" s="2" t="s">
        <v>38</v>
      </c>
      <c r="O1436" s="2" t="s">
        <v>38</v>
      </c>
      <c r="P1436" s="2" t="s">
        <v>38</v>
      </c>
      <c r="Q1436" s="2" t="s">
        <v>38</v>
      </c>
      <c r="R1436" s="2" t="s">
        <v>38</v>
      </c>
      <c r="S1436" s="2" t="s">
        <v>38</v>
      </c>
      <c r="T1436" s="2" t="s">
        <v>39</v>
      </c>
      <c r="U1436" s="2" t="s">
        <v>38</v>
      </c>
      <c r="V1436" s="2" t="s">
        <v>38</v>
      </c>
      <c r="W1436" s="2" t="s">
        <v>38</v>
      </c>
      <c r="X1436" s="2" t="s">
        <v>39</v>
      </c>
      <c r="Y1436" s="2" t="s">
        <v>38</v>
      </c>
      <c r="Z1436" s="2" t="s">
        <v>38</v>
      </c>
      <c r="AA1436" s="2" t="s">
        <v>38</v>
      </c>
      <c r="AB1436" s="2" t="s">
        <v>38</v>
      </c>
      <c r="AC1436" s="2" t="s">
        <v>38</v>
      </c>
      <c r="AD1436" s="2" t="s">
        <v>38</v>
      </c>
      <c r="AE1436" s="2" t="s">
        <v>39</v>
      </c>
    </row>
    <row r="1437" spans="1:31" ht="409.5">
      <c r="A1437" s="2">
        <v>2571853</v>
      </c>
      <c r="B1437" s="2">
        <f>HYPERLINK("https://platform.v2.vetology.net/cases/2571853/screening-report/18?type=pdf&amp;v=v6&amp;scorecard=1&amp;secret_key=BX%25IJ%24%2F65ieZ%29f6", 2571853)</f>
        <v>2571853</v>
      </c>
      <c r="C1437" s="2">
        <f>HYPERLINK("https://platform.v2.vetology.net/report/v/final/"&amp;2571853, 2571853)</f>
        <v>2571853</v>
      </c>
      <c r="D1437" s="2" t="s">
        <v>4101</v>
      </c>
      <c r="E1437" s="2" t="s">
        <v>4102</v>
      </c>
      <c r="F1437" s="2" t="s">
        <v>81</v>
      </c>
      <c r="G1437" s="2" t="s">
        <v>82</v>
      </c>
      <c r="H1437" s="2" t="s">
        <v>2742</v>
      </c>
      <c r="I1437" s="2" t="s">
        <v>89</v>
      </c>
      <c r="J1437" s="2" t="s">
        <v>66</v>
      </c>
      <c r="K1437" s="2" t="s">
        <v>38</v>
      </c>
      <c r="L1437" s="2" t="s">
        <v>39</v>
      </c>
      <c r="M1437" s="2" t="s">
        <v>38</v>
      </c>
      <c r="N1437" s="2" t="s">
        <v>38</v>
      </c>
      <c r="O1437" s="2" t="s">
        <v>38</v>
      </c>
      <c r="P1437" s="2" t="s">
        <v>38</v>
      </c>
      <c r="Q1437" s="2" t="s">
        <v>38</v>
      </c>
      <c r="R1437" s="2" t="s">
        <v>38</v>
      </c>
      <c r="S1437" s="2" t="s">
        <v>38</v>
      </c>
      <c r="T1437" s="2" t="s">
        <v>39</v>
      </c>
      <c r="U1437" s="2" t="s">
        <v>38</v>
      </c>
      <c r="V1437" s="2" t="s">
        <v>39</v>
      </c>
      <c r="W1437" s="2" t="s">
        <v>38</v>
      </c>
      <c r="X1437" s="2" t="s">
        <v>39</v>
      </c>
      <c r="Y1437" s="2" t="s">
        <v>38</v>
      </c>
      <c r="Z1437" s="2" t="s">
        <v>38</v>
      </c>
      <c r="AA1437" s="2" t="s">
        <v>38</v>
      </c>
      <c r="AB1437" s="2" t="s">
        <v>38</v>
      </c>
      <c r="AC1437" s="2" t="s">
        <v>38</v>
      </c>
      <c r="AD1437" s="2" t="s">
        <v>38</v>
      </c>
      <c r="AE1437" s="2" t="s">
        <v>39</v>
      </c>
    </row>
    <row r="1438" spans="1:31" ht="409.5">
      <c r="A1438" s="2">
        <v>2571799</v>
      </c>
      <c r="B1438" s="2">
        <f>HYPERLINK("https://platform.v2.vetology.net/cases/2571799/screening-report/18?type=pdf&amp;v=v6&amp;scorecard=1&amp;secret_key=BX%25IJ%24%2F65ieZ%29f6", 2571799)</f>
        <v>2571799</v>
      </c>
      <c r="C1438" s="2">
        <f>HYPERLINK("https://platform.v2.vetology.net/report/v/final/"&amp;2571799, 2571799)</f>
        <v>2571799</v>
      </c>
      <c r="D1438" s="2" t="s">
        <v>4103</v>
      </c>
      <c r="E1438" s="2" t="s">
        <v>4104</v>
      </c>
      <c r="F1438" s="2" t="s">
        <v>4105</v>
      </c>
      <c r="G1438" s="2" t="s">
        <v>135</v>
      </c>
      <c r="H1438" s="2" t="s">
        <v>54</v>
      </c>
      <c r="I1438" s="2" t="s">
        <v>44</v>
      </c>
      <c r="J1438" s="2"/>
      <c r="K1438" s="2" t="s">
        <v>38</v>
      </c>
      <c r="L1438" s="2" t="s">
        <v>38</v>
      </c>
      <c r="M1438" s="2" t="s">
        <v>38</v>
      </c>
      <c r="N1438" s="2" t="s">
        <v>38</v>
      </c>
      <c r="O1438" s="2" t="s">
        <v>38</v>
      </c>
      <c r="P1438" s="2" t="s">
        <v>38</v>
      </c>
      <c r="Q1438" s="2" t="s">
        <v>38</v>
      </c>
      <c r="R1438" s="2" t="s">
        <v>38</v>
      </c>
      <c r="S1438" s="2" t="s">
        <v>38</v>
      </c>
      <c r="T1438" s="2" t="s">
        <v>39</v>
      </c>
      <c r="U1438" s="2" t="s">
        <v>38</v>
      </c>
      <c r="V1438" s="2" t="s">
        <v>38</v>
      </c>
      <c r="W1438" s="2" t="s">
        <v>38</v>
      </c>
      <c r="X1438" s="2" t="s">
        <v>38</v>
      </c>
      <c r="Y1438" s="2" t="s">
        <v>38</v>
      </c>
      <c r="Z1438" s="2" t="s">
        <v>38</v>
      </c>
      <c r="AA1438" s="2" t="s">
        <v>38</v>
      </c>
      <c r="AB1438" s="2" t="s">
        <v>38</v>
      </c>
      <c r="AC1438" s="2" t="s">
        <v>38</v>
      </c>
      <c r="AD1438" s="2" t="s">
        <v>38</v>
      </c>
      <c r="AE1438" s="2" t="s">
        <v>38</v>
      </c>
    </row>
    <row r="1439" spans="1:31" ht="409.5">
      <c r="A1439" s="2">
        <v>2571772</v>
      </c>
      <c r="B1439" s="2">
        <f>HYPERLINK("https://platform.v2.vetology.net/cases/2571772/screening-report/18?type=pdf&amp;v=v6&amp;scorecard=1&amp;secret_key=BX%25IJ%24%2F65ieZ%29f6", 2571772)</f>
        <v>2571772</v>
      </c>
      <c r="C1439" s="2">
        <f>HYPERLINK("https://platform.v2.vetology.net/report/v/final/"&amp;2571772, 2571772)</f>
        <v>2571772</v>
      </c>
      <c r="D1439" s="2" t="s">
        <v>4106</v>
      </c>
      <c r="E1439" s="2" t="s">
        <v>409</v>
      </c>
      <c r="F1439" s="2" t="s">
        <v>4107</v>
      </c>
      <c r="G1439" s="2" t="s">
        <v>82</v>
      </c>
      <c r="H1439" s="2" t="s">
        <v>54</v>
      </c>
      <c r="I1439" s="2" t="s">
        <v>44</v>
      </c>
      <c r="J1439" s="2" t="s">
        <v>106</v>
      </c>
      <c r="K1439" s="2" t="s">
        <v>38</v>
      </c>
      <c r="L1439" s="2" t="s">
        <v>39</v>
      </c>
      <c r="M1439" s="2" t="s">
        <v>38</v>
      </c>
      <c r="N1439" s="2" t="s">
        <v>38</v>
      </c>
      <c r="O1439" s="2" t="s">
        <v>38</v>
      </c>
      <c r="P1439" s="2" t="s">
        <v>38</v>
      </c>
      <c r="Q1439" s="2" t="s">
        <v>38</v>
      </c>
      <c r="R1439" s="2" t="s">
        <v>38</v>
      </c>
      <c r="S1439" s="2" t="s">
        <v>38</v>
      </c>
      <c r="T1439" s="2" t="s">
        <v>39</v>
      </c>
      <c r="U1439" s="2" t="s">
        <v>38</v>
      </c>
      <c r="V1439" s="2" t="s">
        <v>38</v>
      </c>
      <c r="W1439" s="2" t="s">
        <v>38</v>
      </c>
      <c r="X1439" s="2" t="s">
        <v>39</v>
      </c>
      <c r="Y1439" s="2" t="s">
        <v>38</v>
      </c>
      <c r="Z1439" s="2" t="s">
        <v>38</v>
      </c>
      <c r="AA1439" s="2" t="s">
        <v>38</v>
      </c>
      <c r="AB1439" s="2" t="s">
        <v>38</v>
      </c>
      <c r="AC1439" s="2" t="s">
        <v>38</v>
      </c>
      <c r="AD1439" s="2" t="s">
        <v>38</v>
      </c>
      <c r="AE1439" s="2" t="s">
        <v>38</v>
      </c>
    </row>
    <row r="1440" spans="1:31" ht="409.5">
      <c r="A1440" s="2">
        <v>2571764</v>
      </c>
      <c r="B1440" s="2">
        <f>HYPERLINK("https://platform.v2.vetology.net/cases/2571764/screening-report/18?type=pdf&amp;v=v6&amp;scorecard=1&amp;secret_key=BX%25IJ%24%2F65ieZ%29f6", 2571764)</f>
        <v>2571764</v>
      </c>
      <c r="C1440" s="2">
        <f>HYPERLINK("https://platform.v2.vetology.net/report/v/final/"&amp;2571764, 2571764)</f>
        <v>2571764</v>
      </c>
      <c r="D1440" s="2" t="s">
        <v>4108</v>
      </c>
      <c r="E1440" s="2" t="s">
        <v>4109</v>
      </c>
      <c r="F1440" s="2" t="s">
        <v>4110</v>
      </c>
      <c r="G1440" s="2" t="s">
        <v>63</v>
      </c>
      <c r="H1440" s="2" t="s">
        <v>54</v>
      </c>
      <c r="I1440" s="2" t="s">
        <v>44</v>
      </c>
      <c r="J1440" s="2"/>
      <c r="K1440" s="2" t="s">
        <v>38</v>
      </c>
      <c r="L1440" s="2" t="s">
        <v>38</v>
      </c>
      <c r="M1440" s="2" t="s">
        <v>38</v>
      </c>
      <c r="N1440" s="2" t="s">
        <v>38</v>
      </c>
      <c r="O1440" s="2" t="s">
        <v>38</v>
      </c>
      <c r="P1440" s="2" t="s">
        <v>38</v>
      </c>
      <c r="Q1440" s="2" t="s">
        <v>38</v>
      </c>
      <c r="R1440" s="2" t="s">
        <v>38</v>
      </c>
      <c r="S1440" s="2" t="s">
        <v>38</v>
      </c>
      <c r="T1440" s="2" t="s">
        <v>38</v>
      </c>
      <c r="U1440" s="2" t="s">
        <v>38</v>
      </c>
      <c r="V1440" s="2" t="s">
        <v>38</v>
      </c>
      <c r="W1440" s="2" t="s">
        <v>38</v>
      </c>
      <c r="X1440" s="2" t="s">
        <v>38</v>
      </c>
      <c r="Y1440" s="2" t="s">
        <v>38</v>
      </c>
      <c r="Z1440" s="2" t="s">
        <v>38</v>
      </c>
      <c r="AA1440" s="2" t="s">
        <v>38</v>
      </c>
      <c r="AB1440" s="2" t="s">
        <v>38</v>
      </c>
      <c r="AC1440" s="2" t="s">
        <v>38</v>
      </c>
      <c r="AD1440" s="2" t="s">
        <v>38</v>
      </c>
      <c r="AE1440" s="2" t="s">
        <v>38</v>
      </c>
    </row>
    <row r="1441" spans="1:31" ht="409.5">
      <c r="A1441" s="2">
        <v>2571675</v>
      </c>
      <c r="B1441" s="2">
        <f>HYPERLINK("https://platform.v2.vetology.net/cases/2571675/screening-report/18?type=pdf&amp;v=v6&amp;scorecard=1&amp;secret_key=BX%25IJ%24%2F65ieZ%29f6", 2571675)</f>
        <v>2571675</v>
      </c>
      <c r="C1441" s="2">
        <f>HYPERLINK("https://platform.v2.vetology.net/report/v/final/"&amp;2571675, 2571675)</f>
        <v>2571675</v>
      </c>
      <c r="D1441" s="2" t="s">
        <v>4111</v>
      </c>
      <c r="E1441" s="2" t="s">
        <v>4112</v>
      </c>
      <c r="F1441" s="2" t="s">
        <v>81</v>
      </c>
      <c r="G1441" s="2" t="s">
        <v>82</v>
      </c>
      <c r="H1441" s="2" t="s">
        <v>607</v>
      </c>
      <c r="I1441" s="2" t="s">
        <v>137</v>
      </c>
      <c r="J1441" s="2" t="s">
        <v>66</v>
      </c>
      <c r="K1441" s="2" t="s">
        <v>38</v>
      </c>
      <c r="L1441" s="2" t="s">
        <v>38</v>
      </c>
      <c r="M1441" s="2" t="s">
        <v>38</v>
      </c>
      <c r="N1441" s="2" t="s">
        <v>38</v>
      </c>
      <c r="O1441" s="2" t="s">
        <v>38</v>
      </c>
      <c r="P1441" s="2" t="s">
        <v>38</v>
      </c>
      <c r="Q1441" s="2" t="s">
        <v>38</v>
      </c>
      <c r="R1441" s="2" t="s">
        <v>38</v>
      </c>
      <c r="S1441" s="2" t="s">
        <v>38</v>
      </c>
      <c r="T1441" s="2" t="s">
        <v>38</v>
      </c>
      <c r="U1441" s="2" t="s">
        <v>38</v>
      </c>
      <c r="V1441" s="2" t="s">
        <v>38</v>
      </c>
      <c r="W1441" s="2" t="s">
        <v>38</v>
      </c>
      <c r="X1441" s="2" t="s">
        <v>38</v>
      </c>
      <c r="Y1441" s="2" t="s">
        <v>38</v>
      </c>
      <c r="Z1441" s="2" t="s">
        <v>38</v>
      </c>
      <c r="AA1441" s="2" t="s">
        <v>38</v>
      </c>
      <c r="AB1441" s="2" t="s">
        <v>38</v>
      </c>
      <c r="AC1441" s="2" t="s">
        <v>39</v>
      </c>
      <c r="AD1441" s="2" t="s">
        <v>38</v>
      </c>
      <c r="AE1441" s="2" t="s">
        <v>39</v>
      </c>
    </row>
    <row r="1442" spans="1:31" ht="409.5">
      <c r="A1442" s="2">
        <v>2571441</v>
      </c>
      <c r="B1442" s="2">
        <f>HYPERLINK("https://platform.v2.vetology.net/cases/2571441/screening-report/18?type=pdf&amp;v=v6&amp;scorecard=1&amp;secret_key=BX%25IJ%24%2F65ieZ%29f6", 2571441)</f>
        <v>2571441</v>
      </c>
      <c r="C1442" s="2">
        <f>HYPERLINK("https://platform.v2.vetology.net/report/v/final/"&amp;2571441, 2571441)</f>
        <v>2571441</v>
      </c>
      <c r="D1442" s="2" t="s">
        <v>4113</v>
      </c>
      <c r="E1442" s="2" t="s">
        <v>4114</v>
      </c>
      <c r="F1442" s="2" t="s">
        <v>4115</v>
      </c>
      <c r="G1442" s="2" t="s">
        <v>212</v>
      </c>
      <c r="H1442" s="2" t="s">
        <v>54</v>
      </c>
      <c r="I1442" s="2" t="s">
        <v>44</v>
      </c>
      <c r="J1442" s="2"/>
      <c r="K1442" s="2" t="s">
        <v>38</v>
      </c>
      <c r="L1442" s="2" t="s">
        <v>39</v>
      </c>
      <c r="M1442" s="2" t="s">
        <v>38</v>
      </c>
      <c r="N1442" s="2" t="s">
        <v>38</v>
      </c>
      <c r="O1442" s="2" t="s">
        <v>38</v>
      </c>
      <c r="P1442" s="2" t="s">
        <v>38</v>
      </c>
      <c r="Q1442" s="2" t="s">
        <v>38</v>
      </c>
      <c r="R1442" s="2" t="s">
        <v>38</v>
      </c>
      <c r="S1442" s="2" t="s">
        <v>38</v>
      </c>
      <c r="T1442" s="2" t="s">
        <v>39</v>
      </c>
      <c r="U1442" s="2" t="s">
        <v>38</v>
      </c>
      <c r="V1442" s="2" t="s">
        <v>38</v>
      </c>
      <c r="W1442" s="2" t="s">
        <v>38</v>
      </c>
      <c r="X1442" s="2" t="s">
        <v>39</v>
      </c>
      <c r="Y1442" s="2" t="s">
        <v>38</v>
      </c>
      <c r="Z1442" s="2" t="s">
        <v>38</v>
      </c>
      <c r="AA1442" s="2" t="s">
        <v>38</v>
      </c>
      <c r="AB1442" s="2" t="s">
        <v>38</v>
      </c>
      <c r="AC1442" s="2" t="s">
        <v>38</v>
      </c>
      <c r="AD1442" s="2" t="s">
        <v>38</v>
      </c>
      <c r="AE1442" s="2" t="s">
        <v>38</v>
      </c>
    </row>
    <row r="1443" spans="1:31" ht="409.5">
      <c r="A1443" s="2">
        <v>2571350</v>
      </c>
      <c r="B1443" s="2">
        <f>HYPERLINK("https://platform.v2.vetology.net/cases/2571350/screening-report/18?type=pdf&amp;v=v6&amp;scorecard=1&amp;secret_key=BX%25IJ%24%2F65ieZ%29f6", 2571350)</f>
        <v>2571350</v>
      </c>
      <c r="C1443" s="2">
        <f>HYPERLINK("https://platform.v2.vetology.net/report/v/final/"&amp;2571350, 2571350)</f>
        <v>2571350</v>
      </c>
      <c r="D1443" s="2" t="s">
        <v>1043</v>
      </c>
      <c r="E1443" s="2" t="s">
        <v>728</v>
      </c>
      <c r="F1443" s="2" t="s">
        <v>1193</v>
      </c>
      <c r="G1443" s="2" t="s">
        <v>135</v>
      </c>
      <c r="H1443" s="2" t="s">
        <v>446</v>
      </c>
      <c r="I1443" s="2" t="s">
        <v>321</v>
      </c>
      <c r="J1443" s="2" t="s">
        <v>66</v>
      </c>
      <c r="K1443" s="2" t="s">
        <v>38</v>
      </c>
      <c r="L1443" s="2" t="s">
        <v>39</v>
      </c>
      <c r="M1443" s="2" t="s">
        <v>39</v>
      </c>
      <c r="N1443" s="2" t="s">
        <v>39</v>
      </c>
      <c r="O1443" s="2" t="s">
        <v>39</v>
      </c>
      <c r="P1443" s="2" t="s">
        <v>39</v>
      </c>
      <c r="Q1443" s="2" t="s">
        <v>38</v>
      </c>
      <c r="R1443" s="2" t="s">
        <v>38</v>
      </c>
      <c r="S1443" s="2" t="s">
        <v>38</v>
      </c>
      <c r="T1443" s="2" t="s">
        <v>38</v>
      </c>
      <c r="U1443" s="2" t="s">
        <v>38</v>
      </c>
      <c r="V1443" s="2" t="s">
        <v>38</v>
      </c>
      <c r="W1443" s="2" t="s">
        <v>38</v>
      </c>
      <c r="X1443" s="2" t="s">
        <v>38</v>
      </c>
      <c r="Y1443" s="2" t="s">
        <v>38</v>
      </c>
      <c r="Z1443" s="2" t="s">
        <v>38</v>
      </c>
      <c r="AA1443" s="2" t="s">
        <v>38</v>
      </c>
      <c r="AB1443" s="2" t="s">
        <v>39</v>
      </c>
      <c r="AC1443" s="2" t="s">
        <v>39</v>
      </c>
      <c r="AD1443" s="2" t="s">
        <v>38</v>
      </c>
      <c r="AE1443" s="2" t="s">
        <v>38</v>
      </c>
    </row>
    <row r="1444" spans="1:31" ht="409.5">
      <c r="A1444" s="2">
        <v>2571108</v>
      </c>
      <c r="B1444" s="2">
        <f>HYPERLINK("https://platform.v2.vetology.net/cases/2571108/screening-report/18?type=pdf&amp;v=v6&amp;scorecard=1&amp;secret_key=BX%25IJ%24%2F65ieZ%29f6", 2571108)</f>
        <v>2571108</v>
      </c>
      <c r="C1444" s="2">
        <f>HYPERLINK("https://platform.v2.vetology.net/report/v/final/"&amp;2571108, 2571108)</f>
        <v>2571108</v>
      </c>
      <c r="D1444" s="2" t="s">
        <v>4116</v>
      </c>
      <c r="E1444" s="2" t="s">
        <v>4117</v>
      </c>
      <c r="F1444" s="2" t="s">
        <v>4118</v>
      </c>
      <c r="G1444" s="2" t="s">
        <v>58</v>
      </c>
      <c r="H1444" s="2" t="s">
        <v>129</v>
      </c>
      <c r="I1444" s="2" t="s">
        <v>44</v>
      </c>
      <c r="J1444" s="2"/>
      <c r="K1444" s="2" t="s">
        <v>38</v>
      </c>
      <c r="L1444" s="2" t="s">
        <v>39</v>
      </c>
      <c r="M1444" s="2" t="s">
        <v>38</v>
      </c>
      <c r="N1444" s="2" t="s">
        <v>38</v>
      </c>
      <c r="O1444" s="2" t="s">
        <v>38</v>
      </c>
      <c r="P1444" s="2" t="s">
        <v>38</v>
      </c>
      <c r="Q1444" s="2" t="s">
        <v>38</v>
      </c>
      <c r="R1444" s="2" t="s">
        <v>38</v>
      </c>
      <c r="S1444" s="2" t="s">
        <v>39</v>
      </c>
      <c r="T1444" s="2" t="s">
        <v>38</v>
      </c>
      <c r="U1444" s="2" t="s">
        <v>39</v>
      </c>
      <c r="V1444" s="2" t="s">
        <v>38</v>
      </c>
      <c r="W1444" s="2" t="s">
        <v>38</v>
      </c>
      <c r="X1444" s="2" t="s">
        <v>38</v>
      </c>
      <c r="Y1444" s="2" t="s">
        <v>38</v>
      </c>
      <c r="Z1444" s="2" t="s">
        <v>39</v>
      </c>
      <c r="AA1444" s="2" t="s">
        <v>38</v>
      </c>
      <c r="AB1444" s="2" t="s">
        <v>38</v>
      </c>
      <c r="AC1444" s="2" t="s">
        <v>39</v>
      </c>
      <c r="AD1444" s="2" t="s">
        <v>38</v>
      </c>
      <c r="AE1444" s="2" t="s">
        <v>38</v>
      </c>
    </row>
    <row r="1445" spans="1:31" ht="409.5">
      <c r="A1445" s="2">
        <v>2570951</v>
      </c>
      <c r="B1445" s="2">
        <f>HYPERLINK("https://platform.v2.vetology.net/cases/2570951/screening-report/18?type=pdf&amp;v=v6&amp;scorecard=1&amp;secret_key=BX%25IJ%24%2F65ieZ%29f6", 2570951)</f>
        <v>2570951</v>
      </c>
      <c r="C1445" s="2">
        <f>HYPERLINK("https://platform.v2.vetology.net/report/v/final/"&amp;2570951, 2570951)</f>
        <v>2570951</v>
      </c>
      <c r="D1445" s="2" t="s">
        <v>4119</v>
      </c>
      <c r="E1445" s="2" t="s">
        <v>4120</v>
      </c>
      <c r="F1445" s="2" t="s">
        <v>4121</v>
      </c>
      <c r="G1445" s="2" t="s">
        <v>150</v>
      </c>
      <c r="H1445" s="2" t="s">
        <v>4122</v>
      </c>
      <c r="I1445" s="2" t="s">
        <v>190</v>
      </c>
      <c r="J1445" s="2" t="s">
        <v>112</v>
      </c>
      <c r="K1445" s="2" t="s">
        <v>39</v>
      </c>
      <c r="L1445" s="2" t="s">
        <v>39</v>
      </c>
      <c r="M1445" s="2" t="s">
        <v>39</v>
      </c>
      <c r="N1445" s="2" t="s">
        <v>39</v>
      </c>
      <c r="O1445" s="2" t="s">
        <v>39</v>
      </c>
      <c r="P1445" s="2" t="s">
        <v>39</v>
      </c>
      <c r="Q1445" s="2" t="s">
        <v>39</v>
      </c>
      <c r="R1445" s="2" t="s">
        <v>39</v>
      </c>
      <c r="S1445" s="2" t="s">
        <v>39</v>
      </c>
      <c r="T1445" s="2" t="s">
        <v>39</v>
      </c>
      <c r="U1445" s="2" t="s">
        <v>39</v>
      </c>
      <c r="V1445" s="2" t="s">
        <v>39</v>
      </c>
      <c r="W1445" s="2" t="s">
        <v>39</v>
      </c>
      <c r="X1445" s="2" t="s">
        <v>39</v>
      </c>
      <c r="Y1445" s="2" t="s">
        <v>39</v>
      </c>
      <c r="Z1445" s="2" t="s">
        <v>39</v>
      </c>
      <c r="AA1445" s="2" t="s">
        <v>39</v>
      </c>
      <c r="AB1445" s="2" t="s">
        <v>39</v>
      </c>
      <c r="AC1445" s="2" t="s">
        <v>39</v>
      </c>
      <c r="AD1445" s="2" t="s">
        <v>39</v>
      </c>
      <c r="AE1445" s="2" t="s">
        <v>39</v>
      </c>
    </row>
    <row r="1446" spans="1:31" ht="409.5">
      <c r="A1446" s="2">
        <v>2570467</v>
      </c>
      <c r="B1446" s="2">
        <f>HYPERLINK("https://platform.v2.vetology.net/cases/2570467/screening-report/18?type=pdf&amp;v=v6&amp;scorecard=1&amp;secret_key=BX%25IJ%24%2F65ieZ%29f6", 2570467)</f>
        <v>2570467</v>
      </c>
      <c r="C1446" s="2">
        <f>HYPERLINK("https://platform.v2.vetology.net/report/v/final/"&amp;2570467, 2570467)</f>
        <v>2570467</v>
      </c>
      <c r="D1446" s="2" t="s">
        <v>4123</v>
      </c>
      <c r="E1446" s="2" t="s">
        <v>4124</v>
      </c>
      <c r="F1446" s="2" t="s">
        <v>4125</v>
      </c>
      <c r="G1446" s="2" t="s">
        <v>63</v>
      </c>
      <c r="H1446" s="2" t="s">
        <v>2503</v>
      </c>
      <c r="I1446" s="2" t="s">
        <v>1139</v>
      </c>
      <c r="J1446" s="2" t="s">
        <v>50</v>
      </c>
      <c r="K1446" s="2" t="s">
        <v>38</v>
      </c>
      <c r="L1446" s="2" t="s">
        <v>39</v>
      </c>
      <c r="M1446" s="2" t="s">
        <v>39</v>
      </c>
      <c r="N1446" s="2" t="s">
        <v>39</v>
      </c>
      <c r="O1446" s="2" t="s">
        <v>39</v>
      </c>
      <c r="P1446" s="2" t="s">
        <v>39</v>
      </c>
      <c r="Q1446" s="2" t="s">
        <v>38</v>
      </c>
      <c r="R1446" s="2" t="s">
        <v>39</v>
      </c>
      <c r="S1446" s="2" t="s">
        <v>38</v>
      </c>
      <c r="T1446" s="2" t="s">
        <v>39</v>
      </c>
      <c r="U1446" s="2" t="s">
        <v>38</v>
      </c>
      <c r="V1446" s="2" t="s">
        <v>39</v>
      </c>
      <c r="W1446" s="2" t="s">
        <v>38</v>
      </c>
      <c r="X1446" s="2" t="s">
        <v>39</v>
      </c>
      <c r="Y1446" s="2" t="s">
        <v>38</v>
      </c>
      <c r="Z1446" s="2" t="s">
        <v>39</v>
      </c>
      <c r="AA1446" s="2" t="s">
        <v>38</v>
      </c>
      <c r="AB1446" s="2" t="s">
        <v>39</v>
      </c>
      <c r="AC1446" s="2" t="s">
        <v>39</v>
      </c>
      <c r="AD1446" s="2" t="s">
        <v>38</v>
      </c>
      <c r="AE1446" s="2" t="s">
        <v>38</v>
      </c>
    </row>
    <row r="1447" spans="1:31" ht="409.5">
      <c r="A1447" s="2">
        <v>2570408</v>
      </c>
      <c r="B1447" s="2">
        <f>HYPERLINK("https://platform.v2.vetology.net/cases/2570408/screening-report/18?type=pdf&amp;v=v6&amp;scorecard=1&amp;secret_key=BX%25IJ%24%2F65ieZ%29f6", 2570408)</f>
        <v>2570408</v>
      </c>
      <c r="C1447" s="2">
        <f>HYPERLINK("https://platform.v2.vetology.net/report/v/final/"&amp;2570408, 2570408)</f>
        <v>2570408</v>
      </c>
      <c r="D1447" s="2" t="s">
        <v>4126</v>
      </c>
      <c r="E1447" s="2" t="s">
        <v>4127</v>
      </c>
      <c r="F1447" s="2" t="s">
        <v>4128</v>
      </c>
      <c r="G1447" s="2" t="s">
        <v>58</v>
      </c>
      <c r="H1447" s="2" t="s">
        <v>43</v>
      </c>
      <c r="I1447" s="2" t="s">
        <v>44</v>
      </c>
      <c r="J1447" s="2"/>
      <c r="K1447" s="2" t="s">
        <v>38</v>
      </c>
      <c r="L1447" s="2" t="s">
        <v>38</v>
      </c>
      <c r="M1447" s="2" t="s">
        <v>38</v>
      </c>
      <c r="N1447" s="2" t="s">
        <v>38</v>
      </c>
      <c r="O1447" s="2" t="s">
        <v>38</v>
      </c>
      <c r="P1447" s="2" t="s">
        <v>38</v>
      </c>
      <c r="Q1447" s="2" t="s">
        <v>38</v>
      </c>
      <c r="R1447" s="2" t="s">
        <v>38</v>
      </c>
      <c r="S1447" s="2" t="s">
        <v>38</v>
      </c>
      <c r="T1447" s="2" t="s">
        <v>38</v>
      </c>
      <c r="U1447" s="2" t="s">
        <v>38</v>
      </c>
      <c r="V1447" s="2" t="s">
        <v>38</v>
      </c>
      <c r="W1447" s="2" t="s">
        <v>38</v>
      </c>
      <c r="X1447" s="2" t="s">
        <v>38</v>
      </c>
      <c r="Y1447" s="2" t="s">
        <v>38</v>
      </c>
      <c r="Z1447" s="2" t="s">
        <v>38</v>
      </c>
      <c r="AA1447" s="2" t="s">
        <v>38</v>
      </c>
      <c r="AB1447" s="2" t="s">
        <v>38</v>
      </c>
      <c r="AC1447" s="2" t="s">
        <v>38</v>
      </c>
      <c r="AD1447" s="2" t="s">
        <v>38</v>
      </c>
      <c r="AE1447" s="2" t="s">
        <v>38</v>
      </c>
    </row>
    <row r="1448" spans="1:31" ht="409.5">
      <c r="A1448" s="2">
        <v>2570297</v>
      </c>
      <c r="B1448" s="2">
        <f>HYPERLINK("https://platform.v2.vetology.net/cases/2570297/screening-report/18?type=pdf&amp;v=v6&amp;scorecard=1&amp;secret_key=BX%25IJ%24%2F65ieZ%29f6", 2570297)</f>
        <v>2570297</v>
      </c>
      <c r="C1448" s="2">
        <f>HYPERLINK("https://platform.v2.vetology.net/report/v/final/"&amp;2570297, 2570297)</f>
        <v>2570297</v>
      </c>
      <c r="D1448" s="2" t="s">
        <v>4129</v>
      </c>
      <c r="E1448" s="2" t="s">
        <v>4130</v>
      </c>
      <c r="F1448" s="2" t="s">
        <v>4131</v>
      </c>
      <c r="G1448" s="2" t="s">
        <v>135</v>
      </c>
      <c r="H1448" s="2" t="s">
        <v>2320</v>
      </c>
      <c r="I1448" s="2" t="s">
        <v>137</v>
      </c>
      <c r="J1448" s="2" t="s">
        <v>66</v>
      </c>
      <c r="K1448" s="2" t="s">
        <v>38</v>
      </c>
      <c r="L1448" s="2" t="s">
        <v>38</v>
      </c>
      <c r="M1448" s="2" t="s">
        <v>39</v>
      </c>
      <c r="N1448" s="2" t="s">
        <v>38</v>
      </c>
      <c r="O1448" s="2" t="s">
        <v>38</v>
      </c>
      <c r="P1448" s="2" t="s">
        <v>39</v>
      </c>
      <c r="Q1448" s="2" t="s">
        <v>38</v>
      </c>
      <c r="R1448" s="2" t="s">
        <v>38</v>
      </c>
      <c r="S1448" s="2" t="s">
        <v>38</v>
      </c>
      <c r="T1448" s="2" t="s">
        <v>39</v>
      </c>
      <c r="U1448" s="2" t="s">
        <v>38</v>
      </c>
      <c r="V1448" s="2" t="s">
        <v>38</v>
      </c>
      <c r="W1448" s="2" t="s">
        <v>38</v>
      </c>
      <c r="X1448" s="2" t="s">
        <v>38</v>
      </c>
      <c r="Y1448" s="2" t="s">
        <v>38</v>
      </c>
      <c r="Z1448" s="2" t="s">
        <v>39</v>
      </c>
      <c r="AA1448" s="2" t="s">
        <v>38</v>
      </c>
      <c r="AB1448" s="2" t="s">
        <v>39</v>
      </c>
      <c r="AC1448" s="2" t="s">
        <v>39</v>
      </c>
      <c r="AD1448" s="2" t="s">
        <v>38</v>
      </c>
      <c r="AE1448" s="2" t="s">
        <v>39</v>
      </c>
    </row>
    <row r="1449" spans="1:31" ht="409.5">
      <c r="A1449" s="2">
        <v>2570209</v>
      </c>
      <c r="B1449" s="2">
        <f>HYPERLINK("https://platform.v2.vetology.net/cases/2570209/screening-report/18?type=pdf&amp;v=v6&amp;scorecard=1&amp;secret_key=BX%25IJ%24%2F65ieZ%29f6", 2570209)</f>
        <v>2570209</v>
      </c>
      <c r="C1449" s="2">
        <f>HYPERLINK("https://platform.v2.vetology.net/report/v/final/"&amp;2570209, 2570209)</f>
        <v>2570209</v>
      </c>
      <c r="D1449" s="2" t="s">
        <v>4132</v>
      </c>
      <c r="E1449" s="2" t="s">
        <v>4133</v>
      </c>
      <c r="F1449" s="2" t="s">
        <v>4134</v>
      </c>
      <c r="G1449" s="2" t="s">
        <v>82</v>
      </c>
      <c r="H1449" s="2" t="s">
        <v>4135</v>
      </c>
      <c r="I1449" s="2" t="s">
        <v>988</v>
      </c>
      <c r="J1449" s="2" t="s">
        <v>989</v>
      </c>
      <c r="K1449" s="2" t="s">
        <v>39</v>
      </c>
      <c r="L1449" s="2" t="s">
        <v>39</v>
      </c>
      <c r="M1449" s="2" t="s">
        <v>39</v>
      </c>
      <c r="N1449" s="2" t="s">
        <v>39</v>
      </c>
      <c r="O1449" s="2" t="s">
        <v>39</v>
      </c>
      <c r="P1449" s="2" t="s">
        <v>39</v>
      </c>
      <c r="Q1449" s="2" t="s">
        <v>39</v>
      </c>
      <c r="R1449" s="2" t="s">
        <v>38</v>
      </c>
      <c r="S1449" s="2" t="s">
        <v>39</v>
      </c>
      <c r="T1449" s="2" t="s">
        <v>39</v>
      </c>
      <c r="U1449" s="2" t="s">
        <v>39</v>
      </c>
      <c r="V1449" s="2" t="s">
        <v>39</v>
      </c>
      <c r="W1449" s="2" t="s">
        <v>38</v>
      </c>
      <c r="X1449" s="2" t="s">
        <v>39</v>
      </c>
      <c r="Y1449" s="2" t="s">
        <v>38</v>
      </c>
      <c r="Z1449" s="2" t="s">
        <v>39</v>
      </c>
      <c r="AA1449" s="2" t="s">
        <v>39</v>
      </c>
      <c r="AB1449" s="2" t="s">
        <v>39</v>
      </c>
      <c r="AC1449" s="2" t="s">
        <v>39</v>
      </c>
      <c r="AD1449" s="2" t="s">
        <v>38</v>
      </c>
      <c r="AE1449" s="2" t="s">
        <v>39</v>
      </c>
    </row>
    <row r="1450" spans="1:31" ht="409.5">
      <c r="A1450" s="2">
        <v>2570126</v>
      </c>
      <c r="B1450" s="2">
        <f>HYPERLINK("https://platform.v2.vetology.net/cases/2570126/screening-report/18?type=pdf&amp;v=v6&amp;scorecard=1&amp;secret_key=BX%25IJ%24%2F65ieZ%29f6", 2570126)</f>
        <v>2570126</v>
      </c>
      <c r="C1450" s="2">
        <f>HYPERLINK("https://platform.v2.vetology.net/report/v/final/"&amp;2570126, 2570126)</f>
        <v>2570126</v>
      </c>
      <c r="D1450" s="2" t="s">
        <v>4136</v>
      </c>
      <c r="E1450" s="2" t="s">
        <v>4137</v>
      </c>
      <c r="F1450" s="2"/>
      <c r="G1450" s="2" t="s">
        <v>141</v>
      </c>
      <c r="H1450" s="2" t="s">
        <v>54</v>
      </c>
      <c r="I1450" s="2" t="s">
        <v>44</v>
      </c>
      <c r="J1450" s="2"/>
      <c r="K1450" s="2" t="s">
        <v>38</v>
      </c>
      <c r="L1450" s="2" t="s">
        <v>38</v>
      </c>
      <c r="M1450" s="2" t="s">
        <v>38</v>
      </c>
      <c r="N1450" s="2" t="s">
        <v>38</v>
      </c>
      <c r="O1450" s="2" t="s">
        <v>38</v>
      </c>
      <c r="P1450" s="2" t="s">
        <v>38</v>
      </c>
      <c r="Q1450" s="2" t="s">
        <v>38</v>
      </c>
      <c r="R1450" s="2" t="s">
        <v>38</v>
      </c>
      <c r="S1450" s="2" t="s">
        <v>38</v>
      </c>
      <c r="T1450" s="2" t="s">
        <v>39</v>
      </c>
      <c r="U1450" s="2" t="s">
        <v>38</v>
      </c>
      <c r="V1450" s="2" t="s">
        <v>39</v>
      </c>
      <c r="W1450" s="2" t="s">
        <v>38</v>
      </c>
      <c r="X1450" s="2" t="s">
        <v>39</v>
      </c>
      <c r="Y1450" s="2" t="s">
        <v>38</v>
      </c>
      <c r="Z1450" s="2" t="s">
        <v>38</v>
      </c>
      <c r="AA1450" s="2" t="s">
        <v>38</v>
      </c>
      <c r="AB1450" s="2" t="s">
        <v>38</v>
      </c>
      <c r="AC1450" s="2" t="s">
        <v>38</v>
      </c>
      <c r="AD1450" s="2" t="s">
        <v>38</v>
      </c>
      <c r="AE1450" s="2" t="s">
        <v>38</v>
      </c>
    </row>
    <row r="1451" spans="1:31" ht="409.5">
      <c r="A1451" s="2">
        <v>2570059</v>
      </c>
      <c r="B1451" s="2">
        <f>HYPERLINK("https://platform.v2.vetology.net/cases/2570059/screening-report/18?type=pdf&amp;v=v6&amp;scorecard=1&amp;secret_key=BX%25IJ%24%2F65ieZ%29f6", 2570059)</f>
        <v>2570059</v>
      </c>
      <c r="C1451" s="2">
        <f>HYPERLINK("https://platform.v2.vetology.net/report/v/final/"&amp;2570059, 2570059)</f>
        <v>2570059</v>
      </c>
      <c r="D1451" s="2" t="s">
        <v>4138</v>
      </c>
      <c r="E1451" s="2" t="s">
        <v>4139</v>
      </c>
      <c r="F1451" s="2" t="s">
        <v>4140</v>
      </c>
      <c r="G1451" s="2" t="s">
        <v>82</v>
      </c>
      <c r="H1451" s="2" t="s">
        <v>166</v>
      </c>
      <c r="I1451" s="2" t="s">
        <v>167</v>
      </c>
      <c r="J1451" s="2" t="s">
        <v>168</v>
      </c>
      <c r="K1451" s="2" t="s">
        <v>38</v>
      </c>
      <c r="L1451" s="2" t="s">
        <v>39</v>
      </c>
      <c r="M1451" s="2" t="s">
        <v>38</v>
      </c>
      <c r="N1451" s="2" t="s">
        <v>38</v>
      </c>
      <c r="O1451" s="2" t="s">
        <v>38</v>
      </c>
      <c r="P1451" s="2" t="s">
        <v>39</v>
      </c>
      <c r="Q1451" s="2" t="s">
        <v>38</v>
      </c>
      <c r="R1451" s="2" t="s">
        <v>38</v>
      </c>
      <c r="S1451" s="2" t="s">
        <v>39</v>
      </c>
      <c r="T1451" s="2" t="s">
        <v>39</v>
      </c>
      <c r="U1451" s="2" t="s">
        <v>38</v>
      </c>
      <c r="V1451" s="2" t="s">
        <v>38</v>
      </c>
      <c r="W1451" s="2" t="s">
        <v>38</v>
      </c>
      <c r="X1451" s="2" t="s">
        <v>39</v>
      </c>
      <c r="Y1451" s="2" t="s">
        <v>38</v>
      </c>
      <c r="Z1451" s="2" t="s">
        <v>38</v>
      </c>
      <c r="AA1451" s="2" t="s">
        <v>38</v>
      </c>
      <c r="AB1451" s="2" t="s">
        <v>38</v>
      </c>
      <c r="AC1451" s="2" t="s">
        <v>38</v>
      </c>
      <c r="AD1451" s="2" t="s">
        <v>38</v>
      </c>
      <c r="AE1451" s="2" t="s">
        <v>38</v>
      </c>
    </row>
    <row r="1452" spans="1:31" ht="409.5">
      <c r="A1452" s="2">
        <v>2570013</v>
      </c>
      <c r="B1452" s="2">
        <f>HYPERLINK("https://platform.v2.vetology.net/cases/2570013/screening-report/18?type=pdf&amp;v=v6&amp;scorecard=1&amp;secret_key=BX%25IJ%24%2F65ieZ%29f6", 2570013)</f>
        <v>2570013</v>
      </c>
      <c r="C1452" s="2">
        <f>HYPERLINK("https://platform.v2.vetology.net/report/v/final/"&amp;2570013, 2570013)</f>
        <v>2570013</v>
      </c>
      <c r="D1452" s="2" t="s">
        <v>4141</v>
      </c>
      <c r="E1452" s="2" t="s">
        <v>4142</v>
      </c>
      <c r="F1452" s="2" t="s">
        <v>81</v>
      </c>
      <c r="G1452" s="2" t="s">
        <v>82</v>
      </c>
      <c r="H1452" s="2" t="s">
        <v>4143</v>
      </c>
      <c r="I1452" s="2" t="s">
        <v>2067</v>
      </c>
      <c r="J1452" s="2" t="s">
        <v>66</v>
      </c>
      <c r="K1452" s="2" t="s">
        <v>38</v>
      </c>
      <c r="L1452" s="2" t="s">
        <v>38</v>
      </c>
      <c r="M1452" s="2" t="s">
        <v>39</v>
      </c>
      <c r="N1452" s="2" t="s">
        <v>38</v>
      </c>
      <c r="O1452" s="2" t="s">
        <v>39</v>
      </c>
      <c r="P1452" s="2" t="s">
        <v>38</v>
      </c>
      <c r="Q1452" s="2" t="s">
        <v>38</v>
      </c>
      <c r="R1452" s="2" t="s">
        <v>38</v>
      </c>
      <c r="S1452" s="2" t="s">
        <v>38</v>
      </c>
      <c r="T1452" s="2" t="s">
        <v>38</v>
      </c>
      <c r="U1452" s="2" t="s">
        <v>38</v>
      </c>
      <c r="V1452" s="2" t="s">
        <v>38</v>
      </c>
      <c r="W1452" s="2" t="s">
        <v>38</v>
      </c>
      <c r="X1452" s="2" t="s">
        <v>38</v>
      </c>
      <c r="Y1452" s="2" t="s">
        <v>38</v>
      </c>
      <c r="Z1452" s="2" t="s">
        <v>38</v>
      </c>
      <c r="AA1452" s="2" t="s">
        <v>38</v>
      </c>
      <c r="AB1452" s="2" t="s">
        <v>38</v>
      </c>
      <c r="AC1452" s="2" t="s">
        <v>38</v>
      </c>
      <c r="AD1452" s="2" t="s">
        <v>38</v>
      </c>
      <c r="AE1452" s="2" t="s">
        <v>38</v>
      </c>
    </row>
    <row r="1453" spans="1:31" ht="409.5">
      <c r="A1453" s="2">
        <v>2569876</v>
      </c>
      <c r="B1453" s="2">
        <f>HYPERLINK("https://platform.v2.vetology.net/cases/2569876/screening-report/18?type=pdf&amp;v=v6&amp;scorecard=1&amp;secret_key=BX%25IJ%24%2F65ieZ%29f6", 2569876)</f>
        <v>2569876</v>
      </c>
      <c r="C1453" s="2">
        <f>HYPERLINK("https://platform.v2.vetology.net/report/v/final/"&amp;2569876, 2569876)</f>
        <v>2569876</v>
      </c>
      <c r="D1453" s="2" t="s">
        <v>4144</v>
      </c>
      <c r="E1453" s="2" t="s">
        <v>4145</v>
      </c>
      <c r="F1453" s="2" t="s">
        <v>81</v>
      </c>
      <c r="G1453" s="2" t="s">
        <v>82</v>
      </c>
      <c r="H1453" s="2" t="s">
        <v>339</v>
      </c>
      <c r="I1453" s="2" t="s">
        <v>124</v>
      </c>
      <c r="J1453" s="2" t="s">
        <v>125</v>
      </c>
      <c r="K1453" s="2" t="s">
        <v>38</v>
      </c>
      <c r="L1453" s="2" t="s">
        <v>39</v>
      </c>
      <c r="M1453" s="2" t="s">
        <v>39</v>
      </c>
      <c r="N1453" s="2" t="s">
        <v>38</v>
      </c>
      <c r="O1453" s="2" t="s">
        <v>39</v>
      </c>
      <c r="P1453" s="2" t="s">
        <v>38</v>
      </c>
      <c r="Q1453" s="2" t="s">
        <v>38</v>
      </c>
      <c r="R1453" s="2" t="s">
        <v>38</v>
      </c>
      <c r="S1453" s="2" t="s">
        <v>39</v>
      </c>
      <c r="T1453" s="2" t="s">
        <v>39</v>
      </c>
      <c r="U1453" s="2" t="s">
        <v>38</v>
      </c>
      <c r="V1453" s="2" t="s">
        <v>39</v>
      </c>
      <c r="W1453" s="2" t="s">
        <v>38</v>
      </c>
      <c r="X1453" s="2" t="s">
        <v>39</v>
      </c>
      <c r="Y1453" s="2" t="s">
        <v>38</v>
      </c>
      <c r="Z1453" s="2" t="s">
        <v>39</v>
      </c>
      <c r="AA1453" s="2" t="s">
        <v>38</v>
      </c>
      <c r="AB1453" s="2" t="s">
        <v>39</v>
      </c>
      <c r="AC1453" s="2" t="s">
        <v>38</v>
      </c>
      <c r="AD1453" s="2" t="s">
        <v>38</v>
      </c>
      <c r="AE1453" s="2" t="s">
        <v>38</v>
      </c>
    </row>
    <row r="1454" spans="1:31" ht="409.5">
      <c r="A1454" s="2">
        <v>2569730</v>
      </c>
      <c r="B1454" s="2">
        <f>HYPERLINK("https://platform.v2.vetology.net/cases/2569730/screening-report/18?type=pdf&amp;v=v6&amp;scorecard=1&amp;secret_key=BX%25IJ%24%2F65ieZ%29f6", 2569730)</f>
        <v>2569730</v>
      </c>
      <c r="C1454" s="2">
        <f>HYPERLINK("https://platform.v2.vetology.net/report/v/final/"&amp;2569730, 2569730)</f>
        <v>2569730</v>
      </c>
      <c r="D1454" s="2" t="s">
        <v>4146</v>
      </c>
      <c r="E1454" s="2" t="s">
        <v>4147</v>
      </c>
      <c r="F1454" s="2" t="s">
        <v>4148</v>
      </c>
      <c r="G1454" s="2" t="s">
        <v>268</v>
      </c>
      <c r="H1454" s="2" t="s">
        <v>360</v>
      </c>
      <c r="I1454" s="2" t="s">
        <v>284</v>
      </c>
      <c r="J1454" s="2" t="s">
        <v>285</v>
      </c>
      <c r="K1454" s="2" t="s">
        <v>38</v>
      </c>
      <c r="L1454" s="2" t="s">
        <v>38</v>
      </c>
      <c r="M1454" s="2" t="s">
        <v>38</v>
      </c>
      <c r="N1454" s="2" t="s">
        <v>38</v>
      </c>
      <c r="O1454" s="2" t="s">
        <v>38</v>
      </c>
      <c r="P1454" s="2" t="s">
        <v>38</v>
      </c>
      <c r="Q1454" s="2" t="s">
        <v>38</v>
      </c>
      <c r="R1454" s="2" t="s">
        <v>38</v>
      </c>
      <c r="S1454" s="2" t="s">
        <v>38</v>
      </c>
      <c r="T1454" s="2" t="s">
        <v>39</v>
      </c>
      <c r="U1454" s="2" t="s">
        <v>38</v>
      </c>
      <c r="V1454" s="2" t="s">
        <v>39</v>
      </c>
      <c r="W1454" s="2" t="s">
        <v>38</v>
      </c>
      <c r="X1454" s="2" t="s">
        <v>39</v>
      </c>
      <c r="Y1454" s="2" t="s">
        <v>38</v>
      </c>
      <c r="Z1454" s="2" t="s">
        <v>38</v>
      </c>
      <c r="AA1454" s="2" t="s">
        <v>38</v>
      </c>
      <c r="AB1454" s="2" t="s">
        <v>38</v>
      </c>
      <c r="AC1454" s="2" t="s">
        <v>38</v>
      </c>
      <c r="AD1454" s="2" t="s">
        <v>38</v>
      </c>
      <c r="AE1454" s="2" t="s">
        <v>38</v>
      </c>
    </row>
    <row r="1455" spans="1:31" ht="409.5">
      <c r="A1455" s="2">
        <v>2569657</v>
      </c>
      <c r="B1455" s="2">
        <f>HYPERLINK("https://platform.v2.vetology.net/cases/2569657/screening-report/18?type=pdf&amp;v=v6&amp;scorecard=1&amp;secret_key=BX%25IJ%24%2F65ieZ%29f6", 2569657)</f>
        <v>2569657</v>
      </c>
      <c r="C1455" s="2">
        <f>HYPERLINK("https://platform.v2.vetology.net/report/v/final/"&amp;2569657, 2569657)</f>
        <v>2569657</v>
      </c>
      <c r="D1455" s="2" t="s">
        <v>4149</v>
      </c>
      <c r="E1455" s="2" t="s">
        <v>4150</v>
      </c>
      <c r="F1455" s="2" t="s">
        <v>81</v>
      </c>
      <c r="G1455" s="2" t="s">
        <v>150</v>
      </c>
      <c r="H1455" s="2" t="s">
        <v>4151</v>
      </c>
      <c r="I1455" s="2" t="s">
        <v>1118</v>
      </c>
      <c r="J1455" s="2" t="s">
        <v>1119</v>
      </c>
      <c r="K1455" s="2" t="s">
        <v>38</v>
      </c>
      <c r="L1455" s="2" t="s">
        <v>39</v>
      </c>
      <c r="M1455" s="2" t="s">
        <v>39</v>
      </c>
      <c r="N1455" s="2" t="s">
        <v>38</v>
      </c>
      <c r="O1455" s="2" t="s">
        <v>38</v>
      </c>
      <c r="P1455" s="2" t="s">
        <v>38</v>
      </c>
      <c r="Q1455" s="2" t="s">
        <v>38</v>
      </c>
      <c r="R1455" s="2" t="s">
        <v>38</v>
      </c>
      <c r="S1455" s="2" t="s">
        <v>39</v>
      </c>
      <c r="T1455" s="2" t="s">
        <v>39</v>
      </c>
      <c r="U1455" s="2" t="s">
        <v>39</v>
      </c>
      <c r="V1455" s="2" t="s">
        <v>38</v>
      </c>
      <c r="W1455" s="2" t="s">
        <v>38</v>
      </c>
      <c r="X1455" s="2" t="s">
        <v>39</v>
      </c>
      <c r="Y1455" s="2" t="s">
        <v>38</v>
      </c>
      <c r="Z1455" s="2" t="s">
        <v>39</v>
      </c>
      <c r="AA1455" s="2" t="s">
        <v>38</v>
      </c>
      <c r="AB1455" s="2" t="s">
        <v>39</v>
      </c>
      <c r="AC1455" s="2" t="s">
        <v>39</v>
      </c>
      <c r="AD1455" s="2" t="s">
        <v>38</v>
      </c>
      <c r="AE1455" s="2" t="s">
        <v>38</v>
      </c>
    </row>
    <row r="1456" spans="1:31" ht="409.5">
      <c r="A1456" s="2">
        <v>2569530</v>
      </c>
      <c r="B1456" s="2">
        <f>HYPERLINK("https://platform.v2.vetology.net/cases/2569530/screening-report/18?type=pdf&amp;v=v6&amp;scorecard=1&amp;secret_key=BX%25IJ%24%2F65ieZ%29f6", 2569530)</f>
        <v>2569530</v>
      </c>
      <c r="C1456" s="2">
        <f>HYPERLINK("https://platform.v2.vetology.net/report/v/final/"&amp;2569530, 2569530)</f>
        <v>2569530</v>
      </c>
      <c r="D1456" s="2" t="s">
        <v>4152</v>
      </c>
      <c r="E1456" s="2" t="s">
        <v>4153</v>
      </c>
      <c r="F1456" s="2"/>
      <c r="G1456" s="2" t="s">
        <v>150</v>
      </c>
      <c r="H1456" s="2" t="s">
        <v>1180</v>
      </c>
      <c r="I1456" s="2" t="s">
        <v>158</v>
      </c>
      <c r="J1456" s="2" t="s">
        <v>50</v>
      </c>
      <c r="K1456" s="2" t="s">
        <v>38</v>
      </c>
      <c r="L1456" s="2" t="s">
        <v>39</v>
      </c>
      <c r="M1456" s="2" t="s">
        <v>39</v>
      </c>
      <c r="N1456" s="2" t="s">
        <v>38</v>
      </c>
      <c r="O1456" s="2" t="s">
        <v>38</v>
      </c>
      <c r="P1456" s="2" t="s">
        <v>39</v>
      </c>
      <c r="Q1456" s="2" t="s">
        <v>38</v>
      </c>
      <c r="R1456" s="2" t="s">
        <v>38</v>
      </c>
      <c r="S1456" s="2" t="s">
        <v>38</v>
      </c>
      <c r="T1456" s="2" t="s">
        <v>38</v>
      </c>
      <c r="U1456" s="2" t="s">
        <v>38</v>
      </c>
      <c r="V1456" s="2" t="s">
        <v>38</v>
      </c>
      <c r="W1456" s="2" t="s">
        <v>38</v>
      </c>
      <c r="X1456" s="2" t="s">
        <v>38</v>
      </c>
      <c r="Y1456" s="2" t="s">
        <v>38</v>
      </c>
      <c r="Z1456" s="2" t="s">
        <v>38</v>
      </c>
      <c r="AA1456" s="2" t="s">
        <v>38</v>
      </c>
      <c r="AB1456" s="2" t="s">
        <v>39</v>
      </c>
      <c r="AC1456" s="2" t="s">
        <v>38</v>
      </c>
      <c r="AD1456" s="2" t="s">
        <v>38</v>
      </c>
      <c r="AE1456" s="2" t="s">
        <v>38</v>
      </c>
    </row>
    <row r="1457" spans="1:31" ht="409.5">
      <c r="A1457" s="2">
        <v>2569510</v>
      </c>
      <c r="B1457" s="2">
        <f>HYPERLINK("https://platform.v2.vetology.net/cases/2569510/screening-report/18?type=pdf&amp;v=v6&amp;scorecard=1&amp;secret_key=BX%25IJ%24%2F65ieZ%29f6", 2569510)</f>
        <v>2569510</v>
      </c>
      <c r="C1457" s="2">
        <f>HYPERLINK("https://platform.v2.vetology.net/report/v/final/"&amp;2569510, 2569510)</f>
        <v>2569510</v>
      </c>
      <c r="D1457" s="2" t="s">
        <v>4154</v>
      </c>
      <c r="E1457" s="2" t="s">
        <v>4155</v>
      </c>
      <c r="F1457" s="2" t="s">
        <v>4156</v>
      </c>
      <c r="G1457" s="2" t="s">
        <v>212</v>
      </c>
      <c r="H1457" s="2" t="s">
        <v>4157</v>
      </c>
      <c r="I1457" s="2" t="s">
        <v>214</v>
      </c>
      <c r="J1457" s="2" t="s">
        <v>50</v>
      </c>
      <c r="K1457" s="2" t="s">
        <v>38</v>
      </c>
      <c r="L1457" s="2" t="s">
        <v>39</v>
      </c>
      <c r="M1457" s="2" t="s">
        <v>39</v>
      </c>
      <c r="N1457" s="2" t="s">
        <v>38</v>
      </c>
      <c r="O1457" s="2" t="s">
        <v>39</v>
      </c>
      <c r="P1457" s="2" t="s">
        <v>39</v>
      </c>
      <c r="Q1457" s="2" t="s">
        <v>38</v>
      </c>
      <c r="R1457" s="2" t="s">
        <v>38</v>
      </c>
      <c r="S1457" s="2" t="s">
        <v>38</v>
      </c>
      <c r="T1457" s="2" t="s">
        <v>38</v>
      </c>
      <c r="U1457" s="2" t="s">
        <v>38</v>
      </c>
      <c r="V1457" s="2" t="s">
        <v>38</v>
      </c>
      <c r="W1457" s="2" t="s">
        <v>38</v>
      </c>
      <c r="X1457" s="2" t="s">
        <v>38</v>
      </c>
      <c r="Y1457" s="2" t="s">
        <v>38</v>
      </c>
      <c r="Z1457" s="2" t="s">
        <v>39</v>
      </c>
      <c r="AA1457" s="2" t="s">
        <v>38</v>
      </c>
      <c r="AB1457" s="2" t="s">
        <v>39</v>
      </c>
      <c r="AC1457" s="2" t="s">
        <v>38</v>
      </c>
      <c r="AD1457" s="2" t="s">
        <v>38</v>
      </c>
      <c r="AE1457" s="2" t="s">
        <v>38</v>
      </c>
    </row>
    <row r="1458" spans="1:31" ht="409.5">
      <c r="A1458" s="2">
        <v>2569203</v>
      </c>
      <c r="B1458" s="2">
        <f>HYPERLINK("https://platform.v2.vetology.net/cases/2569203/screening-report/18?type=pdf&amp;v=v6&amp;scorecard=1&amp;secret_key=BX%25IJ%24%2F65ieZ%29f6", 2569203)</f>
        <v>2569203</v>
      </c>
      <c r="C1458" s="2">
        <f>HYPERLINK("https://platform.v2.vetology.net/report/v/final/"&amp;2569203, 2569203)</f>
        <v>2569203</v>
      </c>
      <c r="D1458" s="2" t="s">
        <v>4158</v>
      </c>
      <c r="E1458" s="2" t="s">
        <v>913</v>
      </c>
      <c r="F1458" s="2" t="s">
        <v>81</v>
      </c>
      <c r="G1458" s="2" t="s">
        <v>82</v>
      </c>
      <c r="H1458" s="2" t="s">
        <v>78</v>
      </c>
      <c r="I1458" s="2" t="s">
        <v>44</v>
      </c>
      <c r="J1458" s="2" t="s">
        <v>106</v>
      </c>
      <c r="K1458" s="2" t="s">
        <v>38</v>
      </c>
      <c r="L1458" s="2" t="s">
        <v>38</v>
      </c>
      <c r="M1458" s="2" t="s">
        <v>39</v>
      </c>
      <c r="N1458" s="2" t="s">
        <v>38</v>
      </c>
      <c r="O1458" s="2" t="s">
        <v>38</v>
      </c>
      <c r="P1458" s="2" t="s">
        <v>38</v>
      </c>
      <c r="Q1458" s="2" t="s">
        <v>38</v>
      </c>
      <c r="R1458" s="2" t="s">
        <v>38</v>
      </c>
      <c r="S1458" s="2" t="s">
        <v>38</v>
      </c>
      <c r="T1458" s="2" t="s">
        <v>39</v>
      </c>
      <c r="U1458" s="2" t="s">
        <v>38</v>
      </c>
      <c r="V1458" s="2" t="s">
        <v>39</v>
      </c>
      <c r="W1458" s="2" t="s">
        <v>38</v>
      </c>
      <c r="X1458" s="2" t="s">
        <v>39</v>
      </c>
      <c r="Y1458" s="2" t="s">
        <v>38</v>
      </c>
      <c r="Z1458" s="2" t="s">
        <v>38</v>
      </c>
      <c r="AA1458" s="2" t="s">
        <v>38</v>
      </c>
      <c r="AB1458" s="2" t="s">
        <v>38</v>
      </c>
      <c r="AC1458" s="2" t="s">
        <v>38</v>
      </c>
      <c r="AD1458" s="2" t="s">
        <v>38</v>
      </c>
      <c r="AE1458" s="2" t="s">
        <v>38</v>
      </c>
    </row>
    <row r="1459" spans="1:31" ht="409.5">
      <c r="A1459" s="2">
        <v>2569014</v>
      </c>
      <c r="B1459" s="2">
        <f>HYPERLINK("https://platform.v2.vetology.net/cases/2569014/screening-report/18?type=pdf&amp;v=v6&amp;scorecard=1&amp;secret_key=BX%25IJ%24%2F65ieZ%29f6", 2569014)</f>
        <v>2569014</v>
      </c>
      <c r="C1459" s="2">
        <f>HYPERLINK("https://platform.v2.vetology.net/report/v/final/"&amp;2569014, 2569014)</f>
        <v>2569014</v>
      </c>
      <c r="D1459" s="2" t="s">
        <v>4159</v>
      </c>
      <c r="E1459" s="2" t="s">
        <v>4160</v>
      </c>
      <c r="F1459" s="2" t="s">
        <v>523</v>
      </c>
      <c r="G1459" s="2" t="s">
        <v>141</v>
      </c>
      <c r="H1459" s="2" t="s">
        <v>4161</v>
      </c>
      <c r="I1459" s="2" t="s">
        <v>36</v>
      </c>
      <c r="J1459" s="2" t="s">
        <v>37</v>
      </c>
      <c r="K1459" s="2" t="s">
        <v>38</v>
      </c>
      <c r="L1459" s="2" t="s">
        <v>38</v>
      </c>
      <c r="M1459" s="2" t="s">
        <v>38</v>
      </c>
      <c r="N1459" s="2" t="s">
        <v>38</v>
      </c>
      <c r="O1459" s="2" t="s">
        <v>38</v>
      </c>
      <c r="P1459" s="2" t="s">
        <v>38</v>
      </c>
      <c r="Q1459" s="2" t="s">
        <v>38</v>
      </c>
      <c r="R1459" s="2" t="s">
        <v>38</v>
      </c>
      <c r="S1459" s="2" t="s">
        <v>38</v>
      </c>
      <c r="T1459" s="2" t="s">
        <v>39</v>
      </c>
      <c r="U1459" s="2" t="s">
        <v>38</v>
      </c>
      <c r="V1459" s="2" t="s">
        <v>38</v>
      </c>
      <c r="W1459" s="2" t="s">
        <v>38</v>
      </c>
      <c r="X1459" s="2" t="s">
        <v>39</v>
      </c>
      <c r="Y1459" s="2" t="s">
        <v>38</v>
      </c>
      <c r="Z1459" s="2" t="s">
        <v>38</v>
      </c>
      <c r="AA1459" s="2" t="s">
        <v>38</v>
      </c>
      <c r="AB1459" s="2" t="s">
        <v>38</v>
      </c>
      <c r="AC1459" s="2" t="s">
        <v>38</v>
      </c>
      <c r="AD1459" s="2" t="s">
        <v>38</v>
      </c>
      <c r="AE1459" s="2" t="s">
        <v>38</v>
      </c>
    </row>
    <row r="1460" spans="1:31" ht="409.5">
      <c r="A1460" s="2">
        <v>2568888</v>
      </c>
      <c r="B1460" s="2">
        <f>HYPERLINK("https://platform.v2.vetology.net/cases/2568888/screening-report/18?type=pdf&amp;v=v6&amp;scorecard=1&amp;secret_key=BX%25IJ%24%2F65ieZ%29f6", 2568888)</f>
        <v>2568888</v>
      </c>
      <c r="C1460" s="2">
        <f>HYPERLINK("https://platform.v2.vetology.net/report/v/final/"&amp;2568888, 2568888)</f>
        <v>2568888</v>
      </c>
      <c r="D1460" s="2" t="s">
        <v>4162</v>
      </c>
      <c r="E1460" s="2" t="s">
        <v>4163</v>
      </c>
      <c r="F1460" s="2" t="s">
        <v>81</v>
      </c>
      <c r="G1460" s="2" t="s">
        <v>268</v>
      </c>
      <c r="H1460" s="2" t="s">
        <v>4164</v>
      </c>
      <c r="I1460" s="2" t="s">
        <v>137</v>
      </c>
      <c r="J1460" s="2" t="s">
        <v>66</v>
      </c>
      <c r="K1460" s="2" t="s">
        <v>38</v>
      </c>
      <c r="L1460" s="2" t="s">
        <v>38</v>
      </c>
      <c r="M1460" s="2" t="s">
        <v>38</v>
      </c>
      <c r="N1460" s="2" t="s">
        <v>38</v>
      </c>
      <c r="O1460" s="2" t="s">
        <v>38</v>
      </c>
      <c r="P1460" s="2" t="s">
        <v>38</v>
      </c>
      <c r="Q1460" s="2" t="s">
        <v>38</v>
      </c>
      <c r="R1460" s="2" t="s">
        <v>38</v>
      </c>
      <c r="S1460" s="2" t="s">
        <v>38</v>
      </c>
      <c r="T1460" s="2" t="s">
        <v>38</v>
      </c>
      <c r="U1460" s="2" t="s">
        <v>38</v>
      </c>
      <c r="V1460" s="2" t="s">
        <v>38</v>
      </c>
      <c r="W1460" s="2" t="s">
        <v>38</v>
      </c>
      <c r="X1460" s="2" t="s">
        <v>38</v>
      </c>
      <c r="Y1460" s="2" t="s">
        <v>38</v>
      </c>
      <c r="Z1460" s="2" t="s">
        <v>38</v>
      </c>
      <c r="AA1460" s="2" t="s">
        <v>38</v>
      </c>
      <c r="AB1460" s="2" t="s">
        <v>38</v>
      </c>
      <c r="AC1460" s="2" t="s">
        <v>38</v>
      </c>
      <c r="AD1460" s="2" t="s">
        <v>38</v>
      </c>
      <c r="AE1460" s="2" t="s">
        <v>38</v>
      </c>
    </row>
    <row r="1461" spans="1:31" ht="409.5">
      <c r="A1461" s="2">
        <v>2568810</v>
      </c>
      <c r="B1461" s="2">
        <f>HYPERLINK("https://platform.v2.vetology.net/cases/2568810/screening-report/18?type=pdf&amp;v=v6&amp;scorecard=1&amp;secret_key=BX%25IJ%24%2F65ieZ%29f6", 2568810)</f>
        <v>2568810</v>
      </c>
      <c r="C1461" s="2">
        <f>HYPERLINK("https://platform.v2.vetology.net/report/v/final/"&amp;2568810, 2568810)</f>
        <v>2568810</v>
      </c>
      <c r="D1461" s="2" t="s">
        <v>4165</v>
      </c>
      <c r="E1461" s="2" t="s">
        <v>4166</v>
      </c>
      <c r="F1461" s="2" t="s">
        <v>81</v>
      </c>
      <c r="G1461" s="2" t="s">
        <v>82</v>
      </c>
      <c r="H1461" s="2" t="s">
        <v>2029</v>
      </c>
      <c r="I1461" s="2" t="s">
        <v>214</v>
      </c>
      <c r="J1461" s="2" t="s">
        <v>50</v>
      </c>
      <c r="K1461" s="2" t="s">
        <v>38</v>
      </c>
      <c r="L1461" s="2" t="s">
        <v>39</v>
      </c>
      <c r="M1461" s="2" t="s">
        <v>39</v>
      </c>
      <c r="N1461" s="2" t="s">
        <v>38</v>
      </c>
      <c r="O1461" s="2" t="s">
        <v>39</v>
      </c>
      <c r="P1461" s="2" t="s">
        <v>38</v>
      </c>
      <c r="Q1461" s="2" t="s">
        <v>38</v>
      </c>
      <c r="R1461" s="2" t="s">
        <v>38</v>
      </c>
      <c r="S1461" s="2" t="s">
        <v>38</v>
      </c>
      <c r="T1461" s="2" t="s">
        <v>39</v>
      </c>
      <c r="U1461" s="2" t="s">
        <v>38</v>
      </c>
      <c r="V1461" s="2" t="s">
        <v>39</v>
      </c>
      <c r="W1461" s="2" t="s">
        <v>38</v>
      </c>
      <c r="X1461" s="2" t="s">
        <v>38</v>
      </c>
      <c r="Y1461" s="2" t="s">
        <v>38</v>
      </c>
      <c r="Z1461" s="2" t="s">
        <v>38</v>
      </c>
      <c r="AA1461" s="2" t="s">
        <v>38</v>
      </c>
      <c r="AB1461" s="2" t="s">
        <v>38</v>
      </c>
      <c r="AC1461" s="2" t="s">
        <v>38</v>
      </c>
      <c r="AD1461" s="2" t="s">
        <v>38</v>
      </c>
      <c r="AE1461" s="2" t="s">
        <v>38</v>
      </c>
    </row>
    <row r="1462" spans="1:31" ht="409.5">
      <c r="A1462" s="2">
        <v>2568396</v>
      </c>
      <c r="B1462" s="2">
        <f>HYPERLINK("https://platform.v2.vetology.net/cases/2568396/screening-report/18?type=pdf&amp;v=v6&amp;scorecard=1&amp;secret_key=BX%25IJ%24%2F65ieZ%29f6", 2568396)</f>
        <v>2568396</v>
      </c>
      <c r="C1462" s="2">
        <f>HYPERLINK("https://platform.v2.vetology.net/report/v/final/"&amp;2568396, 2568396)</f>
        <v>2568396</v>
      </c>
      <c r="D1462" s="2" t="s">
        <v>4167</v>
      </c>
      <c r="E1462" s="2" t="s">
        <v>4168</v>
      </c>
      <c r="F1462" s="2" t="s">
        <v>4169</v>
      </c>
      <c r="G1462" s="2" t="s">
        <v>268</v>
      </c>
      <c r="H1462" s="2" t="s">
        <v>54</v>
      </c>
      <c r="I1462" s="2" t="s">
        <v>44</v>
      </c>
      <c r="J1462" s="2" t="s">
        <v>106</v>
      </c>
      <c r="K1462" s="2" t="s">
        <v>38</v>
      </c>
      <c r="L1462" s="2" t="s">
        <v>38</v>
      </c>
      <c r="M1462" s="2" t="s">
        <v>38</v>
      </c>
      <c r="N1462" s="2" t="s">
        <v>38</v>
      </c>
      <c r="O1462" s="2" t="s">
        <v>38</v>
      </c>
      <c r="P1462" s="2" t="s">
        <v>38</v>
      </c>
      <c r="Q1462" s="2" t="s">
        <v>38</v>
      </c>
      <c r="R1462" s="2" t="s">
        <v>38</v>
      </c>
      <c r="S1462" s="2" t="s">
        <v>38</v>
      </c>
      <c r="T1462" s="2" t="s">
        <v>38</v>
      </c>
      <c r="U1462" s="2" t="s">
        <v>38</v>
      </c>
      <c r="V1462" s="2" t="s">
        <v>38</v>
      </c>
      <c r="W1462" s="2" t="s">
        <v>38</v>
      </c>
      <c r="X1462" s="2" t="s">
        <v>38</v>
      </c>
      <c r="Y1462" s="2" t="s">
        <v>38</v>
      </c>
      <c r="Z1462" s="2" t="s">
        <v>38</v>
      </c>
      <c r="AA1462" s="2" t="s">
        <v>38</v>
      </c>
      <c r="AB1462" s="2" t="s">
        <v>38</v>
      </c>
      <c r="AC1462" s="2" t="s">
        <v>38</v>
      </c>
      <c r="AD1462" s="2" t="s">
        <v>38</v>
      </c>
      <c r="AE1462" s="2" t="s">
        <v>38</v>
      </c>
    </row>
    <row r="1463" spans="1:31" ht="409.5">
      <c r="A1463" s="2">
        <v>2568360</v>
      </c>
      <c r="B1463" s="2">
        <f>HYPERLINK("https://platform.v2.vetology.net/cases/2568360/screening-report/18?type=pdf&amp;v=v6&amp;scorecard=1&amp;secret_key=BX%25IJ%24%2F65ieZ%29f6", 2568360)</f>
        <v>2568360</v>
      </c>
      <c r="C1463" s="2">
        <f>HYPERLINK("https://platform.v2.vetology.net/report/v/final/"&amp;2568360, 2568360)</f>
        <v>2568360</v>
      </c>
      <c r="D1463" s="2" t="s">
        <v>4170</v>
      </c>
      <c r="E1463" s="2" t="s">
        <v>4171</v>
      </c>
      <c r="F1463" s="2" t="s">
        <v>4172</v>
      </c>
      <c r="G1463" s="2" t="s">
        <v>212</v>
      </c>
      <c r="H1463" s="2" t="s">
        <v>468</v>
      </c>
      <c r="I1463" s="2" t="s">
        <v>245</v>
      </c>
      <c r="J1463" s="2" t="s">
        <v>246</v>
      </c>
      <c r="K1463" s="2" t="s">
        <v>38</v>
      </c>
      <c r="L1463" s="2" t="s">
        <v>39</v>
      </c>
      <c r="M1463" s="2" t="s">
        <v>39</v>
      </c>
      <c r="N1463" s="2" t="s">
        <v>39</v>
      </c>
      <c r="O1463" s="2" t="s">
        <v>38</v>
      </c>
      <c r="P1463" s="2" t="s">
        <v>38</v>
      </c>
      <c r="Q1463" s="2" t="s">
        <v>38</v>
      </c>
      <c r="R1463" s="2" t="s">
        <v>38</v>
      </c>
      <c r="S1463" s="2" t="s">
        <v>38</v>
      </c>
      <c r="T1463" s="2" t="s">
        <v>38</v>
      </c>
      <c r="U1463" s="2" t="s">
        <v>38</v>
      </c>
      <c r="V1463" s="2" t="s">
        <v>38</v>
      </c>
      <c r="W1463" s="2" t="s">
        <v>38</v>
      </c>
      <c r="X1463" s="2" t="s">
        <v>38</v>
      </c>
      <c r="Y1463" s="2" t="s">
        <v>38</v>
      </c>
      <c r="Z1463" s="2" t="s">
        <v>39</v>
      </c>
      <c r="AA1463" s="2" t="s">
        <v>38</v>
      </c>
      <c r="AB1463" s="2" t="s">
        <v>39</v>
      </c>
      <c r="AC1463" s="2" t="s">
        <v>39</v>
      </c>
      <c r="AD1463" s="2" t="s">
        <v>38</v>
      </c>
      <c r="AE1463" s="2" t="s">
        <v>38</v>
      </c>
    </row>
    <row r="1464" spans="1:31" ht="409.5">
      <c r="A1464" s="2">
        <v>2568124</v>
      </c>
      <c r="B1464" s="2">
        <f>HYPERLINK("https://platform.v2.vetology.net/cases/2568124/screening-report/18?type=pdf&amp;v=v6&amp;scorecard=1&amp;secret_key=BX%25IJ%24%2F65ieZ%29f6", 2568124)</f>
        <v>2568124</v>
      </c>
      <c r="C1464" s="2">
        <f>HYPERLINK("https://platform.v2.vetology.net/report/v/final/"&amp;2568124, 2568124)</f>
        <v>2568124</v>
      </c>
      <c r="D1464" s="2" t="s">
        <v>3059</v>
      </c>
      <c r="E1464" s="2" t="s">
        <v>148</v>
      </c>
      <c r="F1464" s="2" t="s">
        <v>149</v>
      </c>
      <c r="G1464" s="2" t="s">
        <v>150</v>
      </c>
      <c r="H1464" s="2" t="s">
        <v>4173</v>
      </c>
      <c r="I1464" s="2" t="s">
        <v>84</v>
      </c>
      <c r="J1464" s="2" t="s">
        <v>85</v>
      </c>
      <c r="K1464" s="2" t="s">
        <v>38</v>
      </c>
      <c r="L1464" s="2" t="s">
        <v>39</v>
      </c>
      <c r="M1464" s="2" t="s">
        <v>39</v>
      </c>
      <c r="N1464" s="2" t="s">
        <v>38</v>
      </c>
      <c r="O1464" s="2" t="s">
        <v>38</v>
      </c>
      <c r="P1464" s="2" t="s">
        <v>38</v>
      </c>
      <c r="Q1464" s="2" t="s">
        <v>38</v>
      </c>
      <c r="R1464" s="2" t="s">
        <v>38</v>
      </c>
      <c r="S1464" s="2" t="s">
        <v>38</v>
      </c>
      <c r="T1464" s="2" t="s">
        <v>38</v>
      </c>
      <c r="U1464" s="2" t="s">
        <v>38</v>
      </c>
      <c r="V1464" s="2" t="s">
        <v>39</v>
      </c>
      <c r="W1464" s="2" t="s">
        <v>38</v>
      </c>
      <c r="X1464" s="2" t="s">
        <v>39</v>
      </c>
      <c r="Y1464" s="2" t="s">
        <v>38</v>
      </c>
      <c r="Z1464" s="2" t="s">
        <v>38</v>
      </c>
      <c r="AA1464" s="2" t="s">
        <v>38</v>
      </c>
      <c r="AB1464" s="2" t="s">
        <v>39</v>
      </c>
      <c r="AC1464" s="2" t="s">
        <v>39</v>
      </c>
      <c r="AD1464" s="2" t="s">
        <v>38</v>
      </c>
      <c r="AE1464" s="2" t="s">
        <v>38</v>
      </c>
    </row>
    <row r="1465" spans="1:31" ht="409.5">
      <c r="A1465" s="2">
        <v>2567879</v>
      </c>
      <c r="B1465" s="2">
        <f>HYPERLINK("https://platform.v2.vetology.net/cases/2567879/screening-report/18?type=pdf&amp;v=v6&amp;scorecard=1&amp;secret_key=BX%25IJ%24%2F65ieZ%29f6", 2567879)</f>
        <v>2567879</v>
      </c>
      <c r="C1465" s="2">
        <f>HYPERLINK("https://platform.v2.vetology.net/report/v/final/"&amp;2567879, 2567879)</f>
        <v>2567879</v>
      </c>
      <c r="D1465" s="2" t="s">
        <v>4174</v>
      </c>
      <c r="E1465" s="2" t="s">
        <v>4175</v>
      </c>
      <c r="F1465" s="2" t="s">
        <v>81</v>
      </c>
      <c r="G1465" s="2" t="s">
        <v>268</v>
      </c>
      <c r="H1465" s="2" t="s">
        <v>129</v>
      </c>
      <c r="I1465" s="2" t="s">
        <v>44</v>
      </c>
      <c r="J1465" s="2"/>
      <c r="K1465" s="2" t="s">
        <v>38</v>
      </c>
      <c r="L1465" s="2" t="s">
        <v>39</v>
      </c>
      <c r="M1465" s="2" t="s">
        <v>39</v>
      </c>
      <c r="N1465" s="2" t="s">
        <v>38</v>
      </c>
      <c r="O1465" s="2" t="s">
        <v>38</v>
      </c>
      <c r="P1465" s="2" t="s">
        <v>38</v>
      </c>
      <c r="Q1465" s="2" t="s">
        <v>38</v>
      </c>
      <c r="R1465" s="2" t="s">
        <v>38</v>
      </c>
      <c r="S1465" s="2" t="s">
        <v>38</v>
      </c>
      <c r="T1465" s="2" t="s">
        <v>38</v>
      </c>
      <c r="U1465" s="2" t="s">
        <v>38</v>
      </c>
      <c r="V1465" s="2" t="s">
        <v>38</v>
      </c>
      <c r="W1465" s="2" t="s">
        <v>38</v>
      </c>
      <c r="X1465" s="2" t="s">
        <v>38</v>
      </c>
      <c r="Y1465" s="2" t="s">
        <v>38</v>
      </c>
      <c r="Z1465" s="2" t="s">
        <v>38</v>
      </c>
      <c r="AA1465" s="2" t="s">
        <v>38</v>
      </c>
      <c r="AB1465" s="2" t="s">
        <v>38</v>
      </c>
      <c r="AC1465" s="2" t="s">
        <v>38</v>
      </c>
      <c r="AD1465" s="2" t="s">
        <v>38</v>
      </c>
      <c r="AE1465" s="2" t="s">
        <v>38</v>
      </c>
    </row>
    <row r="1466" spans="1:31" ht="409.5">
      <c r="A1466" s="2">
        <v>2567843</v>
      </c>
      <c r="B1466" s="2">
        <f>HYPERLINK("https://platform.v2.vetology.net/cases/2567843/screening-report/18?type=pdf&amp;v=v6&amp;scorecard=1&amp;secret_key=BX%25IJ%24%2F65ieZ%29f6", 2567843)</f>
        <v>2567843</v>
      </c>
      <c r="C1466" s="2">
        <f>HYPERLINK("https://platform.v2.vetology.net/report/v/final/"&amp;2567843, 2567843)</f>
        <v>2567843</v>
      </c>
      <c r="D1466" s="2" t="s">
        <v>4176</v>
      </c>
      <c r="E1466" s="2" t="s">
        <v>4177</v>
      </c>
      <c r="F1466" s="2" t="s">
        <v>81</v>
      </c>
      <c r="G1466" s="2" t="s">
        <v>82</v>
      </c>
      <c r="H1466" s="2" t="s">
        <v>4178</v>
      </c>
      <c r="I1466" s="2" t="s">
        <v>137</v>
      </c>
      <c r="J1466" s="2" t="s">
        <v>66</v>
      </c>
      <c r="K1466" s="2" t="s">
        <v>38</v>
      </c>
      <c r="L1466" s="2" t="s">
        <v>39</v>
      </c>
      <c r="M1466" s="2" t="s">
        <v>39</v>
      </c>
      <c r="N1466" s="2" t="s">
        <v>38</v>
      </c>
      <c r="O1466" s="2" t="s">
        <v>38</v>
      </c>
      <c r="P1466" s="2" t="s">
        <v>39</v>
      </c>
      <c r="Q1466" s="2" t="s">
        <v>39</v>
      </c>
      <c r="R1466" s="2" t="s">
        <v>38</v>
      </c>
      <c r="S1466" s="2" t="s">
        <v>38</v>
      </c>
      <c r="T1466" s="2" t="s">
        <v>39</v>
      </c>
      <c r="U1466" s="2" t="s">
        <v>38</v>
      </c>
      <c r="V1466" s="2" t="s">
        <v>39</v>
      </c>
      <c r="W1466" s="2" t="s">
        <v>38</v>
      </c>
      <c r="X1466" s="2" t="s">
        <v>39</v>
      </c>
      <c r="Y1466" s="2" t="s">
        <v>38</v>
      </c>
      <c r="Z1466" s="2" t="s">
        <v>38</v>
      </c>
      <c r="AA1466" s="2" t="s">
        <v>38</v>
      </c>
      <c r="AB1466" s="2" t="s">
        <v>39</v>
      </c>
      <c r="AC1466" s="2" t="s">
        <v>39</v>
      </c>
      <c r="AD1466" s="2" t="s">
        <v>38</v>
      </c>
      <c r="AE1466" s="2" t="s">
        <v>39</v>
      </c>
    </row>
    <row r="1467" spans="1:31" ht="409.5">
      <c r="A1467" s="2">
        <v>2567815</v>
      </c>
      <c r="B1467" s="2">
        <f>HYPERLINK("https://platform.v2.vetology.net/cases/2567815/screening-report/18?type=pdf&amp;v=v6&amp;scorecard=1&amp;secret_key=BX%25IJ%24%2F65ieZ%29f6", 2567815)</f>
        <v>2567815</v>
      </c>
      <c r="C1467" s="2">
        <f>HYPERLINK("https://platform.v2.vetology.net/report/v/final/"&amp;2567815, 2567815)</f>
        <v>2567815</v>
      </c>
      <c r="D1467" s="2" t="s">
        <v>4179</v>
      </c>
      <c r="E1467" s="2" t="s">
        <v>4180</v>
      </c>
      <c r="F1467" s="2" t="s">
        <v>4181</v>
      </c>
      <c r="G1467" s="2" t="s">
        <v>58</v>
      </c>
      <c r="H1467" s="2" t="s">
        <v>4182</v>
      </c>
      <c r="I1467" s="2" t="s">
        <v>321</v>
      </c>
      <c r="J1467" s="2" t="s">
        <v>66</v>
      </c>
      <c r="K1467" s="2" t="s">
        <v>38</v>
      </c>
      <c r="L1467" s="2" t="s">
        <v>39</v>
      </c>
      <c r="M1467" s="2" t="s">
        <v>39</v>
      </c>
      <c r="N1467" s="2" t="s">
        <v>39</v>
      </c>
      <c r="O1467" s="2" t="s">
        <v>38</v>
      </c>
      <c r="P1467" s="2" t="s">
        <v>39</v>
      </c>
      <c r="Q1467" s="2" t="s">
        <v>39</v>
      </c>
      <c r="R1467" s="2" t="s">
        <v>38</v>
      </c>
      <c r="S1467" s="2" t="s">
        <v>39</v>
      </c>
      <c r="T1467" s="2" t="s">
        <v>38</v>
      </c>
      <c r="U1467" s="2" t="s">
        <v>39</v>
      </c>
      <c r="V1467" s="2" t="s">
        <v>38</v>
      </c>
      <c r="W1467" s="2" t="s">
        <v>38</v>
      </c>
      <c r="X1467" s="2" t="s">
        <v>38</v>
      </c>
      <c r="Y1467" s="2" t="s">
        <v>38</v>
      </c>
      <c r="Z1467" s="2" t="s">
        <v>38</v>
      </c>
      <c r="AA1467" s="2" t="s">
        <v>38</v>
      </c>
      <c r="AB1467" s="2" t="s">
        <v>38</v>
      </c>
      <c r="AC1467" s="2" t="s">
        <v>39</v>
      </c>
      <c r="AD1467" s="2" t="s">
        <v>38</v>
      </c>
      <c r="AE1467" s="2" t="s">
        <v>38</v>
      </c>
    </row>
    <row r="1468" spans="1:31" ht="409.5">
      <c r="A1468" s="2">
        <v>2567710</v>
      </c>
      <c r="B1468" s="2">
        <f>HYPERLINK("https://platform.v2.vetology.net/cases/2567710/screening-report/18?type=pdf&amp;v=v6&amp;scorecard=1&amp;secret_key=BX%25IJ%24%2F65ieZ%29f6", 2567710)</f>
        <v>2567710</v>
      </c>
      <c r="C1468" s="2">
        <f>HYPERLINK("https://platform.v2.vetology.net/report/v/final/"&amp;2567710, 2567710)</f>
        <v>2567710</v>
      </c>
      <c r="D1468" s="2" t="s">
        <v>4183</v>
      </c>
      <c r="E1468" s="2" t="s">
        <v>4184</v>
      </c>
      <c r="F1468" s="2" t="s">
        <v>81</v>
      </c>
      <c r="G1468" s="2" t="s">
        <v>82</v>
      </c>
      <c r="H1468" s="2" t="s">
        <v>71</v>
      </c>
      <c r="I1468" s="2" t="s">
        <v>44</v>
      </c>
      <c r="J1468" s="2"/>
      <c r="K1468" s="2" t="s">
        <v>38</v>
      </c>
      <c r="L1468" s="2" t="s">
        <v>38</v>
      </c>
      <c r="M1468" s="2" t="s">
        <v>39</v>
      </c>
      <c r="N1468" s="2" t="s">
        <v>38</v>
      </c>
      <c r="O1468" s="2" t="s">
        <v>38</v>
      </c>
      <c r="P1468" s="2" t="s">
        <v>38</v>
      </c>
      <c r="Q1468" s="2" t="s">
        <v>38</v>
      </c>
      <c r="R1468" s="2" t="s">
        <v>38</v>
      </c>
      <c r="S1468" s="2" t="s">
        <v>38</v>
      </c>
      <c r="T1468" s="2" t="s">
        <v>38</v>
      </c>
      <c r="U1468" s="2" t="s">
        <v>38</v>
      </c>
      <c r="V1468" s="2" t="s">
        <v>38</v>
      </c>
      <c r="W1468" s="2" t="s">
        <v>38</v>
      </c>
      <c r="X1468" s="2" t="s">
        <v>38</v>
      </c>
      <c r="Y1468" s="2" t="s">
        <v>38</v>
      </c>
      <c r="Z1468" s="2" t="s">
        <v>38</v>
      </c>
      <c r="AA1468" s="2" t="s">
        <v>38</v>
      </c>
      <c r="AB1468" s="2" t="s">
        <v>38</v>
      </c>
      <c r="AC1468" s="2" t="s">
        <v>38</v>
      </c>
      <c r="AD1468" s="2" t="s">
        <v>38</v>
      </c>
      <c r="AE1468" s="2" t="s">
        <v>38</v>
      </c>
    </row>
    <row r="1469" spans="1:31" ht="409.5">
      <c r="A1469" s="2">
        <v>2567635</v>
      </c>
      <c r="B1469" s="2">
        <f>HYPERLINK("https://platform.v2.vetology.net/cases/2567635/screening-report/18?type=pdf&amp;v=v6&amp;scorecard=1&amp;secret_key=BX%25IJ%24%2F65ieZ%29f6", 2567635)</f>
        <v>2567635</v>
      </c>
      <c r="C1469" s="2">
        <f>HYPERLINK("https://platform.v2.vetology.net/report/v/final/"&amp;2567635, 2567635)</f>
        <v>2567635</v>
      </c>
      <c r="D1469" s="2" t="s">
        <v>4185</v>
      </c>
      <c r="E1469" s="2" t="s">
        <v>4186</v>
      </c>
      <c r="F1469" s="2" t="s">
        <v>2529</v>
      </c>
      <c r="G1469" s="2" t="s">
        <v>70</v>
      </c>
      <c r="H1469" s="2" t="s">
        <v>78</v>
      </c>
      <c r="I1469" s="2" t="s">
        <v>44</v>
      </c>
      <c r="J1469" s="2" t="s">
        <v>106</v>
      </c>
      <c r="K1469" s="2" t="s">
        <v>38</v>
      </c>
      <c r="L1469" s="2" t="s">
        <v>38</v>
      </c>
      <c r="M1469" s="2" t="s">
        <v>38</v>
      </c>
      <c r="N1469" s="2" t="s">
        <v>38</v>
      </c>
      <c r="O1469" s="2" t="s">
        <v>38</v>
      </c>
      <c r="P1469" s="2" t="s">
        <v>38</v>
      </c>
      <c r="Q1469" s="2" t="s">
        <v>38</v>
      </c>
      <c r="R1469" s="2" t="s">
        <v>38</v>
      </c>
      <c r="S1469" s="2" t="s">
        <v>38</v>
      </c>
      <c r="T1469" s="2" t="s">
        <v>38</v>
      </c>
      <c r="U1469" s="2" t="s">
        <v>38</v>
      </c>
      <c r="V1469" s="2" t="s">
        <v>38</v>
      </c>
      <c r="W1469" s="2" t="s">
        <v>38</v>
      </c>
      <c r="X1469" s="2" t="s">
        <v>38</v>
      </c>
      <c r="Y1469" s="2" t="s">
        <v>38</v>
      </c>
      <c r="Z1469" s="2" t="s">
        <v>38</v>
      </c>
      <c r="AA1469" s="2" t="s">
        <v>38</v>
      </c>
      <c r="AB1469" s="2" t="s">
        <v>38</v>
      </c>
      <c r="AC1469" s="2" t="s">
        <v>38</v>
      </c>
      <c r="AD1469" s="2" t="s">
        <v>38</v>
      </c>
      <c r="AE1469" s="2" t="s">
        <v>38</v>
      </c>
    </row>
    <row r="1470" spans="1:31" ht="409.5">
      <c r="A1470" s="2">
        <v>2567547</v>
      </c>
      <c r="B1470" s="2">
        <f>HYPERLINK("https://platform.v2.vetology.net/cases/2567547/screening-report/18?type=pdf&amp;v=v6&amp;scorecard=1&amp;secret_key=BX%25IJ%24%2F65ieZ%29f6", 2567547)</f>
        <v>2567547</v>
      </c>
      <c r="C1470" s="2">
        <f>HYPERLINK("https://platform.v2.vetology.net/report/v/final/"&amp;2567547, 2567547)</f>
        <v>2567547</v>
      </c>
      <c r="D1470" s="2" t="s">
        <v>4187</v>
      </c>
      <c r="E1470" s="2" t="s">
        <v>4188</v>
      </c>
      <c r="F1470" s="2" t="s">
        <v>4189</v>
      </c>
      <c r="G1470" s="2" t="s">
        <v>63</v>
      </c>
      <c r="H1470" s="2" t="s">
        <v>54</v>
      </c>
      <c r="I1470" s="2" t="s">
        <v>44</v>
      </c>
      <c r="J1470" s="2"/>
      <c r="K1470" s="2" t="s">
        <v>38</v>
      </c>
      <c r="L1470" s="2" t="s">
        <v>39</v>
      </c>
      <c r="M1470" s="2" t="s">
        <v>38</v>
      </c>
      <c r="N1470" s="2" t="s">
        <v>38</v>
      </c>
      <c r="O1470" s="2" t="s">
        <v>38</v>
      </c>
      <c r="P1470" s="2" t="s">
        <v>38</v>
      </c>
      <c r="Q1470" s="2" t="s">
        <v>38</v>
      </c>
      <c r="R1470" s="2" t="s">
        <v>38</v>
      </c>
      <c r="S1470" s="2" t="s">
        <v>38</v>
      </c>
      <c r="T1470" s="2" t="s">
        <v>39</v>
      </c>
      <c r="U1470" s="2" t="s">
        <v>39</v>
      </c>
      <c r="V1470" s="2" t="s">
        <v>39</v>
      </c>
      <c r="W1470" s="2" t="s">
        <v>38</v>
      </c>
      <c r="X1470" s="2" t="s">
        <v>38</v>
      </c>
      <c r="Y1470" s="2" t="s">
        <v>38</v>
      </c>
      <c r="Z1470" s="2" t="s">
        <v>38</v>
      </c>
      <c r="AA1470" s="2" t="s">
        <v>38</v>
      </c>
      <c r="AB1470" s="2" t="s">
        <v>39</v>
      </c>
      <c r="AC1470" s="2" t="s">
        <v>38</v>
      </c>
      <c r="AD1470" s="2" t="s">
        <v>38</v>
      </c>
      <c r="AE1470" s="2" t="s">
        <v>38</v>
      </c>
    </row>
    <row r="1471" spans="1:31" ht="409.5">
      <c r="A1471" s="2">
        <v>2567533</v>
      </c>
      <c r="B1471" s="2">
        <f>HYPERLINK("https://platform.v2.vetology.net/cases/2567533/screening-report/18?type=pdf&amp;v=v6&amp;scorecard=1&amp;secret_key=BX%25IJ%24%2F65ieZ%29f6", 2567533)</f>
        <v>2567533</v>
      </c>
      <c r="C1471" s="2">
        <f>HYPERLINK("https://platform.v2.vetology.net/report/v/final/"&amp;2567533, 2567533)</f>
        <v>2567533</v>
      </c>
      <c r="D1471" s="2" t="s">
        <v>4190</v>
      </c>
      <c r="E1471" s="2" t="s">
        <v>4191</v>
      </c>
      <c r="F1471" s="2" t="s">
        <v>4192</v>
      </c>
      <c r="G1471" s="2" t="s">
        <v>58</v>
      </c>
      <c r="H1471" s="2" t="s">
        <v>356</v>
      </c>
      <c r="I1471" s="2" t="s">
        <v>214</v>
      </c>
      <c r="J1471" s="2" t="s">
        <v>50</v>
      </c>
      <c r="K1471" s="2" t="s">
        <v>38</v>
      </c>
      <c r="L1471" s="2" t="s">
        <v>39</v>
      </c>
      <c r="M1471" s="2" t="s">
        <v>39</v>
      </c>
      <c r="N1471" s="2" t="s">
        <v>38</v>
      </c>
      <c r="O1471" s="2" t="s">
        <v>38</v>
      </c>
      <c r="P1471" s="2" t="s">
        <v>38</v>
      </c>
      <c r="Q1471" s="2" t="s">
        <v>38</v>
      </c>
      <c r="R1471" s="2" t="s">
        <v>38</v>
      </c>
      <c r="S1471" s="2" t="s">
        <v>38</v>
      </c>
      <c r="T1471" s="2" t="s">
        <v>38</v>
      </c>
      <c r="U1471" s="2" t="s">
        <v>38</v>
      </c>
      <c r="V1471" s="2" t="s">
        <v>38</v>
      </c>
      <c r="W1471" s="2" t="s">
        <v>38</v>
      </c>
      <c r="X1471" s="2" t="s">
        <v>38</v>
      </c>
      <c r="Y1471" s="2" t="s">
        <v>38</v>
      </c>
      <c r="Z1471" s="2" t="s">
        <v>38</v>
      </c>
      <c r="AA1471" s="2" t="s">
        <v>38</v>
      </c>
      <c r="AB1471" s="2" t="s">
        <v>39</v>
      </c>
      <c r="AC1471" s="2" t="s">
        <v>39</v>
      </c>
      <c r="AD1471" s="2" t="s">
        <v>38</v>
      </c>
      <c r="AE1471" s="2" t="s">
        <v>38</v>
      </c>
    </row>
    <row r="1472" spans="1:31" ht="409.5">
      <c r="A1472" s="2">
        <v>2567425</v>
      </c>
      <c r="B1472" s="2">
        <f>HYPERLINK("https://platform.v2.vetology.net/cases/2567425/screening-report/18?type=pdf&amp;v=v6&amp;scorecard=1&amp;secret_key=BX%25IJ%24%2F65ieZ%29f6", 2567425)</f>
        <v>2567425</v>
      </c>
      <c r="C1472" s="2">
        <f>HYPERLINK("https://platform.v2.vetology.net/report/v/final/"&amp;2567425, 2567425)</f>
        <v>2567425</v>
      </c>
      <c r="D1472" s="2" t="s">
        <v>4193</v>
      </c>
      <c r="E1472" s="2" t="s">
        <v>4194</v>
      </c>
      <c r="F1472" s="2" t="s">
        <v>4195</v>
      </c>
      <c r="G1472" s="2" t="s">
        <v>464</v>
      </c>
      <c r="H1472" s="2" t="s">
        <v>78</v>
      </c>
      <c r="I1472" s="2" t="s">
        <v>44</v>
      </c>
      <c r="J1472" s="2" t="s">
        <v>106</v>
      </c>
      <c r="K1472" s="2" t="s">
        <v>38</v>
      </c>
      <c r="L1472" s="2" t="s">
        <v>39</v>
      </c>
      <c r="M1472" s="2" t="s">
        <v>39</v>
      </c>
      <c r="N1472" s="2" t="s">
        <v>38</v>
      </c>
      <c r="O1472" s="2" t="s">
        <v>38</v>
      </c>
      <c r="P1472" s="2" t="s">
        <v>39</v>
      </c>
      <c r="Q1472" s="2" t="s">
        <v>38</v>
      </c>
      <c r="R1472" s="2" t="s">
        <v>38</v>
      </c>
      <c r="S1472" s="2" t="s">
        <v>38</v>
      </c>
      <c r="T1472" s="2" t="s">
        <v>39</v>
      </c>
      <c r="U1472" s="2" t="s">
        <v>38</v>
      </c>
      <c r="V1472" s="2" t="s">
        <v>38</v>
      </c>
      <c r="W1472" s="2" t="s">
        <v>38</v>
      </c>
      <c r="X1472" s="2" t="s">
        <v>39</v>
      </c>
      <c r="Y1472" s="2" t="s">
        <v>38</v>
      </c>
      <c r="Z1472" s="2" t="s">
        <v>38</v>
      </c>
      <c r="AA1472" s="2" t="s">
        <v>38</v>
      </c>
      <c r="AB1472" s="2" t="s">
        <v>39</v>
      </c>
      <c r="AC1472" s="2" t="s">
        <v>39</v>
      </c>
      <c r="AD1472" s="2" t="s">
        <v>38</v>
      </c>
      <c r="AE1472" s="2" t="s">
        <v>38</v>
      </c>
    </row>
    <row r="1473" spans="1:31" ht="409.5">
      <c r="A1473" s="2">
        <v>2567059</v>
      </c>
      <c r="B1473" s="2">
        <f>HYPERLINK("https://platform.v2.vetology.net/cases/2567059/screening-report/18?type=pdf&amp;v=v6&amp;scorecard=1&amp;secret_key=BX%25IJ%24%2F65ieZ%29f6", 2567059)</f>
        <v>2567059</v>
      </c>
      <c r="C1473" s="2">
        <f>HYPERLINK("https://platform.v2.vetology.net/report/v/final/"&amp;2567059, 2567059)</f>
        <v>2567059</v>
      </c>
      <c r="D1473" s="2" t="s">
        <v>4196</v>
      </c>
      <c r="E1473" s="2" t="s">
        <v>4197</v>
      </c>
      <c r="F1473" s="2" t="s">
        <v>4198</v>
      </c>
      <c r="G1473" s="2" t="s">
        <v>58</v>
      </c>
      <c r="H1473" s="2" t="s">
        <v>4199</v>
      </c>
      <c r="I1473" s="2" t="s">
        <v>321</v>
      </c>
      <c r="J1473" s="2" t="s">
        <v>66</v>
      </c>
      <c r="K1473" s="2" t="s">
        <v>38</v>
      </c>
      <c r="L1473" s="2" t="s">
        <v>38</v>
      </c>
      <c r="M1473" s="2" t="s">
        <v>39</v>
      </c>
      <c r="N1473" s="2" t="s">
        <v>38</v>
      </c>
      <c r="O1473" s="2" t="s">
        <v>39</v>
      </c>
      <c r="P1473" s="2" t="s">
        <v>38</v>
      </c>
      <c r="Q1473" s="2" t="s">
        <v>38</v>
      </c>
      <c r="R1473" s="2" t="s">
        <v>38</v>
      </c>
      <c r="S1473" s="2" t="s">
        <v>38</v>
      </c>
      <c r="T1473" s="2" t="s">
        <v>39</v>
      </c>
      <c r="U1473" s="2" t="s">
        <v>38</v>
      </c>
      <c r="V1473" s="2" t="s">
        <v>39</v>
      </c>
      <c r="W1473" s="2" t="s">
        <v>38</v>
      </c>
      <c r="X1473" s="2" t="s">
        <v>39</v>
      </c>
      <c r="Y1473" s="2" t="s">
        <v>38</v>
      </c>
      <c r="Z1473" s="2" t="s">
        <v>38</v>
      </c>
      <c r="AA1473" s="2" t="s">
        <v>38</v>
      </c>
      <c r="AB1473" s="2" t="s">
        <v>38</v>
      </c>
      <c r="AC1473" s="2" t="s">
        <v>38</v>
      </c>
      <c r="AD1473" s="2" t="s">
        <v>38</v>
      </c>
      <c r="AE1473" s="2" t="s">
        <v>38</v>
      </c>
    </row>
    <row r="1474" spans="1:31" ht="409.5">
      <c r="A1474" s="2">
        <v>2567046</v>
      </c>
      <c r="B1474" s="2">
        <f>HYPERLINK("https://platform.v2.vetology.net/cases/2567046/screening-report/18?type=pdf&amp;v=v6&amp;scorecard=1&amp;secret_key=BX%25IJ%24%2F65ieZ%29f6", 2567046)</f>
        <v>2567046</v>
      </c>
      <c r="C1474" s="2">
        <f>HYPERLINK("https://platform.v2.vetology.net/report/v/final/"&amp;2567046, 2567046)</f>
        <v>2567046</v>
      </c>
      <c r="D1474" s="2" t="s">
        <v>4200</v>
      </c>
      <c r="E1474" s="2" t="s">
        <v>4201</v>
      </c>
      <c r="F1474" s="2" t="s">
        <v>81</v>
      </c>
      <c r="G1474" s="2" t="s">
        <v>150</v>
      </c>
      <c r="H1474" s="2" t="s">
        <v>468</v>
      </c>
      <c r="I1474" s="2" t="s">
        <v>245</v>
      </c>
      <c r="J1474" s="2" t="s">
        <v>246</v>
      </c>
      <c r="K1474" s="2" t="s">
        <v>38</v>
      </c>
      <c r="L1474" s="2" t="s">
        <v>38</v>
      </c>
      <c r="M1474" s="2" t="s">
        <v>39</v>
      </c>
      <c r="N1474" s="2" t="s">
        <v>38</v>
      </c>
      <c r="O1474" s="2" t="s">
        <v>39</v>
      </c>
      <c r="P1474" s="2" t="s">
        <v>39</v>
      </c>
      <c r="Q1474" s="2" t="s">
        <v>38</v>
      </c>
      <c r="R1474" s="2" t="s">
        <v>38</v>
      </c>
      <c r="S1474" s="2" t="s">
        <v>39</v>
      </c>
      <c r="T1474" s="2" t="s">
        <v>39</v>
      </c>
      <c r="U1474" s="2" t="s">
        <v>38</v>
      </c>
      <c r="V1474" s="2" t="s">
        <v>39</v>
      </c>
      <c r="W1474" s="2" t="s">
        <v>38</v>
      </c>
      <c r="X1474" s="2" t="s">
        <v>39</v>
      </c>
      <c r="Y1474" s="2" t="s">
        <v>38</v>
      </c>
      <c r="Z1474" s="2" t="s">
        <v>38</v>
      </c>
      <c r="AA1474" s="2" t="s">
        <v>38</v>
      </c>
      <c r="AB1474" s="2" t="s">
        <v>38</v>
      </c>
      <c r="AC1474" s="2" t="s">
        <v>38</v>
      </c>
      <c r="AD1474" s="2" t="s">
        <v>38</v>
      </c>
      <c r="AE1474" s="2" t="s">
        <v>38</v>
      </c>
    </row>
    <row r="1475" spans="1:31" ht="409.5">
      <c r="A1475" s="2">
        <v>2566808</v>
      </c>
      <c r="B1475" s="2">
        <f>HYPERLINK("https://platform.v2.vetology.net/cases/2566808/screening-report/18?type=pdf&amp;v=v6&amp;scorecard=1&amp;secret_key=BX%25IJ%24%2F65ieZ%29f6", 2566808)</f>
        <v>2566808</v>
      </c>
      <c r="C1475" s="2">
        <f>HYPERLINK("https://platform.v2.vetology.net/report/v/final/"&amp;2566808, 2566808)</f>
        <v>2566808</v>
      </c>
      <c r="D1475" s="2" t="s">
        <v>4202</v>
      </c>
      <c r="E1475" s="2" t="s">
        <v>4203</v>
      </c>
      <c r="F1475" s="2" t="s">
        <v>81</v>
      </c>
      <c r="G1475" s="2" t="s">
        <v>82</v>
      </c>
      <c r="H1475" s="2" t="s">
        <v>790</v>
      </c>
      <c r="I1475" s="2" t="s">
        <v>145</v>
      </c>
      <c r="J1475" s="2" t="s">
        <v>146</v>
      </c>
      <c r="K1475" s="2" t="s">
        <v>38</v>
      </c>
      <c r="L1475" s="2" t="s">
        <v>39</v>
      </c>
      <c r="M1475" s="2" t="s">
        <v>38</v>
      </c>
      <c r="N1475" s="2" t="s">
        <v>38</v>
      </c>
      <c r="O1475" s="2" t="s">
        <v>38</v>
      </c>
      <c r="P1475" s="2" t="s">
        <v>38</v>
      </c>
      <c r="Q1475" s="2" t="s">
        <v>38</v>
      </c>
      <c r="R1475" s="2" t="s">
        <v>38</v>
      </c>
      <c r="S1475" s="2" t="s">
        <v>38</v>
      </c>
      <c r="T1475" s="2" t="s">
        <v>39</v>
      </c>
      <c r="U1475" s="2" t="s">
        <v>39</v>
      </c>
      <c r="V1475" s="2" t="s">
        <v>38</v>
      </c>
      <c r="W1475" s="2" t="s">
        <v>38</v>
      </c>
      <c r="X1475" s="2" t="s">
        <v>38</v>
      </c>
      <c r="Y1475" s="2" t="s">
        <v>38</v>
      </c>
      <c r="Z1475" s="2" t="s">
        <v>38</v>
      </c>
      <c r="AA1475" s="2" t="s">
        <v>38</v>
      </c>
      <c r="AB1475" s="2" t="s">
        <v>39</v>
      </c>
      <c r="AC1475" s="2" t="s">
        <v>38</v>
      </c>
      <c r="AD1475" s="2" t="s">
        <v>38</v>
      </c>
      <c r="AE1475" s="2" t="s">
        <v>38</v>
      </c>
    </row>
    <row r="1476" spans="1:31" ht="409.5">
      <c r="A1476" s="2">
        <v>2566577</v>
      </c>
      <c r="B1476" s="2">
        <f>HYPERLINK("https://platform.v2.vetology.net/cases/2566577/screening-report/18?type=pdf&amp;v=v6&amp;scorecard=1&amp;secret_key=BX%25IJ%24%2F65ieZ%29f6", 2566577)</f>
        <v>2566577</v>
      </c>
      <c r="C1476" s="2">
        <f>HYPERLINK("https://platform.v2.vetology.net/report/v/final/"&amp;2566577, 2566577)</f>
        <v>2566577</v>
      </c>
      <c r="D1476" s="2" t="s">
        <v>4204</v>
      </c>
      <c r="E1476" s="2" t="s">
        <v>4205</v>
      </c>
      <c r="F1476" s="2" t="s">
        <v>1629</v>
      </c>
      <c r="G1476" s="2" t="s">
        <v>63</v>
      </c>
      <c r="H1476" s="2" t="s">
        <v>978</v>
      </c>
      <c r="I1476" s="2" t="s">
        <v>284</v>
      </c>
      <c r="J1476" s="2" t="s">
        <v>285</v>
      </c>
      <c r="K1476" s="2" t="s">
        <v>38</v>
      </c>
      <c r="L1476" s="2" t="s">
        <v>38</v>
      </c>
      <c r="M1476" s="2" t="s">
        <v>38</v>
      </c>
      <c r="N1476" s="2" t="s">
        <v>38</v>
      </c>
      <c r="O1476" s="2" t="s">
        <v>38</v>
      </c>
      <c r="P1476" s="2" t="s">
        <v>38</v>
      </c>
      <c r="Q1476" s="2" t="s">
        <v>38</v>
      </c>
      <c r="R1476" s="2" t="s">
        <v>38</v>
      </c>
      <c r="S1476" s="2" t="s">
        <v>38</v>
      </c>
      <c r="T1476" s="2" t="s">
        <v>38</v>
      </c>
      <c r="U1476" s="2" t="s">
        <v>38</v>
      </c>
      <c r="V1476" s="2" t="s">
        <v>38</v>
      </c>
      <c r="W1476" s="2" t="s">
        <v>38</v>
      </c>
      <c r="X1476" s="2" t="s">
        <v>38</v>
      </c>
      <c r="Y1476" s="2" t="s">
        <v>38</v>
      </c>
      <c r="Z1476" s="2" t="s">
        <v>38</v>
      </c>
      <c r="AA1476" s="2" t="s">
        <v>38</v>
      </c>
      <c r="AB1476" s="2" t="s">
        <v>38</v>
      </c>
      <c r="AC1476" s="2" t="s">
        <v>38</v>
      </c>
      <c r="AD1476" s="2" t="s">
        <v>38</v>
      </c>
      <c r="AE1476" s="2" t="s">
        <v>38</v>
      </c>
    </row>
    <row r="1477" spans="1:31" ht="409.5">
      <c r="A1477" s="2">
        <v>2565851</v>
      </c>
      <c r="B1477" s="2">
        <f>HYPERLINK("https://platform.v2.vetology.net/cases/2565851/screening-report/18?type=pdf&amp;v=v6&amp;scorecard=1&amp;secret_key=BX%25IJ%24%2F65ieZ%29f6", 2565851)</f>
        <v>2565851</v>
      </c>
      <c r="C1477" s="2">
        <f>HYPERLINK("https://platform.v2.vetology.net/report/v/final/"&amp;2565851, 2565851)</f>
        <v>2565851</v>
      </c>
      <c r="D1477" s="2" t="s">
        <v>4206</v>
      </c>
      <c r="E1477" s="2" t="s">
        <v>4207</v>
      </c>
      <c r="F1477" s="2" t="s">
        <v>81</v>
      </c>
      <c r="G1477" s="2" t="s">
        <v>82</v>
      </c>
      <c r="H1477" s="2" t="s">
        <v>4208</v>
      </c>
      <c r="I1477" s="2" t="s">
        <v>382</v>
      </c>
      <c r="J1477" s="2" t="s">
        <v>710</v>
      </c>
      <c r="K1477" s="2" t="s">
        <v>38</v>
      </c>
      <c r="L1477" s="2" t="s">
        <v>39</v>
      </c>
      <c r="M1477" s="2" t="s">
        <v>38</v>
      </c>
      <c r="N1477" s="2" t="s">
        <v>38</v>
      </c>
      <c r="O1477" s="2" t="s">
        <v>38</v>
      </c>
      <c r="P1477" s="2" t="s">
        <v>38</v>
      </c>
      <c r="Q1477" s="2" t="s">
        <v>38</v>
      </c>
      <c r="R1477" s="2" t="s">
        <v>38</v>
      </c>
      <c r="S1477" s="2" t="s">
        <v>38</v>
      </c>
      <c r="T1477" s="2" t="s">
        <v>39</v>
      </c>
      <c r="U1477" s="2" t="s">
        <v>38</v>
      </c>
      <c r="V1477" s="2" t="s">
        <v>39</v>
      </c>
      <c r="W1477" s="2" t="s">
        <v>38</v>
      </c>
      <c r="X1477" s="2" t="s">
        <v>39</v>
      </c>
      <c r="Y1477" s="2" t="s">
        <v>38</v>
      </c>
      <c r="Z1477" s="2" t="s">
        <v>38</v>
      </c>
      <c r="AA1477" s="2" t="s">
        <v>38</v>
      </c>
      <c r="AB1477" s="2" t="s">
        <v>38</v>
      </c>
      <c r="AC1477" s="2" t="s">
        <v>38</v>
      </c>
      <c r="AD1477" s="2" t="s">
        <v>38</v>
      </c>
      <c r="AE1477" s="2" t="s">
        <v>38</v>
      </c>
    </row>
    <row r="1478" spans="1:31" ht="409.5">
      <c r="A1478" s="2">
        <v>2565315</v>
      </c>
      <c r="B1478" s="2">
        <f>HYPERLINK("https://platform.v2.vetology.net/cases/2565315/screening-report/18?type=pdf&amp;v=v6&amp;scorecard=1&amp;secret_key=BX%25IJ%24%2F65ieZ%29f6", 2565315)</f>
        <v>2565315</v>
      </c>
      <c r="C1478" s="2">
        <f>HYPERLINK("https://platform.v2.vetology.net/report/v/final/"&amp;2565315, 2565315)</f>
        <v>2565315</v>
      </c>
      <c r="D1478" s="2" t="s">
        <v>4209</v>
      </c>
      <c r="E1478" s="2" t="s">
        <v>4210</v>
      </c>
      <c r="F1478" s="2" t="s">
        <v>81</v>
      </c>
      <c r="G1478" s="2" t="s">
        <v>268</v>
      </c>
      <c r="H1478" s="2" t="s">
        <v>54</v>
      </c>
      <c r="I1478" s="2" t="s">
        <v>44</v>
      </c>
      <c r="J1478" s="2"/>
      <c r="K1478" s="2" t="s">
        <v>38</v>
      </c>
      <c r="L1478" s="2" t="s">
        <v>39</v>
      </c>
      <c r="M1478" s="2" t="s">
        <v>39</v>
      </c>
      <c r="N1478" s="2" t="s">
        <v>38</v>
      </c>
      <c r="O1478" s="2" t="s">
        <v>38</v>
      </c>
      <c r="P1478" s="2" t="s">
        <v>38</v>
      </c>
      <c r="Q1478" s="2" t="s">
        <v>38</v>
      </c>
      <c r="R1478" s="2" t="s">
        <v>38</v>
      </c>
      <c r="S1478" s="2" t="s">
        <v>38</v>
      </c>
      <c r="T1478" s="2" t="s">
        <v>38</v>
      </c>
      <c r="U1478" s="2" t="s">
        <v>38</v>
      </c>
      <c r="V1478" s="2" t="s">
        <v>38</v>
      </c>
      <c r="W1478" s="2" t="s">
        <v>38</v>
      </c>
      <c r="X1478" s="2" t="s">
        <v>38</v>
      </c>
      <c r="Y1478" s="2" t="s">
        <v>38</v>
      </c>
      <c r="Z1478" s="2" t="s">
        <v>38</v>
      </c>
      <c r="AA1478" s="2" t="s">
        <v>38</v>
      </c>
      <c r="AB1478" s="2" t="s">
        <v>39</v>
      </c>
      <c r="AC1478" s="2" t="s">
        <v>39</v>
      </c>
      <c r="AD1478" s="2" t="s">
        <v>38</v>
      </c>
      <c r="AE1478" s="2" t="s">
        <v>38</v>
      </c>
    </row>
    <row r="1479" spans="1:31" ht="409.5">
      <c r="A1479" s="2">
        <v>2565290</v>
      </c>
      <c r="B1479" s="2">
        <f>HYPERLINK("https://platform.v2.vetology.net/cases/2565290/screening-report/18?type=pdf&amp;v=v6&amp;scorecard=1&amp;secret_key=BX%25IJ%24%2F65ieZ%29f6", 2565290)</f>
        <v>2565290</v>
      </c>
      <c r="C1479" s="2">
        <f>HYPERLINK("https://platform.v2.vetology.net/report/v/final/"&amp;2565290, 2565290)</f>
        <v>2565290</v>
      </c>
      <c r="D1479" s="2" t="s">
        <v>4211</v>
      </c>
      <c r="E1479" s="2" t="s">
        <v>3903</v>
      </c>
      <c r="F1479" s="2"/>
      <c r="G1479" s="2" t="s">
        <v>150</v>
      </c>
      <c r="H1479" s="2" t="s">
        <v>78</v>
      </c>
      <c r="I1479" s="2" t="s">
        <v>44</v>
      </c>
      <c r="J1479" s="2"/>
      <c r="K1479" s="2" t="s">
        <v>38</v>
      </c>
      <c r="L1479" s="2" t="s">
        <v>39</v>
      </c>
      <c r="M1479" s="2" t="s">
        <v>38</v>
      </c>
      <c r="N1479" s="2" t="s">
        <v>38</v>
      </c>
      <c r="O1479" s="2" t="s">
        <v>38</v>
      </c>
      <c r="P1479" s="2" t="s">
        <v>38</v>
      </c>
      <c r="Q1479" s="2" t="s">
        <v>38</v>
      </c>
      <c r="R1479" s="2" t="s">
        <v>38</v>
      </c>
      <c r="S1479" s="2" t="s">
        <v>38</v>
      </c>
      <c r="T1479" s="2" t="s">
        <v>38</v>
      </c>
      <c r="U1479" s="2" t="s">
        <v>38</v>
      </c>
      <c r="V1479" s="2" t="s">
        <v>38</v>
      </c>
      <c r="W1479" s="2" t="s">
        <v>38</v>
      </c>
      <c r="X1479" s="2" t="s">
        <v>38</v>
      </c>
      <c r="Y1479" s="2" t="s">
        <v>38</v>
      </c>
      <c r="Z1479" s="2" t="s">
        <v>38</v>
      </c>
      <c r="AA1479" s="2" t="s">
        <v>38</v>
      </c>
      <c r="AB1479" s="2" t="s">
        <v>38</v>
      </c>
      <c r="AC1479" s="2" t="s">
        <v>38</v>
      </c>
      <c r="AD1479" s="2" t="s">
        <v>38</v>
      </c>
      <c r="AE1479" s="2" t="s">
        <v>38</v>
      </c>
    </row>
    <row r="1480" spans="1:31" ht="409.5">
      <c r="A1480" s="2">
        <v>2565044</v>
      </c>
      <c r="B1480" s="2">
        <f>HYPERLINK("https://platform.v2.vetology.net/cases/2565044/screening-report/18?type=pdf&amp;v=v6&amp;scorecard=1&amp;secret_key=BX%25IJ%24%2F65ieZ%29f6", 2565044)</f>
        <v>2565044</v>
      </c>
      <c r="C1480" s="2">
        <f>HYPERLINK("https://platform.v2.vetology.net/report/v/final/"&amp;2565044, 2565044)</f>
        <v>2565044</v>
      </c>
      <c r="D1480" s="2" t="s">
        <v>4212</v>
      </c>
      <c r="E1480" s="2" t="s">
        <v>4213</v>
      </c>
      <c r="F1480" s="2" t="s">
        <v>81</v>
      </c>
      <c r="G1480" s="2" t="s">
        <v>268</v>
      </c>
      <c r="H1480" s="2" t="s">
        <v>4214</v>
      </c>
      <c r="I1480" s="2" t="s">
        <v>460</v>
      </c>
      <c r="J1480" s="2" t="s">
        <v>66</v>
      </c>
      <c r="K1480" s="2" t="s">
        <v>38</v>
      </c>
      <c r="L1480" s="2" t="s">
        <v>38</v>
      </c>
      <c r="M1480" s="2" t="s">
        <v>39</v>
      </c>
      <c r="N1480" s="2" t="s">
        <v>38</v>
      </c>
      <c r="O1480" s="2" t="s">
        <v>38</v>
      </c>
      <c r="P1480" s="2" t="s">
        <v>38</v>
      </c>
      <c r="Q1480" s="2" t="s">
        <v>38</v>
      </c>
      <c r="R1480" s="2" t="s">
        <v>38</v>
      </c>
      <c r="S1480" s="2" t="s">
        <v>39</v>
      </c>
      <c r="T1480" s="2" t="s">
        <v>38</v>
      </c>
      <c r="U1480" s="2" t="s">
        <v>39</v>
      </c>
      <c r="V1480" s="2" t="s">
        <v>38</v>
      </c>
      <c r="W1480" s="2" t="s">
        <v>38</v>
      </c>
      <c r="X1480" s="2" t="s">
        <v>39</v>
      </c>
      <c r="Y1480" s="2" t="s">
        <v>38</v>
      </c>
      <c r="Z1480" s="2" t="s">
        <v>39</v>
      </c>
      <c r="AA1480" s="2" t="s">
        <v>38</v>
      </c>
      <c r="AB1480" s="2" t="s">
        <v>39</v>
      </c>
      <c r="AC1480" s="2" t="s">
        <v>38</v>
      </c>
      <c r="AD1480" s="2" t="s">
        <v>38</v>
      </c>
      <c r="AE1480" s="2" t="s">
        <v>38</v>
      </c>
    </row>
    <row r="1481" spans="1:31" ht="409.5">
      <c r="A1481" s="2">
        <v>2564740</v>
      </c>
      <c r="B1481" s="2">
        <f>HYPERLINK("https://platform.v2.vetology.net/cases/2564740/screening-report/18?type=pdf&amp;v=v6&amp;scorecard=1&amp;secret_key=BX%25IJ%24%2F65ieZ%29f6", 2564740)</f>
        <v>2564740</v>
      </c>
      <c r="C1481" s="2">
        <f>HYPERLINK("https://platform.v2.vetology.net/report/v/final/"&amp;2564740, 2564740)</f>
        <v>2564740</v>
      </c>
      <c r="D1481" s="2" t="s">
        <v>4215</v>
      </c>
      <c r="E1481" s="2" t="s">
        <v>4216</v>
      </c>
      <c r="F1481" s="2" t="s">
        <v>1444</v>
      </c>
      <c r="G1481" s="2" t="s">
        <v>464</v>
      </c>
      <c r="H1481" s="2" t="s">
        <v>78</v>
      </c>
      <c r="I1481" s="2" t="s">
        <v>199</v>
      </c>
      <c r="J1481" s="2"/>
      <c r="K1481" s="2" t="s">
        <v>38</v>
      </c>
      <c r="L1481" s="2" t="s">
        <v>39</v>
      </c>
      <c r="M1481" s="2" t="s">
        <v>39</v>
      </c>
      <c r="N1481" s="2" t="s">
        <v>38</v>
      </c>
      <c r="O1481" s="2" t="s">
        <v>38</v>
      </c>
      <c r="P1481" s="2" t="s">
        <v>38</v>
      </c>
      <c r="Q1481" s="2" t="s">
        <v>38</v>
      </c>
      <c r="R1481" s="2" t="s">
        <v>38</v>
      </c>
      <c r="S1481" s="2" t="s">
        <v>38</v>
      </c>
      <c r="T1481" s="2" t="s">
        <v>39</v>
      </c>
      <c r="U1481" s="2" t="s">
        <v>38</v>
      </c>
      <c r="V1481" s="2" t="s">
        <v>39</v>
      </c>
      <c r="W1481" s="2" t="s">
        <v>38</v>
      </c>
      <c r="X1481" s="2" t="s">
        <v>39</v>
      </c>
      <c r="Y1481" s="2" t="s">
        <v>38</v>
      </c>
      <c r="Z1481" s="2" t="s">
        <v>39</v>
      </c>
      <c r="AA1481" s="2" t="s">
        <v>38</v>
      </c>
      <c r="AB1481" s="2" t="s">
        <v>39</v>
      </c>
      <c r="AC1481" s="2" t="s">
        <v>39</v>
      </c>
      <c r="AD1481" s="2" t="s">
        <v>38</v>
      </c>
      <c r="AE1481" s="2" t="s">
        <v>38</v>
      </c>
    </row>
    <row r="1482" spans="1:31" ht="409.5">
      <c r="A1482" s="2">
        <v>2564634</v>
      </c>
      <c r="B1482" s="2">
        <f>HYPERLINK("https://platform.v2.vetology.net/cases/2564634/screening-report/18?type=pdf&amp;v=v6&amp;scorecard=1&amp;secret_key=BX%25IJ%24%2F65ieZ%29f6", 2564634)</f>
        <v>2564634</v>
      </c>
      <c r="C1482" s="2">
        <f>HYPERLINK("https://platform.v2.vetology.net/report/v/final/"&amp;2564634, 2564634)</f>
        <v>2564634</v>
      </c>
      <c r="D1482" s="2" t="s">
        <v>4217</v>
      </c>
      <c r="E1482" s="2" t="s">
        <v>546</v>
      </c>
      <c r="F1482" s="2" t="s">
        <v>4218</v>
      </c>
      <c r="G1482" s="2" t="s">
        <v>58</v>
      </c>
      <c r="H1482" s="2" t="s">
        <v>442</v>
      </c>
      <c r="I1482" s="2" t="s">
        <v>36</v>
      </c>
      <c r="J1482" s="2" t="s">
        <v>37</v>
      </c>
      <c r="K1482" s="2" t="s">
        <v>38</v>
      </c>
      <c r="L1482" s="2" t="s">
        <v>38</v>
      </c>
      <c r="M1482" s="2" t="s">
        <v>38</v>
      </c>
      <c r="N1482" s="2" t="s">
        <v>38</v>
      </c>
      <c r="O1482" s="2" t="s">
        <v>38</v>
      </c>
      <c r="P1482" s="2" t="s">
        <v>38</v>
      </c>
      <c r="Q1482" s="2" t="s">
        <v>38</v>
      </c>
      <c r="R1482" s="2" t="s">
        <v>38</v>
      </c>
      <c r="S1482" s="2" t="s">
        <v>38</v>
      </c>
      <c r="T1482" s="2" t="s">
        <v>39</v>
      </c>
      <c r="U1482" s="2" t="s">
        <v>39</v>
      </c>
      <c r="V1482" s="2" t="s">
        <v>39</v>
      </c>
      <c r="W1482" s="2" t="s">
        <v>38</v>
      </c>
      <c r="X1482" s="2" t="s">
        <v>39</v>
      </c>
      <c r="Y1482" s="2" t="s">
        <v>38</v>
      </c>
      <c r="Z1482" s="2" t="s">
        <v>38</v>
      </c>
      <c r="AA1482" s="2" t="s">
        <v>38</v>
      </c>
      <c r="AB1482" s="2" t="s">
        <v>38</v>
      </c>
      <c r="AC1482" s="2" t="s">
        <v>38</v>
      </c>
      <c r="AD1482" s="2" t="s">
        <v>38</v>
      </c>
      <c r="AE1482" s="2" t="s">
        <v>38</v>
      </c>
    </row>
    <row r="1483" spans="1:31" ht="409.5">
      <c r="A1483" s="2">
        <v>2564588</v>
      </c>
      <c r="B1483" s="2">
        <f>HYPERLINK("https://platform.v2.vetology.net/cases/2564588/screening-report/18?type=pdf&amp;v=v6&amp;scorecard=1&amp;secret_key=BX%25IJ%24%2F65ieZ%29f6", 2564588)</f>
        <v>2564588</v>
      </c>
      <c r="C1483" s="2">
        <f>HYPERLINK("https://platform.v2.vetology.net/report/v/final/"&amp;2564588, 2564588)</f>
        <v>2564588</v>
      </c>
      <c r="D1483" s="2" t="s">
        <v>4219</v>
      </c>
      <c r="E1483" s="2" t="s">
        <v>4220</v>
      </c>
      <c r="F1483" s="2" t="s">
        <v>4221</v>
      </c>
      <c r="G1483" s="2" t="s">
        <v>58</v>
      </c>
      <c r="H1483" s="2" t="s">
        <v>78</v>
      </c>
      <c r="I1483" s="2" t="s">
        <v>44</v>
      </c>
      <c r="J1483" s="2"/>
      <c r="K1483" s="2" t="s">
        <v>38</v>
      </c>
      <c r="L1483" s="2" t="s">
        <v>38</v>
      </c>
      <c r="M1483" s="2" t="s">
        <v>38</v>
      </c>
      <c r="N1483" s="2" t="s">
        <v>38</v>
      </c>
      <c r="O1483" s="2" t="s">
        <v>38</v>
      </c>
      <c r="P1483" s="2" t="s">
        <v>38</v>
      </c>
      <c r="Q1483" s="2" t="s">
        <v>38</v>
      </c>
      <c r="R1483" s="2" t="s">
        <v>38</v>
      </c>
      <c r="S1483" s="2" t="s">
        <v>38</v>
      </c>
      <c r="T1483" s="2" t="s">
        <v>39</v>
      </c>
      <c r="U1483" s="2" t="s">
        <v>38</v>
      </c>
      <c r="V1483" s="2" t="s">
        <v>38</v>
      </c>
      <c r="W1483" s="2" t="s">
        <v>38</v>
      </c>
      <c r="X1483" s="2" t="s">
        <v>39</v>
      </c>
      <c r="Y1483" s="2" t="s">
        <v>38</v>
      </c>
      <c r="Z1483" s="2" t="s">
        <v>38</v>
      </c>
      <c r="AA1483" s="2" t="s">
        <v>38</v>
      </c>
      <c r="AB1483" s="2" t="s">
        <v>38</v>
      </c>
      <c r="AC1483" s="2" t="s">
        <v>38</v>
      </c>
      <c r="AD1483" s="2" t="s">
        <v>38</v>
      </c>
      <c r="AE1483" s="2" t="s">
        <v>38</v>
      </c>
    </row>
    <row r="1484" spans="1:31" ht="409.5">
      <c r="A1484" s="2">
        <v>2564277</v>
      </c>
      <c r="B1484" s="2">
        <f>HYPERLINK("https://platform.v2.vetology.net/cases/2564277/screening-report/18?type=pdf&amp;v=v6&amp;scorecard=1&amp;secret_key=BX%25IJ%24%2F65ieZ%29f6", 2564277)</f>
        <v>2564277</v>
      </c>
      <c r="C1484" s="2">
        <f>HYPERLINK("https://platform.v2.vetology.net/report/v/final/"&amp;2564277, 2564277)</f>
        <v>2564277</v>
      </c>
      <c r="D1484" s="2" t="s">
        <v>4222</v>
      </c>
      <c r="E1484" s="2" t="s">
        <v>4223</v>
      </c>
      <c r="F1484" s="2" t="s">
        <v>4224</v>
      </c>
      <c r="G1484" s="2" t="s">
        <v>212</v>
      </c>
      <c r="H1484" s="2" t="s">
        <v>4225</v>
      </c>
      <c r="I1484" s="2" t="s">
        <v>184</v>
      </c>
      <c r="J1484" s="2" t="s">
        <v>185</v>
      </c>
      <c r="K1484" s="2" t="s">
        <v>38</v>
      </c>
      <c r="L1484" s="2" t="s">
        <v>38</v>
      </c>
      <c r="M1484" s="2" t="s">
        <v>38</v>
      </c>
      <c r="N1484" s="2" t="s">
        <v>39</v>
      </c>
      <c r="O1484" s="2" t="s">
        <v>38</v>
      </c>
      <c r="P1484" s="2" t="s">
        <v>38</v>
      </c>
      <c r="Q1484" s="2" t="s">
        <v>38</v>
      </c>
      <c r="R1484" s="2" t="s">
        <v>38</v>
      </c>
      <c r="S1484" s="2" t="s">
        <v>38</v>
      </c>
      <c r="T1484" s="2" t="s">
        <v>38</v>
      </c>
      <c r="U1484" s="2" t="s">
        <v>38</v>
      </c>
      <c r="V1484" s="2" t="s">
        <v>38</v>
      </c>
      <c r="W1484" s="2" t="s">
        <v>38</v>
      </c>
      <c r="X1484" s="2" t="s">
        <v>38</v>
      </c>
      <c r="Y1484" s="2" t="s">
        <v>38</v>
      </c>
      <c r="Z1484" s="2" t="s">
        <v>38</v>
      </c>
      <c r="AA1484" s="2" t="s">
        <v>38</v>
      </c>
      <c r="AB1484" s="2" t="s">
        <v>38</v>
      </c>
      <c r="AC1484" s="2" t="s">
        <v>39</v>
      </c>
      <c r="AD1484" s="2" t="s">
        <v>38</v>
      </c>
      <c r="AE1484" s="2" t="s">
        <v>39</v>
      </c>
    </row>
    <row r="1485" spans="1:31" ht="409.5">
      <c r="A1485" s="2">
        <v>2563999</v>
      </c>
      <c r="B1485" s="2">
        <f>HYPERLINK("https://platform.v2.vetology.net/cases/2563999/screening-report/18?type=pdf&amp;v=v6&amp;scorecard=1&amp;secret_key=BX%25IJ%24%2F65ieZ%29f6", 2563999)</f>
        <v>2563999</v>
      </c>
      <c r="C1485" s="2">
        <f>HYPERLINK("https://platform.v2.vetology.net/report/v/final/"&amp;2563999, 2563999)</f>
        <v>2563999</v>
      </c>
      <c r="D1485" s="2" t="s">
        <v>4226</v>
      </c>
      <c r="E1485" s="2" t="s">
        <v>4227</v>
      </c>
      <c r="F1485" s="2" t="s">
        <v>4228</v>
      </c>
      <c r="G1485" s="2" t="s">
        <v>58</v>
      </c>
      <c r="H1485" s="2" t="s">
        <v>2431</v>
      </c>
      <c r="I1485" s="2" t="s">
        <v>89</v>
      </c>
      <c r="J1485" s="2" t="s">
        <v>66</v>
      </c>
      <c r="K1485" s="2" t="s">
        <v>38</v>
      </c>
      <c r="L1485" s="2" t="s">
        <v>39</v>
      </c>
      <c r="M1485" s="2" t="s">
        <v>39</v>
      </c>
      <c r="N1485" s="2" t="s">
        <v>38</v>
      </c>
      <c r="O1485" s="2" t="s">
        <v>38</v>
      </c>
      <c r="P1485" s="2" t="s">
        <v>38</v>
      </c>
      <c r="Q1485" s="2" t="s">
        <v>39</v>
      </c>
      <c r="R1485" s="2" t="s">
        <v>38</v>
      </c>
      <c r="S1485" s="2" t="s">
        <v>38</v>
      </c>
      <c r="T1485" s="2" t="s">
        <v>38</v>
      </c>
      <c r="U1485" s="2" t="s">
        <v>38</v>
      </c>
      <c r="V1485" s="2" t="s">
        <v>38</v>
      </c>
      <c r="W1485" s="2" t="s">
        <v>38</v>
      </c>
      <c r="X1485" s="2" t="s">
        <v>38</v>
      </c>
      <c r="Y1485" s="2" t="s">
        <v>38</v>
      </c>
      <c r="Z1485" s="2" t="s">
        <v>38</v>
      </c>
      <c r="AA1485" s="2" t="s">
        <v>38</v>
      </c>
      <c r="AB1485" s="2" t="s">
        <v>39</v>
      </c>
      <c r="AC1485" s="2" t="s">
        <v>38</v>
      </c>
      <c r="AD1485" s="2" t="s">
        <v>38</v>
      </c>
      <c r="AE1485" s="2" t="s">
        <v>39</v>
      </c>
    </row>
    <row r="1486" spans="1:31" ht="409.5">
      <c r="A1486" s="2">
        <v>2563671</v>
      </c>
      <c r="B1486" s="2">
        <f>HYPERLINK("https://platform.v2.vetology.net/cases/2563671/screening-report/18?type=pdf&amp;v=v6&amp;scorecard=1&amp;secret_key=BX%25IJ%24%2F65ieZ%29f6", 2563671)</f>
        <v>2563671</v>
      </c>
      <c r="C1486" s="2">
        <f>HYPERLINK("https://platform.v2.vetology.net/report/v/final/"&amp;2563671, 2563671)</f>
        <v>2563671</v>
      </c>
      <c r="D1486" s="2" t="s">
        <v>4229</v>
      </c>
      <c r="E1486" s="2" t="s">
        <v>4230</v>
      </c>
      <c r="F1486" s="2" t="s">
        <v>4231</v>
      </c>
      <c r="G1486" s="2" t="s">
        <v>575</v>
      </c>
      <c r="H1486" s="2" t="s">
        <v>78</v>
      </c>
      <c r="I1486" s="2" t="s">
        <v>44</v>
      </c>
      <c r="J1486" s="2" t="s">
        <v>106</v>
      </c>
      <c r="K1486" s="2" t="s">
        <v>38</v>
      </c>
      <c r="L1486" s="2" t="s">
        <v>38</v>
      </c>
      <c r="M1486" s="2" t="s">
        <v>39</v>
      </c>
      <c r="N1486" s="2" t="s">
        <v>38</v>
      </c>
      <c r="O1486" s="2" t="s">
        <v>38</v>
      </c>
      <c r="P1486" s="2" t="s">
        <v>38</v>
      </c>
      <c r="Q1486" s="2" t="s">
        <v>38</v>
      </c>
      <c r="R1486" s="2" t="s">
        <v>38</v>
      </c>
      <c r="S1486" s="2" t="s">
        <v>38</v>
      </c>
      <c r="T1486" s="2" t="s">
        <v>39</v>
      </c>
      <c r="U1486" s="2" t="s">
        <v>38</v>
      </c>
      <c r="V1486" s="2" t="s">
        <v>39</v>
      </c>
      <c r="W1486" s="2" t="s">
        <v>38</v>
      </c>
      <c r="X1486" s="2" t="s">
        <v>39</v>
      </c>
      <c r="Y1486" s="2" t="s">
        <v>38</v>
      </c>
      <c r="Z1486" s="2" t="s">
        <v>39</v>
      </c>
      <c r="AA1486" s="2" t="s">
        <v>38</v>
      </c>
      <c r="AB1486" s="2" t="s">
        <v>38</v>
      </c>
      <c r="AC1486" s="2" t="s">
        <v>39</v>
      </c>
      <c r="AD1486" s="2" t="s">
        <v>38</v>
      </c>
      <c r="AE1486" s="2" t="s">
        <v>38</v>
      </c>
    </row>
    <row r="1487" spans="1:31" ht="409.5">
      <c r="A1487" s="2">
        <v>2563583</v>
      </c>
      <c r="B1487" s="2">
        <f>HYPERLINK("https://platform.v2.vetology.net/cases/2563583/screening-report/18?type=pdf&amp;v=v6&amp;scorecard=1&amp;secret_key=BX%25IJ%24%2F65ieZ%29f6", 2563583)</f>
        <v>2563583</v>
      </c>
      <c r="C1487" s="2">
        <f>HYPERLINK("https://platform.v2.vetology.net/report/v/final/"&amp;2563583, 2563583)</f>
        <v>2563583</v>
      </c>
      <c r="D1487" s="2" t="s">
        <v>4232</v>
      </c>
      <c r="E1487" s="2" t="s">
        <v>4233</v>
      </c>
      <c r="F1487" s="2" t="s">
        <v>81</v>
      </c>
      <c r="G1487" s="2" t="s">
        <v>82</v>
      </c>
      <c r="H1487" s="2" t="s">
        <v>129</v>
      </c>
      <c r="I1487" s="2" t="s">
        <v>44</v>
      </c>
      <c r="J1487" s="2" t="s">
        <v>106</v>
      </c>
      <c r="K1487" s="2" t="s">
        <v>38</v>
      </c>
      <c r="L1487" s="2" t="s">
        <v>38</v>
      </c>
      <c r="M1487" s="2" t="s">
        <v>38</v>
      </c>
      <c r="N1487" s="2" t="s">
        <v>38</v>
      </c>
      <c r="O1487" s="2" t="s">
        <v>38</v>
      </c>
      <c r="P1487" s="2" t="s">
        <v>38</v>
      </c>
      <c r="Q1487" s="2" t="s">
        <v>38</v>
      </c>
      <c r="R1487" s="2" t="s">
        <v>38</v>
      </c>
      <c r="S1487" s="2" t="s">
        <v>38</v>
      </c>
      <c r="T1487" s="2" t="s">
        <v>38</v>
      </c>
      <c r="U1487" s="2" t="s">
        <v>38</v>
      </c>
      <c r="V1487" s="2" t="s">
        <v>38</v>
      </c>
      <c r="W1487" s="2" t="s">
        <v>38</v>
      </c>
      <c r="X1487" s="2" t="s">
        <v>38</v>
      </c>
      <c r="Y1487" s="2" t="s">
        <v>38</v>
      </c>
      <c r="Z1487" s="2" t="s">
        <v>38</v>
      </c>
      <c r="AA1487" s="2" t="s">
        <v>38</v>
      </c>
      <c r="AB1487" s="2" t="s">
        <v>38</v>
      </c>
      <c r="AC1487" s="2" t="s">
        <v>38</v>
      </c>
      <c r="AD1487" s="2" t="s">
        <v>38</v>
      </c>
      <c r="AE1487" s="2" t="s">
        <v>38</v>
      </c>
    </row>
    <row r="1488" spans="1:31" ht="409.5">
      <c r="A1488" s="2">
        <v>2563214</v>
      </c>
      <c r="B1488" s="2">
        <f>HYPERLINK("https://platform.v2.vetology.net/cases/2563214/screening-report/18?type=pdf&amp;v=v6&amp;scorecard=1&amp;secret_key=BX%25IJ%24%2F65ieZ%29f6", 2563214)</f>
        <v>2563214</v>
      </c>
      <c r="C1488" s="2">
        <f>HYPERLINK("https://platform.v2.vetology.net/report/v/final/"&amp;2563214, 2563214)</f>
        <v>2563214</v>
      </c>
      <c r="D1488" s="2" t="s">
        <v>4234</v>
      </c>
      <c r="E1488" s="2" t="s">
        <v>4235</v>
      </c>
      <c r="F1488" s="2" t="s">
        <v>81</v>
      </c>
      <c r="G1488" s="2" t="s">
        <v>268</v>
      </c>
      <c r="H1488" s="2" t="s">
        <v>468</v>
      </c>
      <c r="I1488" s="2" t="s">
        <v>245</v>
      </c>
      <c r="J1488" s="2" t="s">
        <v>246</v>
      </c>
      <c r="K1488" s="2" t="s">
        <v>38</v>
      </c>
      <c r="L1488" s="2" t="s">
        <v>39</v>
      </c>
      <c r="M1488" s="2" t="s">
        <v>39</v>
      </c>
      <c r="N1488" s="2" t="s">
        <v>38</v>
      </c>
      <c r="O1488" s="2" t="s">
        <v>38</v>
      </c>
      <c r="P1488" s="2" t="s">
        <v>39</v>
      </c>
      <c r="Q1488" s="2" t="s">
        <v>38</v>
      </c>
      <c r="R1488" s="2" t="s">
        <v>38</v>
      </c>
      <c r="S1488" s="2" t="s">
        <v>38</v>
      </c>
      <c r="T1488" s="2" t="s">
        <v>39</v>
      </c>
      <c r="U1488" s="2" t="s">
        <v>38</v>
      </c>
      <c r="V1488" s="2" t="s">
        <v>39</v>
      </c>
      <c r="W1488" s="2" t="s">
        <v>38</v>
      </c>
      <c r="X1488" s="2" t="s">
        <v>39</v>
      </c>
      <c r="Y1488" s="2" t="s">
        <v>38</v>
      </c>
      <c r="Z1488" s="2" t="s">
        <v>38</v>
      </c>
      <c r="AA1488" s="2" t="s">
        <v>38</v>
      </c>
      <c r="AB1488" s="2" t="s">
        <v>39</v>
      </c>
      <c r="AC1488" s="2" t="s">
        <v>39</v>
      </c>
      <c r="AD1488" s="2" t="s">
        <v>38</v>
      </c>
      <c r="AE1488" s="2" t="s">
        <v>39</v>
      </c>
    </row>
    <row r="1489" spans="1:31" ht="409.5">
      <c r="A1489" s="2">
        <v>2563005</v>
      </c>
      <c r="B1489" s="2">
        <f>HYPERLINK("https://platform.v2.vetology.net/cases/2563005/screening-report/18?type=pdf&amp;v=v6&amp;scorecard=1&amp;secret_key=BX%25IJ%24%2F65ieZ%29f6", 2563005)</f>
        <v>2563005</v>
      </c>
      <c r="C1489" s="2">
        <f>HYPERLINK("https://platform.v2.vetology.net/report/v/final/"&amp;2563005, 2563005)</f>
        <v>2563005</v>
      </c>
      <c r="D1489" s="2" t="s">
        <v>4236</v>
      </c>
      <c r="E1489" s="2" t="s">
        <v>4237</v>
      </c>
      <c r="F1489" s="2" t="s">
        <v>1369</v>
      </c>
      <c r="G1489" s="2" t="s">
        <v>58</v>
      </c>
      <c r="H1489" s="2" t="s">
        <v>3930</v>
      </c>
      <c r="I1489" s="2" t="s">
        <v>89</v>
      </c>
      <c r="J1489" s="2" t="s">
        <v>66</v>
      </c>
      <c r="K1489" s="2" t="s">
        <v>38</v>
      </c>
      <c r="L1489" s="2" t="s">
        <v>39</v>
      </c>
      <c r="M1489" s="2" t="s">
        <v>38</v>
      </c>
      <c r="N1489" s="2" t="s">
        <v>38</v>
      </c>
      <c r="O1489" s="2" t="s">
        <v>38</v>
      </c>
      <c r="P1489" s="2" t="s">
        <v>38</v>
      </c>
      <c r="Q1489" s="2" t="s">
        <v>38</v>
      </c>
      <c r="R1489" s="2" t="s">
        <v>38</v>
      </c>
      <c r="S1489" s="2" t="s">
        <v>38</v>
      </c>
      <c r="T1489" s="2" t="s">
        <v>38</v>
      </c>
      <c r="U1489" s="2" t="s">
        <v>38</v>
      </c>
      <c r="V1489" s="2" t="s">
        <v>38</v>
      </c>
      <c r="W1489" s="2" t="s">
        <v>38</v>
      </c>
      <c r="X1489" s="2" t="s">
        <v>38</v>
      </c>
      <c r="Y1489" s="2" t="s">
        <v>38</v>
      </c>
      <c r="Z1489" s="2" t="s">
        <v>38</v>
      </c>
      <c r="AA1489" s="2" t="s">
        <v>38</v>
      </c>
      <c r="AB1489" s="2" t="s">
        <v>38</v>
      </c>
      <c r="AC1489" s="2" t="s">
        <v>38</v>
      </c>
      <c r="AD1489" s="2" t="s">
        <v>38</v>
      </c>
      <c r="AE1489" s="2" t="s">
        <v>39</v>
      </c>
    </row>
    <row r="1490" spans="1:31" ht="409.5">
      <c r="A1490" s="2">
        <v>2562751</v>
      </c>
      <c r="B1490" s="2">
        <f>HYPERLINK("https://platform.v2.vetology.net/cases/2562751/screening-report/18?type=pdf&amp;v=v6&amp;scorecard=1&amp;secret_key=BX%25IJ%24%2F65ieZ%29f6", 2562751)</f>
        <v>2562751</v>
      </c>
      <c r="C1490" s="2">
        <f>HYPERLINK("https://platform.v2.vetology.net/report/v/final/"&amp;2562751, 2562751)</f>
        <v>2562751</v>
      </c>
      <c r="D1490" s="2" t="s">
        <v>4238</v>
      </c>
      <c r="E1490" s="2" t="s">
        <v>4239</v>
      </c>
      <c r="F1490" s="2" t="s">
        <v>149</v>
      </c>
      <c r="G1490" s="2" t="s">
        <v>150</v>
      </c>
      <c r="H1490" s="2" t="s">
        <v>2146</v>
      </c>
      <c r="I1490" s="2" t="s">
        <v>2147</v>
      </c>
      <c r="J1490" s="2" t="s">
        <v>313</v>
      </c>
      <c r="K1490" s="2" t="s">
        <v>38</v>
      </c>
      <c r="L1490" s="2" t="s">
        <v>39</v>
      </c>
      <c r="M1490" s="2" t="s">
        <v>39</v>
      </c>
      <c r="N1490" s="2" t="s">
        <v>39</v>
      </c>
      <c r="O1490" s="2" t="s">
        <v>39</v>
      </c>
      <c r="P1490" s="2" t="s">
        <v>39</v>
      </c>
      <c r="Q1490" s="2" t="s">
        <v>38</v>
      </c>
      <c r="R1490" s="2" t="s">
        <v>38</v>
      </c>
      <c r="S1490" s="2" t="s">
        <v>39</v>
      </c>
      <c r="T1490" s="2" t="s">
        <v>39</v>
      </c>
      <c r="U1490" s="2" t="s">
        <v>39</v>
      </c>
      <c r="V1490" s="2" t="s">
        <v>39</v>
      </c>
      <c r="W1490" s="2" t="s">
        <v>38</v>
      </c>
      <c r="X1490" s="2" t="s">
        <v>39</v>
      </c>
      <c r="Y1490" s="2" t="s">
        <v>38</v>
      </c>
      <c r="Z1490" s="2" t="s">
        <v>39</v>
      </c>
      <c r="AA1490" s="2" t="s">
        <v>38</v>
      </c>
      <c r="AB1490" s="2" t="s">
        <v>39</v>
      </c>
      <c r="AC1490" s="2" t="s">
        <v>38</v>
      </c>
      <c r="AD1490" s="2" t="s">
        <v>38</v>
      </c>
      <c r="AE1490" s="2" t="s">
        <v>38</v>
      </c>
    </row>
    <row r="1491" spans="1:31" ht="409.5">
      <c r="A1491" s="2">
        <v>2562533</v>
      </c>
      <c r="B1491" s="2">
        <f>HYPERLINK("https://platform.v2.vetology.net/cases/2562533/screening-report/18?type=pdf&amp;v=v6&amp;scorecard=1&amp;secret_key=BX%25IJ%24%2F65ieZ%29f6", 2562533)</f>
        <v>2562533</v>
      </c>
      <c r="C1491" s="2">
        <f>HYPERLINK("https://platform.v2.vetology.net/report/v/final/"&amp;2562533, 2562533)</f>
        <v>2562533</v>
      </c>
      <c r="D1491" s="2" t="s">
        <v>4240</v>
      </c>
      <c r="E1491" s="2" t="s">
        <v>4241</v>
      </c>
      <c r="F1491" s="2" t="s">
        <v>81</v>
      </c>
      <c r="G1491" s="2" t="s">
        <v>268</v>
      </c>
      <c r="H1491" s="2" t="s">
        <v>54</v>
      </c>
      <c r="I1491" s="2" t="s">
        <v>44</v>
      </c>
      <c r="J1491" s="2"/>
      <c r="K1491" s="2" t="s">
        <v>38</v>
      </c>
      <c r="L1491" s="2" t="s">
        <v>38</v>
      </c>
      <c r="M1491" s="2" t="s">
        <v>38</v>
      </c>
      <c r="N1491" s="2" t="s">
        <v>38</v>
      </c>
      <c r="O1491" s="2" t="s">
        <v>38</v>
      </c>
      <c r="P1491" s="2" t="s">
        <v>38</v>
      </c>
      <c r="Q1491" s="2" t="s">
        <v>38</v>
      </c>
      <c r="R1491" s="2" t="s">
        <v>38</v>
      </c>
      <c r="S1491" s="2" t="s">
        <v>38</v>
      </c>
      <c r="T1491" s="2" t="s">
        <v>38</v>
      </c>
      <c r="U1491" s="2" t="s">
        <v>38</v>
      </c>
      <c r="V1491" s="2" t="s">
        <v>38</v>
      </c>
      <c r="W1491" s="2" t="s">
        <v>38</v>
      </c>
      <c r="X1491" s="2" t="s">
        <v>38</v>
      </c>
      <c r="Y1491" s="2" t="s">
        <v>38</v>
      </c>
      <c r="Z1491" s="2" t="s">
        <v>38</v>
      </c>
      <c r="AA1491" s="2" t="s">
        <v>38</v>
      </c>
      <c r="AB1491" s="2" t="s">
        <v>38</v>
      </c>
      <c r="AC1491" s="2" t="s">
        <v>38</v>
      </c>
      <c r="AD1491" s="2" t="s">
        <v>38</v>
      </c>
      <c r="AE1491" s="2" t="s">
        <v>38</v>
      </c>
    </row>
    <row r="1492" spans="1:31" ht="409.5">
      <c r="A1492" s="2">
        <v>2562459</v>
      </c>
      <c r="B1492" s="2">
        <f>HYPERLINK("https://platform.v2.vetology.net/cases/2562459/screening-report/18?type=pdf&amp;v=v6&amp;scorecard=1&amp;secret_key=BX%25IJ%24%2F65ieZ%29f6", 2562459)</f>
        <v>2562459</v>
      </c>
      <c r="C1492" s="2">
        <f>HYPERLINK("https://platform.v2.vetology.net/report/v/final/"&amp;2562459, 2562459)</f>
        <v>2562459</v>
      </c>
      <c r="D1492" s="2" t="s">
        <v>4242</v>
      </c>
      <c r="E1492" s="2" t="s">
        <v>4243</v>
      </c>
      <c r="F1492" s="2" t="s">
        <v>81</v>
      </c>
      <c r="G1492" s="2" t="s">
        <v>268</v>
      </c>
      <c r="H1492" s="2" t="s">
        <v>1180</v>
      </c>
      <c r="I1492" s="2" t="s">
        <v>158</v>
      </c>
      <c r="J1492" s="2" t="s">
        <v>50</v>
      </c>
      <c r="K1492" s="2" t="s">
        <v>38</v>
      </c>
      <c r="L1492" s="2" t="s">
        <v>39</v>
      </c>
      <c r="M1492" s="2" t="s">
        <v>39</v>
      </c>
      <c r="N1492" s="2" t="s">
        <v>38</v>
      </c>
      <c r="O1492" s="2" t="s">
        <v>38</v>
      </c>
      <c r="P1492" s="2" t="s">
        <v>39</v>
      </c>
      <c r="Q1492" s="2" t="s">
        <v>38</v>
      </c>
      <c r="R1492" s="2" t="s">
        <v>38</v>
      </c>
      <c r="S1492" s="2" t="s">
        <v>38</v>
      </c>
      <c r="T1492" s="2" t="s">
        <v>38</v>
      </c>
      <c r="U1492" s="2" t="s">
        <v>38</v>
      </c>
      <c r="V1492" s="2" t="s">
        <v>38</v>
      </c>
      <c r="W1492" s="2" t="s">
        <v>38</v>
      </c>
      <c r="X1492" s="2" t="s">
        <v>38</v>
      </c>
      <c r="Y1492" s="2" t="s">
        <v>38</v>
      </c>
      <c r="Z1492" s="2" t="s">
        <v>38</v>
      </c>
      <c r="AA1492" s="2" t="s">
        <v>38</v>
      </c>
      <c r="AB1492" s="2" t="s">
        <v>39</v>
      </c>
      <c r="AC1492" s="2" t="s">
        <v>39</v>
      </c>
      <c r="AD1492" s="2" t="s">
        <v>38</v>
      </c>
      <c r="AE1492" s="2" t="s">
        <v>38</v>
      </c>
    </row>
    <row r="1493" spans="1:31" ht="409.5">
      <c r="A1493" s="2">
        <v>2562374</v>
      </c>
      <c r="B1493" s="2">
        <f>HYPERLINK("https://platform.v2.vetology.net/cases/2562374/screening-report/18?type=pdf&amp;v=v6&amp;scorecard=1&amp;secret_key=BX%25IJ%24%2F65ieZ%29f6", 2562374)</f>
        <v>2562374</v>
      </c>
      <c r="C1493" s="2">
        <f>HYPERLINK("https://platform.v2.vetology.net/report/v/final/"&amp;2562374, 2562374)</f>
        <v>2562374</v>
      </c>
      <c r="D1493" s="2" t="s">
        <v>4244</v>
      </c>
      <c r="E1493" s="2" t="s">
        <v>4245</v>
      </c>
      <c r="F1493" s="2" t="s">
        <v>81</v>
      </c>
      <c r="G1493" s="2" t="s">
        <v>268</v>
      </c>
      <c r="H1493" s="2" t="s">
        <v>105</v>
      </c>
      <c r="I1493" s="2" t="s">
        <v>44</v>
      </c>
      <c r="J1493" s="2" t="s">
        <v>106</v>
      </c>
      <c r="K1493" s="2" t="s">
        <v>38</v>
      </c>
      <c r="L1493" s="2" t="s">
        <v>38</v>
      </c>
      <c r="M1493" s="2" t="s">
        <v>38</v>
      </c>
      <c r="N1493" s="2" t="s">
        <v>38</v>
      </c>
      <c r="O1493" s="2" t="s">
        <v>38</v>
      </c>
      <c r="P1493" s="2" t="s">
        <v>38</v>
      </c>
      <c r="Q1493" s="2" t="s">
        <v>38</v>
      </c>
      <c r="R1493" s="2" t="s">
        <v>38</v>
      </c>
      <c r="S1493" s="2" t="s">
        <v>38</v>
      </c>
      <c r="T1493" s="2" t="s">
        <v>38</v>
      </c>
      <c r="U1493" s="2" t="s">
        <v>38</v>
      </c>
      <c r="V1493" s="2" t="s">
        <v>38</v>
      </c>
      <c r="W1493" s="2" t="s">
        <v>38</v>
      </c>
      <c r="X1493" s="2" t="s">
        <v>38</v>
      </c>
      <c r="Y1493" s="2" t="s">
        <v>38</v>
      </c>
      <c r="Z1493" s="2" t="s">
        <v>38</v>
      </c>
      <c r="AA1493" s="2" t="s">
        <v>38</v>
      </c>
      <c r="AB1493" s="2" t="s">
        <v>38</v>
      </c>
      <c r="AC1493" s="2" t="s">
        <v>38</v>
      </c>
      <c r="AD1493" s="2" t="s">
        <v>38</v>
      </c>
      <c r="AE1493" s="2" t="s">
        <v>38</v>
      </c>
    </row>
    <row r="1494" spans="1:31" ht="409.5">
      <c r="A1494" s="2">
        <v>2562260</v>
      </c>
      <c r="B1494" s="2">
        <f>HYPERLINK("https://platform.v2.vetology.net/cases/2562260/screening-report/18?type=pdf&amp;v=v6&amp;scorecard=1&amp;secret_key=BX%25IJ%24%2F65ieZ%29f6", 2562260)</f>
        <v>2562260</v>
      </c>
      <c r="C1494" s="2">
        <f>HYPERLINK("https://platform.v2.vetology.net/report/v/final/"&amp;2562260, 2562260)</f>
        <v>2562260</v>
      </c>
      <c r="D1494" s="2" t="s">
        <v>4246</v>
      </c>
      <c r="E1494" s="2" t="s">
        <v>4247</v>
      </c>
      <c r="F1494" s="2" t="s">
        <v>4248</v>
      </c>
      <c r="G1494" s="2" t="s">
        <v>93</v>
      </c>
      <c r="H1494" s="2" t="s">
        <v>4249</v>
      </c>
      <c r="I1494" s="2" t="s">
        <v>1728</v>
      </c>
      <c r="J1494" s="2" t="s">
        <v>208</v>
      </c>
      <c r="K1494" s="2" t="s">
        <v>38</v>
      </c>
      <c r="L1494" s="2" t="s">
        <v>39</v>
      </c>
      <c r="M1494" s="2" t="s">
        <v>39</v>
      </c>
      <c r="N1494" s="2" t="s">
        <v>38</v>
      </c>
      <c r="O1494" s="2" t="s">
        <v>38</v>
      </c>
      <c r="P1494" s="2" t="s">
        <v>39</v>
      </c>
      <c r="Q1494" s="2" t="s">
        <v>38</v>
      </c>
      <c r="R1494" s="2" t="s">
        <v>38</v>
      </c>
      <c r="S1494" s="2" t="s">
        <v>38</v>
      </c>
      <c r="T1494" s="2" t="s">
        <v>38</v>
      </c>
      <c r="U1494" s="2" t="s">
        <v>38</v>
      </c>
      <c r="V1494" s="2" t="s">
        <v>38</v>
      </c>
      <c r="W1494" s="2" t="s">
        <v>38</v>
      </c>
      <c r="X1494" s="2" t="s">
        <v>38</v>
      </c>
      <c r="Y1494" s="2" t="s">
        <v>38</v>
      </c>
      <c r="Z1494" s="2" t="s">
        <v>38</v>
      </c>
      <c r="AA1494" s="2" t="s">
        <v>38</v>
      </c>
      <c r="AB1494" s="2" t="s">
        <v>39</v>
      </c>
      <c r="AC1494" s="2" t="s">
        <v>38</v>
      </c>
      <c r="AD1494" s="2" t="s">
        <v>38</v>
      </c>
      <c r="AE1494" s="2" t="s">
        <v>38</v>
      </c>
    </row>
    <row r="1495" spans="1:31" ht="409.5">
      <c r="A1495" s="2">
        <v>2562248</v>
      </c>
      <c r="B1495" s="2">
        <f>HYPERLINK("https://platform.v2.vetology.net/cases/2562248/screening-report/18?type=pdf&amp;v=v6&amp;scorecard=1&amp;secret_key=BX%25IJ%24%2F65ieZ%29f6", 2562248)</f>
        <v>2562248</v>
      </c>
      <c r="C1495" s="2">
        <f>HYPERLINK("https://platform.v2.vetology.net/report/v/final/"&amp;2562248, 2562248)</f>
        <v>2562248</v>
      </c>
      <c r="D1495" s="2" t="s">
        <v>4250</v>
      </c>
      <c r="E1495" s="2" t="s">
        <v>4251</v>
      </c>
      <c r="F1495" s="2" t="s">
        <v>4252</v>
      </c>
      <c r="G1495" s="2" t="s">
        <v>268</v>
      </c>
      <c r="H1495" s="2" t="s">
        <v>4253</v>
      </c>
      <c r="I1495" s="2" t="s">
        <v>227</v>
      </c>
      <c r="J1495" s="2" t="s">
        <v>228</v>
      </c>
      <c r="K1495" s="2" t="s">
        <v>38</v>
      </c>
      <c r="L1495" s="2" t="s">
        <v>39</v>
      </c>
      <c r="M1495" s="2" t="s">
        <v>39</v>
      </c>
      <c r="N1495" s="2" t="s">
        <v>38</v>
      </c>
      <c r="O1495" s="2" t="s">
        <v>38</v>
      </c>
      <c r="P1495" s="2" t="s">
        <v>39</v>
      </c>
      <c r="Q1495" s="2" t="s">
        <v>38</v>
      </c>
      <c r="R1495" s="2" t="s">
        <v>38</v>
      </c>
      <c r="S1495" s="2" t="s">
        <v>38</v>
      </c>
      <c r="T1495" s="2" t="s">
        <v>38</v>
      </c>
      <c r="U1495" s="2" t="s">
        <v>38</v>
      </c>
      <c r="V1495" s="2" t="s">
        <v>38</v>
      </c>
      <c r="W1495" s="2" t="s">
        <v>38</v>
      </c>
      <c r="X1495" s="2" t="s">
        <v>38</v>
      </c>
      <c r="Y1495" s="2" t="s">
        <v>38</v>
      </c>
      <c r="Z1495" s="2" t="s">
        <v>38</v>
      </c>
      <c r="AA1495" s="2" t="s">
        <v>38</v>
      </c>
      <c r="AB1495" s="2" t="s">
        <v>39</v>
      </c>
      <c r="AC1495" s="2" t="s">
        <v>39</v>
      </c>
      <c r="AD1495" s="2" t="s">
        <v>38</v>
      </c>
      <c r="AE1495" s="2" t="s">
        <v>39</v>
      </c>
    </row>
    <row r="1496" spans="1:31" ht="409.5">
      <c r="A1496" s="2">
        <v>2562189</v>
      </c>
      <c r="B1496" s="2">
        <f>HYPERLINK("https://platform.v2.vetology.net/cases/2562189/screening-report/18?type=pdf&amp;v=v6&amp;scorecard=1&amp;secret_key=BX%25IJ%24%2F65ieZ%29f6", 2562189)</f>
        <v>2562189</v>
      </c>
      <c r="C1496" s="2">
        <f>HYPERLINK("https://platform.v2.vetology.net/report/v/final/"&amp;2562189, 2562189)</f>
        <v>2562189</v>
      </c>
      <c r="D1496" s="2" t="s">
        <v>4254</v>
      </c>
      <c r="E1496" s="2" t="s">
        <v>4255</v>
      </c>
      <c r="F1496" s="2" t="s">
        <v>4256</v>
      </c>
      <c r="G1496" s="2" t="s">
        <v>58</v>
      </c>
      <c r="H1496" s="2" t="s">
        <v>364</v>
      </c>
      <c r="I1496" s="2" t="s">
        <v>264</v>
      </c>
      <c r="J1496" s="2" t="s">
        <v>265</v>
      </c>
      <c r="K1496" s="2" t="s">
        <v>38</v>
      </c>
      <c r="L1496" s="2" t="s">
        <v>39</v>
      </c>
      <c r="M1496" s="2" t="s">
        <v>39</v>
      </c>
      <c r="N1496" s="2" t="s">
        <v>38</v>
      </c>
      <c r="O1496" s="2" t="s">
        <v>38</v>
      </c>
      <c r="P1496" s="2" t="s">
        <v>38</v>
      </c>
      <c r="Q1496" s="2" t="s">
        <v>38</v>
      </c>
      <c r="R1496" s="2" t="s">
        <v>38</v>
      </c>
      <c r="S1496" s="2" t="s">
        <v>38</v>
      </c>
      <c r="T1496" s="2" t="s">
        <v>39</v>
      </c>
      <c r="U1496" s="2" t="s">
        <v>38</v>
      </c>
      <c r="V1496" s="2" t="s">
        <v>39</v>
      </c>
      <c r="W1496" s="2" t="s">
        <v>38</v>
      </c>
      <c r="X1496" s="2" t="s">
        <v>39</v>
      </c>
      <c r="Y1496" s="2" t="s">
        <v>38</v>
      </c>
      <c r="Z1496" s="2" t="s">
        <v>38</v>
      </c>
      <c r="AA1496" s="2" t="s">
        <v>38</v>
      </c>
      <c r="AB1496" s="2" t="s">
        <v>38</v>
      </c>
      <c r="AC1496" s="2" t="s">
        <v>38</v>
      </c>
      <c r="AD1496" s="2" t="s">
        <v>38</v>
      </c>
      <c r="AE1496" s="2" t="s">
        <v>38</v>
      </c>
    </row>
    <row r="1497" spans="1:31" ht="409.5">
      <c r="A1497" s="2">
        <v>2562099</v>
      </c>
      <c r="B1497" s="2">
        <f>HYPERLINK("https://platform.v2.vetology.net/cases/2562099/screening-report/18?type=pdf&amp;v=v6&amp;scorecard=1&amp;secret_key=BX%25IJ%24%2F65ieZ%29f6", 2562099)</f>
        <v>2562099</v>
      </c>
      <c r="C1497" s="2">
        <f>HYPERLINK("https://platform.v2.vetology.net/report/v/final/"&amp;2562099, 2562099)</f>
        <v>2562099</v>
      </c>
      <c r="D1497" s="2" t="s">
        <v>4257</v>
      </c>
      <c r="E1497" s="2" t="s">
        <v>4258</v>
      </c>
      <c r="F1497" s="2" t="s">
        <v>4259</v>
      </c>
      <c r="G1497" s="2" t="s">
        <v>268</v>
      </c>
      <c r="H1497" s="2" t="s">
        <v>4260</v>
      </c>
      <c r="I1497" s="2" t="s">
        <v>214</v>
      </c>
      <c r="J1497" s="2" t="s">
        <v>50</v>
      </c>
      <c r="K1497" s="2" t="s">
        <v>38</v>
      </c>
      <c r="L1497" s="2" t="s">
        <v>39</v>
      </c>
      <c r="M1497" s="2" t="s">
        <v>38</v>
      </c>
      <c r="N1497" s="2" t="s">
        <v>38</v>
      </c>
      <c r="O1497" s="2" t="s">
        <v>38</v>
      </c>
      <c r="P1497" s="2" t="s">
        <v>38</v>
      </c>
      <c r="Q1497" s="2" t="s">
        <v>38</v>
      </c>
      <c r="R1497" s="2" t="s">
        <v>38</v>
      </c>
      <c r="S1497" s="2" t="s">
        <v>38</v>
      </c>
      <c r="T1497" s="2" t="s">
        <v>38</v>
      </c>
      <c r="U1497" s="2" t="s">
        <v>38</v>
      </c>
      <c r="V1497" s="2" t="s">
        <v>38</v>
      </c>
      <c r="W1497" s="2" t="s">
        <v>38</v>
      </c>
      <c r="X1497" s="2" t="s">
        <v>38</v>
      </c>
      <c r="Y1497" s="2" t="s">
        <v>38</v>
      </c>
      <c r="Z1497" s="2" t="s">
        <v>38</v>
      </c>
      <c r="AA1497" s="2" t="s">
        <v>38</v>
      </c>
      <c r="AB1497" s="2" t="s">
        <v>38</v>
      </c>
      <c r="AC1497" s="2" t="s">
        <v>38</v>
      </c>
      <c r="AD1497" s="2" t="s">
        <v>38</v>
      </c>
      <c r="AE1497" s="2" t="s">
        <v>38</v>
      </c>
    </row>
    <row r="1498" spans="1:31" ht="409.5">
      <c r="A1498" s="2">
        <v>2561996</v>
      </c>
      <c r="B1498" s="2">
        <f>HYPERLINK("https://platform.v2.vetology.net/cases/2561996/screening-report/18?type=pdf&amp;v=v6&amp;scorecard=1&amp;secret_key=BX%25IJ%24%2F65ieZ%29f6", 2561996)</f>
        <v>2561996</v>
      </c>
      <c r="C1498" s="2">
        <f>HYPERLINK("https://platform.v2.vetology.net/report/v/final/"&amp;2561996, 2561996)</f>
        <v>2561996</v>
      </c>
      <c r="D1498" s="2" t="s">
        <v>4261</v>
      </c>
      <c r="E1498" s="2" t="s">
        <v>4262</v>
      </c>
      <c r="F1498" s="2" t="s">
        <v>4263</v>
      </c>
      <c r="G1498" s="2" t="s">
        <v>82</v>
      </c>
      <c r="H1498" s="2" t="s">
        <v>54</v>
      </c>
      <c r="I1498" s="2" t="s">
        <v>44</v>
      </c>
      <c r="J1498" s="2" t="s">
        <v>106</v>
      </c>
      <c r="K1498" s="2" t="s">
        <v>38</v>
      </c>
      <c r="L1498" s="2" t="s">
        <v>38</v>
      </c>
      <c r="M1498" s="2" t="s">
        <v>39</v>
      </c>
      <c r="N1498" s="2" t="s">
        <v>38</v>
      </c>
      <c r="O1498" s="2" t="s">
        <v>38</v>
      </c>
      <c r="P1498" s="2" t="s">
        <v>38</v>
      </c>
      <c r="Q1498" s="2" t="s">
        <v>38</v>
      </c>
      <c r="R1498" s="2" t="s">
        <v>38</v>
      </c>
      <c r="S1498" s="2" t="s">
        <v>38</v>
      </c>
      <c r="T1498" s="2" t="s">
        <v>39</v>
      </c>
      <c r="U1498" s="2" t="s">
        <v>38</v>
      </c>
      <c r="V1498" s="2" t="s">
        <v>38</v>
      </c>
      <c r="W1498" s="2" t="s">
        <v>38</v>
      </c>
      <c r="X1498" s="2" t="s">
        <v>39</v>
      </c>
      <c r="Y1498" s="2" t="s">
        <v>38</v>
      </c>
      <c r="Z1498" s="2" t="s">
        <v>39</v>
      </c>
      <c r="AA1498" s="2" t="s">
        <v>38</v>
      </c>
      <c r="AB1498" s="2" t="s">
        <v>39</v>
      </c>
      <c r="AC1498" s="2" t="s">
        <v>38</v>
      </c>
      <c r="AD1498" s="2" t="s">
        <v>38</v>
      </c>
      <c r="AE1498" s="2" t="s">
        <v>38</v>
      </c>
    </row>
    <row r="1499" spans="1:31" ht="409.5">
      <c r="A1499" s="2">
        <v>2561516</v>
      </c>
      <c r="B1499" s="2">
        <f>HYPERLINK("https://platform.v2.vetology.net/cases/2561516/screening-report/18?type=pdf&amp;v=v6&amp;scorecard=1&amp;secret_key=BX%25IJ%24%2F65ieZ%29f6", 2561516)</f>
        <v>2561516</v>
      </c>
      <c r="C1499" s="2">
        <f>HYPERLINK("https://platform.v2.vetology.net/report/v/final/"&amp;2561516, 2561516)</f>
        <v>2561516</v>
      </c>
      <c r="D1499" s="2" t="s">
        <v>4264</v>
      </c>
      <c r="E1499" s="2" t="s">
        <v>4265</v>
      </c>
      <c r="F1499" s="2" t="s">
        <v>81</v>
      </c>
      <c r="G1499" s="2" t="s">
        <v>268</v>
      </c>
      <c r="H1499" s="2" t="s">
        <v>733</v>
      </c>
      <c r="I1499" s="2" t="s">
        <v>158</v>
      </c>
      <c r="J1499" s="2" t="s">
        <v>50</v>
      </c>
      <c r="K1499" s="2" t="s">
        <v>38</v>
      </c>
      <c r="L1499" s="2" t="s">
        <v>38</v>
      </c>
      <c r="M1499" s="2" t="s">
        <v>38</v>
      </c>
      <c r="N1499" s="2" t="s">
        <v>38</v>
      </c>
      <c r="O1499" s="2" t="s">
        <v>38</v>
      </c>
      <c r="P1499" s="2" t="s">
        <v>38</v>
      </c>
      <c r="Q1499" s="2" t="s">
        <v>38</v>
      </c>
      <c r="R1499" s="2" t="s">
        <v>38</v>
      </c>
      <c r="S1499" s="2" t="s">
        <v>38</v>
      </c>
      <c r="T1499" s="2" t="s">
        <v>38</v>
      </c>
      <c r="U1499" s="2" t="s">
        <v>38</v>
      </c>
      <c r="V1499" s="2" t="s">
        <v>38</v>
      </c>
      <c r="W1499" s="2" t="s">
        <v>38</v>
      </c>
      <c r="X1499" s="2" t="s">
        <v>38</v>
      </c>
      <c r="Y1499" s="2" t="s">
        <v>38</v>
      </c>
      <c r="Z1499" s="2" t="s">
        <v>38</v>
      </c>
      <c r="AA1499" s="2" t="s">
        <v>38</v>
      </c>
      <c r="AB1499" s="2" t="s">
        <v>39</v>
      </c>
      <c r="AC1499" s="2" t="s">
        <v>38</v>
      </c>
      <c r="AD1499" s="2" t="s">
        <v>38</v>
      </c>
      <c r="AE1499" s="2" t="s">
        <v>39</v>
      </c>
    </row>
    <row r="1500" spans="1:31" ht="409.5">
      <c r="A1500" s="2">
        <v>2561476</v>
      </c>
      <c r="B1500" s="2">
        <f>HYPERLINK("https://platform.v2.vetology.net/cases/2561476/screening-report/18?type=pdf&amp;v=v6&amp;scorecard=1&amp;secret_key=BX%25IJ%24%2F65ieZ%29f6", 2561476)</f>
        <v>2561476</v>
      </c>
      <c r="C1500" s="2">
        <f>HYPERLINK("https://platform.v2.vetology.net/report/v/final/"&amp;2561476, 2561476)</f>
        <v>2561476</v>
      </c>
      <c r="D1500" s="2" t="s">
        <v>4266</v>
      </c>
      <c r="E1500" s="2" t="s">
        <v>4267</v>
      </c>
      <c r="F1500" s="2" t="s">
        <v>81</v>
      </c>
      <c r="G1500" s="2" t="s">
        <v>268</v>
      </c>
      <c r="H1500" s="2" t="s">
        <v>4268</v>
      </c>
      <c r="I1500" s="2" t="s">
        <v>306</v>
      </c>
      <c r="J1500" s="2" t="s">
        <v>307</v>
      </c>
      <c r="K1500" s="2" t="s">
        <v>38</v>
      </c>
      <c r="L1500" s="2" t="s">
        <v>39</v>
      </c>
      <c r="M1500" s="2" t="s">
        <v>38</v>
      </c>
      <c r="N1500" s="2" t="s">
        <v>39</v>
      </c>
      <c r="O1500" s="2" t="s">
        <v>39</v>
      </c>
      <c r="P1500" s="2" t="s">
        <v>39</v>
      </c>
      <c r="Q1500" s="2" t="s">
        <v>39</v>
      </c>
      <c r="R1500" s="2" t="s">
        <v>38</v>
      </c>
      <c r="S1500" s="2" t="s">
        <v>38</v>
      </c>
      <c r="T1500" s="2" t="s">
        <v>38</v>
      </c>
      <c r="U1500" s="2" t="s">
        <v>39</v>
      </c>
      <c r="V1500" s="2" t="s">
        <v>38</v>
      </c>
      <c r="W1500" s="2" t="s">
        <v>38</v>
      </c>
      <c r="X1500" s="2" t="s">
        <v>39</v>
      </c>
      <c r="Y1500" s="2" t="s">
        <v>38</v>
      </c>
      <c r="Z1500" s="2" t="s">
        <v>39</v>
      </c>
      <c r="AA1500" s="2" t="s">
        <v>38</v>
      </c>
      <c r="AB1500" s="2" t="s">
        <v>39</v>
      </c>
      <c r="AC1500" s="2" t="s">
        <v>39</v>
      </c>
      <c r="AD1500" s="2" t="s">
        <v>38</v>
      </c>
      <c r="AE1500" s="2" t="s">
        <v>38</v>
      </c>
    </row>
    <row r="1501" spans="1:31" ht="409.5">
      <c r="A1501" s="2">
        <v>2561290</v>
      </c>
      <c r="B1501" s="2">
        <f>HYPERLINK("https://platform.v2.vetology.net/cases/2561290/screening-report/18?type=pdf&amp;v=v6&amp;scorecard=1&amp;secret_key=BX%25IJ%24%2F65ieZ%29f6", 2561290)</f>
        <v>2561290</v>
      </c>
      <c r="C1501" s="2">
        <f>HYPERLINK("https://platform.v2.vetology.net/report/v/final/"&amp;2561290, 2561290)</f>
        <v>2561290</v>
      </c>
      <c r="D1501" s="2" t="s">
        <v>4269</v>
      </c>
      <c r="E1501" s="2" t="s">
        <v>4270</v>
      </c>
      <c r="F1501" s="2" t="s">
        <v>81</v>
      </c>
      <c r="G1501" s="2" t="s">
        <v>82</v>
      </c>
      <c r="H1501" s="2" t="s">
        <v>54</v>
      </c>
      <c r="I1501" s="2" t="s">
        <v>44</v>
      </c>
      <c r="J1501" s="2" t="s">
        <v>106</v>
      </c>
      <c r="K1501" s="2" t="s">
        <v>38</v>
      </c>
      <c r="L1501" s="2" t="s">
        <v>38</v>
      </c>
      <c r="M1501" s="2" t="s">
        <v>39</v>
      </c>
      <c r="N1501" s="2" t="s">
        <v>38</v>
      </c>
      <c r="O1501" s="2" t="s">
        <v>38</v>
      </c>
      <c r="P1501" s="2" t="s">
        <v>38</v>
      </c>
      <c r="Q1501" s="2" t="s">
        <v>38</v>
      </c>
      <c r="R1501" s="2" t="s">
        <v>38</v>
      </c>
      <c r="S1501" s="2" t="s">
        <v>38</v>
      </c>
      <c r="T1501" s="2" t="s">
        <v>38</v>
      </c>
      <c r="U1501" s="2" t="s">
        <v>38</v>
      </c>
      <c r="V1501" s="2" t="s">
        <v>38</v>
      </c>
      <c r="W1501" s="2" t="s">
        <v>38</v>
      </c>
      <c r="X1501" s="2" t="s">
        <v>38</v>
      </c>
      <c r="Y1501" s="2" t="s">
        <v>38</v>
      </c>
      <c r="Z1501" s="2" t="s">
        <v>38</v>
      </c>
      <c r="AA1501" s="2" t="s">
        <v>38</v>
      </c>
      <c r="AB1501" s="2" t="s">
        <v>38</v>
      </c>
      <c r="AC1501" s="2" t="s">
        <v>38</v>
      </c>
      <c r="AD1501" s="2" t="s">
        <v>38</v>
      </c>
      <c r="AE1501" s="2" t="s">
        <v>38</v>
      </c>
    </row>
    <row r="1502" spans="1:31" ht="409.5">
      <c r="A1502" s="2">
        <v>2561221</v>
      </c>
      <c r="B1502" s="2">
        <f>HYPERLINK("https://platform.v2.vetology.net/cases/2561221/screening-report/18?type=pdf&amp;v=v6&amp;scorecard=1&amp;secret_key=BX%25IJ%24%2F65ieZ%29f6", 2561221)</f>
        <v>2561221</v>
      </c>
      <c r="C1502" s="2">
        <f>HYPERLINK("https://platform.v2.vetology.net/report/v/final/"&amp;2561221, 2561221)</f>
        <v>2561221</v>
      </c>
      <c r="D1502" s="2" t="s">
        <v>4271</v>
      </c>
      <c r="E1502" s="2" t="s">
        <v>4272</v>
      </c>
      <c r="F1502" s="2" t="s">
        <v>4273</v>
      </c>
      <c r="G1502" s="2" t="s">
        <v>268</v>
      </c>
      <c r="H1502" s="2" t="s">
        <v>3921</v>
      </c>
      <c r="I1502" s="2" t="s">
        <v>227</v>
      </c>
      <c r="J1502" s="2" t="s">
        <v>228</v>
      </c>
      <c r="K1502" s="2" t="s">
        <v>38</v>
      </c>
      <c r="L1502" s="2" t="s">
        <v>38</v>
      </c>
      <c r="M1502" s="2" t="s">
        <v>38</v>
      </c>
      <c r="N1502" s="2" t="s">
        <v>38</v>
      </c>
      <c r="O1502" s="2" t="s">
        <v>38</v>
      </c>
      <c r="P1502" s="2" t="s">
        <v>38</v>
      </c>
      <c r="Q1502" s="2" t="s">
        <v>39</v>
      </c>
      <c r="R1502" s="2" t="s">
        <v>38</v>
      </c>
      <c r="S1502" s="2" t="s">
        <v>38</v>
      </c>
      <c r="T1502" s="2" t="s">
        <v>38</v>
      </c>
      <c r="U1502" s="2" t="s">
        <v>38</v>
      </c>
      <c r="V1502" s="2" t="s">
        <v>38</v>
      </c>
      <c r="W1502" s="2" t="s">
        <v>38</v>
      </c>
      <c r="X1502" s="2" t="s">
        <v>38</v>
      </c>
      <c r="Y1502" s="2" t="s">
        <v>38</v>
      </c>
      <c r="Z1502" s="2" t="s">
        <v>38</v>
      </c>
      <c r="AA1502" s="2" t="s">
        <v>38</v>
      </c>
      <c r="AB1502" s="2" t="s">
        <v>39</v>
      </c>
      <c r="AC1502" s="2" t="s">
        <v>39</v>
      </c>
      <c r="AD1502" s="2" t="s">
        <v>38</v>
      </c>
      <c r="AE1502" s="2" t="s">
        <v>38</v>
      </c>
    </row>
    <row r="1503" spans="1:31" ht="409.5">
      <c r="A1503" s="2">
        <v>2561206</v>
      </c>
      <c r="B1503" s="2">
        <f>HYPERLINK("https://platform.v2.vetology.net/cases/2561206/screening-report/18?type=pdf&amp;v=v6&amp;scorecard=1&amp;secret_key=BX%25IJ%24%2F65ieZ%29f6", 2561206)</f>
        <v>2561206</v>
      </c>
      <c r="C1503" s="2">
        <f>HYPERLINK("https://platform.v2.vetology.net/report/v/final/"&amp;2561206, 2561206)</f>
        <v>2561206</v>
      </c>
      <c r="D1503" s="2" t="s">
        <v>4274</v>
      </c>
      <c r="E1503" s="2" t="s">
        <v>4275</v>
      </c>
      <c r="F1503" s="2" t="s">
        <v>4276</v>
      </c>
      <c r="G1503" s="2" t="s">
        <v>63</v>
      </c>
      <c r="H1503" s="2" t="s">
        <v>456</v>
      </c>
      <c r="I1503" s="2" t="s">
        <v>284</v>
      </c>
      <c r="J1503" s="2" t="s">
        <v>285</v>
      </c>
      <c r="K1503" s="2" t="s">
        <v>38</v>
      </c>
      <c r="L1503" s="2" t="s">
        <v>39</v>
      </c>
      <c r="M1503" s="2" t="s">
        <v>38</v>
      </c>
      <c r="N1503" s="2" t="s">
        <v>38</v>
      </c>
      <c r="O1503" s="2" t="s">
        <v>38</v>
      </c>
      <c r="P1503" s="2" t="s">
        <v>38</v>
      </c>
      <c r="Q1503" s="2" t="s">
        <v>38</v>
      </c>
      <c r="R1503" s="2" t="s">
        <v>38</v>
      </c>
      <c r="S1503" s="2" t="s">
        <v>38</v>
      </c>
      <c r="T1503" s="2" t="s">
        <v>39</v>
      </c>
      <c r="U1503" s="2" t="s">
        <v>38</v>
      </c>
      <c r="V1503" s="2" t="s">
        <v>38</v>
      </c>
      <c r="W1503" s="2" t="s">
        <v>38</v>
      </c>
      <c r="X1503" s="2" t="s">
        <v>39</v>
      </c>
      <c r="Y1503" s="2" t="s">
        <v>38</v>
      </c>
      <c r="Z1503" s="2" t="s">
        <v>38</v>
      </c>
      <c r="AA1503" s="2" t="s">
        <v>38</v>
      </c>
      <c r="AB1503" s="2" t="s">
        <v>38</v>
      </c>
      <c r="AC1503" s="2" t="s">
        <v>38</v>
      </c>
      <c r="AD1503" s="2" t="s">
        <v>38</v>
      </c>
      <c r="AE1503" s="2" t="s">
        <v>38</v>
      </c>
    </row>
    <row r="1504" spans="1:31" ht="409.5">
      <c r="A1504" s="2">
        <v>2561067</v>
      </c>
      <c r="B1504" s="2">
        <f>HYPERLINK("https://platform.v2.vetology.net/cases/2561067/screening-report/18?type=pdf&amp;v=v6&amp;scorecard=1&amp;secret_key=BX%25IJ%24%2F65ieZ%29f6", 2561067)</f>
        <v>2561067</v>
      </c>
      <c r="C1504" s="2">
        <f>HYPERLINK("https://platform.v2.vetology.net/report/v/final/"&amp;2561067, 2561067)</f>
        <v>2561067</v>
      </c>
      <c r="D1504" s="2" t="s">
        <v>4277</v>
      </c>
      <c r="E1504" s="2" t="s">
        <v>4278</v>
      </c>
      <c r="F1504" s="2" t="s">
        <v>4279</v>
      </c>
      <c r="G1504" s="2" t="s">
        <v>58</v>
      </c>
      <c r="H1504" s="2" t="s">
        <v>78</v>
      </c>
      <c r="I1504" s="2" t="s">
        <v>44</v>
      </c>
      <c r="J1504" s="2"/>
      <c r="K1504" s="2" t="s">
        <v>38</v>
      </c>
      <c r="L1504" s="2" t="s">
        <v>39</v>
      </c>
      <c r="M1504" s="2" t="s">
        <v>38</v>
      </c>
      <c r="N1504" s="2" t="s">
        <v>38</v>
      </c>
      <c r="O1504" s="2" t="s">
        <v>39</v>
      </c>
      <c r="P1504" s="2" t="s">
        <v>38</v>
      </c>
      <c r="Q1504" s="2" t="s">
        <v>38</v>
      </c>
      <c r="R1504" s="2" t="s">
        <v>38</v>
      </c>
      <c r="S1504" s="2" t="s">
        <v>39</v>
      </c>
      <c r="T1504" s="2" t="s">
        <v>39</v>
      </c>
      <c r="U1504" s="2" t="s">
        <v>38</v>
      </c>
      <c r="V1504" s="2" t="s">
        <v>38</v>
      </c>
      <c r="W1504" s="2" t="s">
        <v>38</v>
      </c>
      <c r="X1504" s="2" t="s">
        <v>38</v>
      </c>
      <c r="Y1504" s="2" t="s">
        <v>38</v>
      </c>
      <c r="Z1504" s="2" t="s">
        <v>38</v>
      </c>
      <c r="AA1504" s="2" t="s">
        <v>38</v>
      </c>
      <c r="AB1504" s="2" t="s">
        <v>38</v>
      </c>
      <c r="AC1504" s="2" t="s">
        <v>39</v>
      </c>
      <c r="AD1504" s="2" t="s">
        <v>38</v>
      </c>
      <c r="AE1504" s="2" t="s">
        <v>38</v>
      </c>
    </row>
    <row r="1505" spans="1:31" ht="409.5">
      <c r="A1505" s="2">
        <v>2560559</v>
      </c>
      <c r="B1505" s="2">
        <f>HYPERLINK("https://platform.v2.vetology.net/cases/2560559/screening-report/18?type=pdf&amp;v=v6&amp;scorecard=1&amp;secret_key=BX%25IJ%24%2F65ieZ%29f6", 2560559)</f>
        <v>2560559</v>
      </c>
      <c r="C1505" s="2">
        <f>HYPERLINK("https://platform.v2.vetology.net/report/v/final/"&amp;2560559, 2560559)</f>
        <v>2560559</v>
      </c>
      <c r="D1505" s="2" t="s">
        <v>4280</v>
      </c>
      <c r="E1505" s="2" t="s">
        <v>4281</v>
      </c>
      <c r="F1505" s="2" t="s">
        <v>4282</v>
      </c>
      <c r="G1505" s="2" t="s">
        <v>58</v>
      </c>
      <c r="H1505" s="2" t="s">
        <v>1460</v>
      </c>
      <c r="I1505" s="2" t="s">
        <v>214</v>
      </c>
      <c r="J1505" s="2" t="s">
        <v>50</v>
      </c>
      <c r="K1505" s="2" t="s">
        <v>38</v>
      </c>
      <c r="L1505" s="2" t="s">
        <v>39</v>
      </c>
      <c r="M1505" s="2" t="s">
        <v>39</v>
      </c>
      <c r="N1505" s="2" t="s">
        <v>38</v>
      </c>
      <c r="O1505" s="2" t="s">
        <v>39</v>
      </c>
      <c r="P1505" s="2" t="s">
        <v>39</v>
      </c>
      <c r="Q1505" s="2" t="s">
        <v>38</v>
      </c>
      <c r="R1505" s="2" t="s">
        <v>38</v>
      </c>
      <c r="S1505" s="2" t="s">
        <v>38</v>
      </c>
      <c r="T1505" s="2" t="s">
        <v>38</v>
      </c>
      <c r="U1505" s="2" t="s">
        <v>38</v>
      </c>
      <c r="V1505" s="2" t="s">
        <v>38</v>
      </c>
      <c r="W1505" s="2" t="s">
        <v>38</v>
      </c>
      <c r="X1505" s="2" t="s">
        <v>38</v>
      </c>
      <c r="Y1505" s="2" t="s">
        <v>38</v>
      </c>
      <c r="Z1505" s="2" t="s">
        <v>39</v>
      </c>
      <c r="AA1505" s="2" t="s">
        <v>38</v>
      </c>
      <c r="AB1505" s="2" t="s">
        <v>38</v>
      </c>
      <c r="AC1505" s="2" t="s">
        <v>38</v>
      </c>
      <c r="AD1505" s="2" t="s">
        <v>38</v>
      </c>
      <c r="AE1505" s="2" t="s">
        <v>39</v>
      </c>
    </row>
    <row r="1506" spans="1:31" ht="409.5">
      <c r="A1506" s="2">
        <v>2560263</v>
      </c>
      <c r="B1506" s="2">
        <f>HYPERLINK("https://platform.v2.vetology.net/cases/2560263/screening-report/18?type=pdf&amp;v=v6&amp;scorecard=1&amp;secret_key=BX%25IJ%24%2F65ieZ%29f6", 2560263)</f>
        <v>2560263</v>
      </c>
      <c r="C1506" s="2">
        <f>HYPERLINK("https://platform.v2.vetology.net/report/v/final/"&amp;2560263, 2560263)</f>
        <v>2560263</v>
      </c>
      <c r="D1506" s="2" t="s">
        <v>4283</v>
      </c>
      <c r="E1506" s="2" t="s">
        <v>4284</v>
      </c>
      <c r="F1506" s="2" t="s">
        <v>4285</v>
      </c>
      <c r="G1506" s="2" t="s">
        <v>268</v>
      </c>
      <c r="H1506" s="2" t="s">
        <v>4286</v>
      </c>
      <c r="I1506" s="2" t="s">
        <v>957</v>
      </c>
      <c r="J1506" s="2" t="s">
        <v>66</v>
      </c>
      <c r="K1506" s="2" t="s">
        <v>38</v>
      </c>
      <c r="L1506" s="2" t="s">
        <v>38</v>
      </c>
      <c r="M1506" s="2" t="s">
        <v>39</v>
      </c>
      <c r="N1506" s="2" t="s">
        <v>38</v>
      </c>
      <c r="O1506" s="2" t="s">
        <v>38</v>
      </c>
      <c r="P1506" s="2" t="s">
        <v>38</v>
      </c>
      <c r="Q1506" s="2" t="s">
        <v>38</v>
      </c>
      <c r="R1506" s="2" t="s">
        <v>38</v>
      </c>
      <c r="S1506" s="2" t="s">
        <v>38</v>
      </c>
      <c r="T1506" s="2" t="s">
        <v>39</v>
      </c>
      <c r="U1506" s="2" t="s">
        <v>38</v>
      </c>
      <c r="V1506" s="2" t="s">
        <v>38</v>
      </c>
      <c r="W1506" s="2" t="s">
        <v>38</v>
      </c>
      <c r="X1506" s="2" t="s">
        <v>39</v>
      </c>
      <c r="Y1506" s="2" t="s">
        <v>38</v>
      </c>
      <c r="Z1506" s="2" t="s">
        <v>38</v>
      </c>
      <c r="AA1506" s="2" t="s">
        <v>38</v>
      </c>
      <c r="AB1506" s="2" t="s">
        <v>39</v>
      </c>
      <c r="AC1506" s="2" t="s">
        <v>39</v>
      </c>
      <c r="AD1506" s="2" t="s">
        <v>38</v>
      </c>
      <c r="AE1506" s="2" t="s">
        <v>38</v>
      </c>
    </row>
    <row r="1507" spans="1:31" ht="409.5">
      <c r="A1507" s="2">
        <v>2560212</v>
      </c>
      <c r="B1507" s="2">
        <f>HYPERLINK("https://platform.v2.vetology.net/cases/2560212/screening-report/18?type=pdf&amp;v=v6&amp;scorecard=1&amp;secret_key=BX%25IJ%24%2F65ieZ%29f6", 2560212)</f>
        <v>2560212</v>
      </c>
      <c r="C1507" s="2">
        <f>HYPERLINK("https://platform.v2.vetology.net/report/v/final/"&amp;2560212, 2560212)</f>
        <v>2560212</v>
      </c>
      <c r="D1507" s="2" t="s">
        <v>4287</v>
      </c>
      <c r="E1507" s="2" t="s">
        <v>4288</v>
      </c>
      <c r="F1507" s="2" t="s">
        <v>4289</v>
      </c>
      <c r="G1507" s="2" t="s">
        <v>464</v>
      </c>
      <c r="H1507" s="2" t="s">
        <v>4290</v>
      </c>
      <c r="I1507" s="2" t="s">
        <v>634</v>
      </c>
      <c r="J1507" s="2" t="s">
        <v>635</v>
      </c>
      <c r="K1507" s="2" t="s">
        <v>39</v>
      </c>
      <c r="L1507" s="2" t="s">
        <v>39</v>
      </c>
      <c r="M1507" s="2" t="s">
        <v>39</v>
      </c>
      <c r="N1507" s="2" t="s">
        <v>39</v>
      </c>
      <c r="O1507" s="2" t="s">
        <v>39</v>
      </c>
      <c r="P1507" s="2" t="s">
        <v>39</v>
      </c>
      <c r="Q1507" s="2" t="s">
        <v>39</v>
      </c>
      <c r="R1507" s="2" t="s">
        <v>39</v>
      </c>
      <c r="S1507" s="2" t="s">
        <v>39</v>
      </c>
      <c r="T1507" s="2" t="s">
        <v>39</v>
      </c>
      <c r="U1507" s="2" t="s">
        <v>39</v>
      </c>
      <c r="V1507" s="2" t="s">
        <v>39</v>
      </c>
      <c r="W1507" s="2" t="s">
        <v>39</v>
      </c>
      <c r="X1507" s="2" t="s">
        <v>39</v>
      </c>
      <c r="Y1507" s="2" t="s">
        <v>39</v>
      </c>
      <c r="Z1507" s="2" t="s">
        <v>39</v>
      </c>
      <c r="AA1507" s="2" t="s">
        <v>39</v>
      </c>
      <c r="AB1507" s="2" t="s">
        <v>39</v>
      </c>
      <c r="AC1507" s="2" t="s">
        <v>39</v>
      </c>
      <c r="AD1507" s="2" t="s">
        <v>38</v>
      </c>
      <c r="AE1507" s="2" t="s">
        <v>39</v>
      </c>
    </row>
    <row r="1508" spans="1:31" ht="409.5">
      <c r="A1508" s="2">
        <v>2559896</v>
      </c>
      <c r="B1508" s="2">
        <f>HYPERLINK("https://platform.v2.vetology.net/cases/2559896/screening-report/18?type=pdf&amp;v=v6&amp;scorecard=1&amp;secret_key=BX%25IJ%24%2F65ieZ%29f6", 2559896)</f>
        <v>2559896</v>
      </c>
      <c r="C1508" s="2">
        <f>HYPERLINK("https://platform.v2.vetology.net/report/v/final/"&amp;2559896, 2559896)</f>
        <v>2559896</v>
      </c>
      <c r="D1508" s="2" t="s">
        <v>4291</v>
      </c>
      <c r="E1508" s="2" t="s">
        <v>4292</v>
      </c>
      <c r="F1508" s="2" t="s">
        <v>4293</v>
      </c>
      <c r="G1508" s="2" t="s">
        <v>268</v>
      </c>
      <c r="H1508" s="2" t="s">
        <v>2029</v>
      </c>
      <c r="I1508" s="2" t="s">
        <v>214</v>
      </c>
      <c r="J1508" s="2" t="s">
        <v>50</v>
      </c>
      <c r="K1508" s="2" t="s">
        <v>38</v>
      </c>
      <c r="L1508" s="2" t="s">
        <v>39</v>
      </c>
      <c r="M1508" s="2" t="s">
        <v>39</v>
      </c>
      <c r="N1508" s="2" t="s">
        <v>38</v>
      </c>
      <c r="O1508" s="2" t="s">
        <v>39</v>
      </c>
      <c r="P1508" s="2" t="s">
        <v>39</v>
      </c>
      <c r="Q1508" s="2" t="s">
        <v>38</v>
      </c>
      <c r="R1508" s="2" t="s">
        <v>38</v>
      </c>
      <c r="S1508" s="2" t="s">
        <v>38</v>
      </c>
      <c r="T1508" s="2" t="s">
        <v>39</v>
      </c>
      <c r="U1508" s="2" t="s">
        <v>38</v>
      </c>
      <c r="V1508" s="2" t="s">
        <v>39</v>
      </c>
      <c r="W1508" s="2" t="s">
        <v>38</v>
      </c>
      <c r="X1508" s="2" t="s">
        <v>38</v>
      </c>
      <c r="Y1508" s="2" t="s">
        <v>38</v>
      </c>
      <c r="Z1508" s="2" t="s">
        <v>38</v>
      </c>
      <c r="AA1508" s="2" t="s">
        <v>38</v>
      </c>
      <c r="AB1508" s="2" t="s">
        <v>39</v>
      </c>
      <c r="AC1508" s="2" t="s">
        <v>39</v>
      </c>
      <c r="AD1508" s="2" t="s">
        <v>38</v>
      </c>
      <c r="AE1508" s="2" t="s">
        <v>39</v>
      </c>
    </row>
    <row r="1509" spans="1:31" ht="409.5">
      <c r="A1509" s="2">
        <v>2559789</v>
      </c>
      <c r="B1509" s="2">
        <f>HYPERLINK("https://platform.v2.vetology.net/cases/2559789/screening-report/18?type=pdf&amp;v=v6&amp;scorecard=1&amp;secret_key=BX%25IJ%24%2F65ieZ%29f6", 2559789)</f>
        <v>2559789</v>
      </c>
      <c r="C1509" s="2">
        <f>HYPERLINK("https://platform.v2.vetology.net/report/v/final/"&amp;2559789, 2559789)</f>
        <v>2559789</v>
      </c>
      <c r="D1509" s="2" t="s">
        <v>4294</v>
      </c>
      <c r="E1509" s="2" t="s">
        <v>4295</v>
      </c>
      <c r="F1509" s="2" t="s">
        <v>4296</v>
      </c>
      <c r="G1509" s="2" t="s">
        <v>268</v>
      </c>
      <c r="H1509" s="2" t="s">
        <v>1240</v>
      </c>
      <c r="I1509" s="2" t="s">
        <v>137</v>
      </c>
      <c r="J1509" s="2" t="s">
        <v>66</v>
      </c>
      <c r="K1509" s="2" t="s">
        <v>38</v>
      </c>
      <c r="L1509" s="2" t="s">
        <v>39</v>
      </c>
      <c r="M1509" s="2" t="s">
        <v>38</v>
      </c>
      <c r="N1509" s="2" t="s">
        <v>38</v>
      </c>
      <c r="O1509" s="2" t="s">
        <v>38</v>
      </c>
      <c r="P1509" s="2" t="s">
        <v>38</v>
      </c>
      <c r="Q1509" s="2" t="s">
        <v>38</v>
      </c>
      <c r="R1509" s="2" t="s">
        <v>38</v>
      </c>
      <c r="S1509" s="2" t="s">
        <v>38</v>
      </c>
      <c r="T1509" s="2" t="s">
        <v>39</v>
      </c>
      <c r="U1509" s="2" t="s">
        <v>38</v>
      </c>
      <c r="V1509" s="2" t="s">
        <v>39</v>
      </c>
      <c r="W1509" s="2" t="s">
        <v>38</v>
      </c>
      <c r="X1509" s="2" t="s">
        <v>39</v>
      </c>
      <c r="Y1509" s="2" t="s">
        <v>38</v>
      </c>
      <c r="Z1509" s="2" t="s">
        <v>38</v>
      </c>
      <c r="AA1509" s="2" t="s">
        <v>38</v>
      </c>
      <c r="AB1509" s="2" t="s">
        <v>38</v>
      </c>
      <c r="AC1509" s="2" t="s">
        <v>38</v>
      </c>
      <c r="AD1509" s="2" t="s">
        <v>38</v>
      </c>
      <c r="AE1509" s="2" t="s">
        <v>38</v>
      </c>
    </row>
    <row r="1510" spans="1:31" ht="409.5">
      <c r="A1510" s="2">
        <v>2559697</v>
      </c>
      <c r="B1510" s="2">
        <f>HYPERLINK("https://platform.v2.vetology.net/cases/2559697/screening-report/18?type=pdf&amp;v=v6&amp;scorecard=1&amp;secret_key=BX%25IJ%24%2F65ieZ%29f6", 2559697)</f>
        <v>2559697</v>
      </c>
      <c r="C1510" s="2">
        <f>HYPERLINK("https://platform.v2.vetology.net/report/v/final/"&amp;2559697, 2559697)</f>
        <v>2559697</v>
      </c>
      <c r="D1510" s="2" t="s">
        <v>4297</v>
      </c>
      <c r="E1510" s="2" t="s">
        <v>4298</v>
      </c>
      <c r="F1510" s="2"/>
      <c r="G1510" s="2" t="s">
        <v>141</v>
      </c>
      <c r="H1510" s="2" t="s">
        <v>129</v>
      </c>
      <c r="I1510" s="2" t="s">
        <v>44</v>
      </c>
      <c r="J1510" s="2"/>
      <c r="K1510" s="2" t="s">
        <v>38</v>
      </c>
      <c r="L1510" s="2" t="s">
        <v>39</v>
      </c>
      <c r="M1510" s="2" t="s">
        <v>39</v>
      </c>
      <c r="N1510" s="2" t="s">
        <v>38</v>
      </c>
      <c r="O1510" s="2" t="s">
        <v>38</v>
      </c>
      <c r="P1510" s="2" t="s">
        <v>38</v>
      </c>
      <c r="Q1510" s="2" t="s">
        <v>38</v>
      </c>
      <c r="R1510" s="2" t="s">
        <v>38</v>
      </c>
      <c r="S1510" s="2" t="s">
        <v>38</v>
      </c>
      <c r="T1510" s="2" t="s">
        <v>38</v>
      </c>
      <c r="U1510" s="2" t="s">
        <v>38</v>
      </c>
      <c r="V1510" s="2" t="s">
        <v>38</v>
      </c>
      <c r="W1510" s="2" t="s">
        <v>38</v>
      </c>
      <c r="X1510" s="2" t="s">
        <v>38</v>
      </c>
      <c r="Y1510" s="2" t="s">
        <v>38</v>
      </c>
      <c r="Z1510" s="2" t="s">
        <v>38</v>
      </c>
      <c r="AA1510" s="2" t="s">
        <v>38</v>
      </c>
      <c r="AB1510" s="2" t="s">
        <v>39</v>
      </c>
      <c r="AC1510" s="2" t="s">
        <v>38</v>
      </c>
      <c r="AD1510" s="2" t="s">
        <v>38</v>
      </c>
      <c r="AE1510" s="2" t="s">
        <v>38</v>
      </c>
    </row>
    <row r="1511" spans="1:31" ht="409.5">
      <c r="A1511" s="2">
        <v>2559696</v>
      </c>
      <c r="B1511" s="2">
        <f>HYPERLINK("https://platform.v2.vetology.net/cases/2559696/screening-report/18?type=pdf&amp;v=v6&amp;scorecard=1&amp;secret_key=BX%25IJ%24%2F65ieZ%29f6", 2559696)</f>
        <v>2559696</v>
      </c>
      <c r="C1511" s="2">
        <f>HYPERLINK("https://platform.v2.vetology.net/report/v/final/"&amp;2559696, 2559696)</f>
        <v>2559696</v>
      </c>
      <c r="D1511" s="2" t="s">
        <v>4299</v>
      </c>
      <c r="E1511" s="2" t="s">
        <v>4300</v>
      </c>
      <c r="F1511" s="2" t="s">
        <v>4301</v>
      </c>
      <c r="G1511" s="2" t="s">
        <v>464</v>
      </c>
      <c r="H1511" s="2" t="s">
        <v>723</v>
      </c>
      <c r="I1511" s="2" t="s">
        <v>44</v>
      </c>
      <c r="J1511" s="2"/>
      <c r="K1511" s="2" t="s">
        <v>38</v>
      </c>
      <c r="L1511" s="2" t="s">
        <v>38</v>
      </c>
      <c r="M1511" s="2" t="s">
        <v>38</v>
      </c>
      <c r="N1511" s="2" t="s">
        <v>38</v>
      </c>
      <c r="O1511" s="2" t="s">
        <v>38</v>
      </c>
      <c r="P1511" s="2" t="s">
        <v>38</v>
      </c>
      <c r="Q1511" s="2" t="s">
        <v>39</v>
      </c>
      <c r="R1511" s="2" t="s">
        <v>38</v>
      </c>
      <c r="S1511" s="2" t="s">
        <v>38</v>
      </c>
      <c r="T1511" s="2" t="s">
        <v>39</v>
      </c>
      <c r="U1511" s="2" t="s">
        <v>38</v>
      </c>
      <c r="V1511" s="2" t="s">
        <v>39</v>
      </c>
      <c r="W1511" s="2" t="s">
        <v>38</v>
      </c>
      <c r="X1511" s="2" t="s">
        <v>39</v>
      </c>
      <c r="Y1511" s="2" t="s">
        <v>38</v>
      </c>
      <c r="Z1511" s="2" t="s">
        <v>38</v>
      </c>
      <c r="AA1511" s="2" t="s">
        <v>38</v>
      </c>
      <c r="AB1511" s="2" t="s">
        <v>38</v>
      </c>
      <c r="AC1511" s="2" t="s">
        <v>38</v>
      </c>
      <c r="AD1511" s="2" t="s">
        <v>38</v>
      </c>
      <c r="AE1511" s="2" t="s">
        <v>38</v>
      </c>
    </row>
    <row r="1512" spans="1:31" ht="409.5">
      <c r="A1512" s="2">
        <v>2558959</v>
      </c>
      <c r="B1512" s="2">
        <f>HYPERLINK("https://platform.v2.vetology.net/cases/2558959/screening-report/18?type=pdf&amp;v=v6&amp;scorecard=1&amp;secret_key=BX%25IJ%24%2F65ieZ%29f6", 2558959)</f>
        <v>2558959</v>
      </c>
      <c r="C1512" s="2">
        <f>HYPERLINK("https://platform.v2.vetology.net/report/v/final/"&amp;2558959, 2558959)</f>
        <v>2558959</v>
      </c>
      <c r="D1512" s="2" t="s">
        <v>4302</v>
      </c>
      <c r="E1512" s="2" t="s">
        <v>4303</v>
      </c>
      <c r="F1512" s="2" t="s">
        <v>4304</v>
      </c>
      <c r="G1512" s="2" t="s">
        <v>464</v>
      </c>
      <c r="H1512" s="2" t="s">
        <v>4305</v>
      </c>
      <c r="I1512" s="2" t="s">
        <v>1516</v>
      </c>
      <c r="J1512" s="2" t="s">
        <v>518</v>
      </c>
      <c r="K1512" s="2" t="s">
        <v>38</v>
      </c>
      <c r="L1512" s="2" t="s">
        <v>39</v>
      </c>
      <c r="M1512" s="2" t="s">
        <v>39</v>
      </c>
      <c r="N1512" s="2" t="s">
        <v>39</v>
      </c>
      <c r="O1512" s="2" t="s">
        <v>39</v>
      </c>
      <c r="P1512" s="2" t="s">
        <v>39</v>
      </c>
      <c r="Q1512" s="2" t="s">
        <v>39</v>
      </c>
      <c r="R1512" s="2" t="s">
        <v>38</v>
      </c>
      <c r="S1512" s="2" t="s">
        <v>39</v>
      </c>
      <c r="T1512" s="2" t="s">
        <v>39</v>
      </c>
      <c r="U1512" s="2" t="s">
        <v>38</v>
      </c>
      <c r="V1512" s="2" t="s">
        <v>38</v>
      </c>
      <c r="W1512" s="2" t="s">
        <v>38</v>
      </c>
      <c r="X1512" s="2" t="s">
        <v>39</v>
      </c>
      <c r="Y1512" s="2" t="s">
        <v>39</v>
      </c>
      <c r="Z1512" s="2" t="s">
        <v>39</v>
      </c>
      <c r="AA1512" s="2" t="s">
        <v>39</v>
      </c>
      <c r="AB1512" s="2" t="s">
        <v>39</v>
      </c>
      <c r="AC1512" s="2" t="s">
        <v>39</v>
      </c>
      <c r="AD1512" s="2" t="s">
        <v>38</v>
      </c>
      <c r="AE1512" s="2" t="s">
        <v>38</v>
      </c>
    </row>
    <row r="1513" spans="1:31" ht="409.5">
      <c r="A1513" s="2">
        <v>2558676</v>
      </c>
      <c r="B1513" s="2">
        <f>HYPERLINK("https://platform.v2.vetology.net/cases/2558676/screening-report/18?type=pdf&amp;v=v6&amp;scorecard=1&amp;secret_key=BX%25IJ%24%2F65ieZ%29f6", 2558676)</f>
        <v>2558676</v>
      </c>
      <c r="C1513" s="2">
        <f>HYPERLINK("https://platform.v2.vetology.net/report/v/final/"&amp;2558676, 2558676)</f>
        <v>2558676</v>
      </c>
      <c r="D1513" s="2" t="s">
        <v>4306</v>
      </c>
      <c r="E1513" s="2" t="s">
        <v>4307</v>
      </c>
      <c r="F1513" s="2" t="s">
        <v>4308</v>
      </c>
      <c r="G1513" s="2" t="s">
        <v>268</v>
      </c>
      <c r="H1513" s="2" t="s">
        <v>430</v>
      </c>
      <c r="I1513" s="2" t="s">
        <v>89</v>
      </c>
      <c r="J1513" s="2" t="s">
        <v>66</v>
      </c>
      <c r="K1513" s="2" t="s">
        <v>38</v>
      </c>
      <c r="L1513" s="2" t="s">
        <v>38</v>
      </c>
      <c r="M1513" s="2" t="s">
        <v>39</v>
      </c>
      <c r="N1513" s="2" t="s">
        <v>39</v>
      </c>
      <c r="O1513" s="2" t="s">
        <v>38</v>
      </c>
      <c r="P1513" s="2" t="s">
        <v>38</v>
      </c>
      <c r="Q1513" s="2" t="s">
        <v>38</v>
      </c>
      <c r="R1513" s="2" t="s">
        <v>38</v>
      </c>
      <c r="S1513" s="2" t="s">
        <v>39</v>
      </c>
      <c r="T1513" s="2" t="s">
        <v>39</v>
      </c>
      <c r="U1513" s="2" t="s">
        <v>38</v>
      </c>
      <c r="V1513" s="2" t="s">
        <v>39</v>
      </c>
      <c r="W1513" s="2" t="s">
        <v>38</v>
      </c>
      <c r="X1513" s="2" t="s">
        <v>39</v>
      </c>
      <c r="Y1513" s="2" t="s">
        <v>38</v>
      </c>
      <c r="Z1513" s="2" t="s">
        <v>39</v>
      </c>
      <c r="AA1513" s="2" t="s">
        <v>38</v>
      </c>
      <c r="AB1513" s="2" t="s">
        <v>39</v>
      </c>
      <c r="AC1513" s="2" t="s">
        <v>38</v>
      </c>
      <c r="AD1513" s="2" t="s">
        <v>38</v>
      </c>
      <c r="AE1513" s="2" t="s">
        <v>39</v>
      </c>
    </row>
    <row r="1514" spans="1:31" ht="409.5">
      <c r="A1514" s="2">
        <v>2558668</v>
      </c>
      <c r="B1514" s="2">
        <f>HYPERLINK("https://platform.v2.vetology.net/cases/2558668/screening-report/18?type=pdf&amp;v=v6&amp;scorecard=1&amp;secret_key=BX%25IJ%24%2F65ieZ%29f6", 2558668)</f>
        <v>2558668</v>
      </c>
      <c r="C1514" s="2">
        <f>HYPERLINK("https://platform.v2.vetology.net/report/v/final/"&amp;2558668, 2558668)</f>
        <v>2558668</v>
      </c>
      <c r="D1514" s="2" t="s">
        <v>4309</v>
      </c>
      <c r="E1514" s="2" t="s">
        <v>4310</v>
      </c>
      <c r="F1514" s="2" t="s">
        <v>4311</v>
      </c>
      <c r="G1514" s="2" t="s">
        <v>268</v>
      </c>
      <c r="H1514" s="2" t="s">
        <v>54</v>
      </c>
      <c r="I1514" s="2" t="s">
        <v>44</v>
      </c>
      <c r="J1514" s="2" t="s">
        <v>106</v>
      </c>
      <c r="K1514" s="2" t="s">
        <v>38</v>
      </c>
      <c r="L1514" s="2" t="s">
        <v>38</v>
      </c>
      <c r="M1514" s="2" t="s">
        <v>39</v>
      </c>
      <c r="N1514" s="2" t="s">
        <v>38</v>
      </c>
      <c r="O1514" s="2" t="s">
        <v>38</v>
      </c>
      <c r="P1514" s="2" t="s">
        <v>38</v>
      </c>
      <c r="Q1514" s="2" t="s">
        <v>38</v>
      </c>
      <c r="R1514" s="2" t="s">
        <v>38</v>
      </c>
      <c r="S1514" s="2" t="s">
        <v>38</v>
      </c>
      <c r="T1514" s="2" t="s">
        <v>38</v>
      </c>
      <c r="U1514" s="2" t="s">
        <v>38</v>
      </c>
      <c r="V1514" s="2" t="s">
        <v>38</v>
      </c>
      <c r="W1514" s="2" t="s">
        <v>38</v>
      </c>
      <c r="X1514" s="2" t="s">
        <v>38</v>
      </c>
      <c r="Y1514" s="2" t="s">
        <v>38</v>
      </c>
      <c r="Z1514" s="2" t="s">
        <v>38</v>
      </c>
      <c r="AA1514" s="2" t="s">
        <v>38</v>
      </c>
      <c r="AB1514" s="2" t="s">
        <v>39</v>
      </c>
      <c r="AC1514" s="2" t="s">
        <v>38</v>
      </c>
      <c r="AD1514" s="2" t="s">
        <v>38</v>
      </c>
      <c r="AE1514" s="2" t="s">
        <v>38</v>
      </c>
    </row>
    <row r="1515" spans="1:31" ht="409.5">
      <c r="A1515" s="2">
        <v>2558408</v>
      </c>
      <c r="B1515" s="2">
        <f>HYPERLINK("https://platform.v2.vetology.net/cases/2558408/screening-report/18?type=pdf&amp;v=v6&amp;scorecard=1&amp;secret_key=BX%25IJ%24%2F65ieZ%29f6", 2558408)</f>
        <v>2558408</v>
      </c>
      <c r="C1515" s="2">
        <f>HYPERLINK("https://platform.v2.vetology.net/report/v/final/"&amp;2558408, 2558408)</f>
        <v>2558408</v>
      </c>
      <c r="D1515" s="2" t="s">
        <v>4312</v>
      </c>
      <c r="E1515" s="2" t="s">
        <v>4313</v>
      </c>
      <c r="F1515" s="2" t="s">
        <v>4314</v>
      </c>
      <c r="G1515" s="2" t="s">
        <v>63</v>
      </c>
      <c r="H1515" s="2" t="s">
        <v>4315</v>
      </c>
      <c r="I1515" s="2" t="s">
        <v>2067</v>
      </c>
      <c r="J1515" s="2" t="s">
        <v>66</v>
      </c>
      <c r="K1515" s="2" t="s">
        <v>38</v>
      </c>
      <c r="L1515" s="2" t="s">
        <v>38</v>
      </c>
      <c r="M1515" s="2" t="s">
        <v>38</v>
      </c>
      <c r="N1515" s="2" t="s">
        <v>39</v>
      </c>
      <c r="O1515" s="2" t="s">
        <v>38</v>
      </c>
      <c r="P1515" s="2" t="s">
        <v>39</v>
      </c>
      <c r="Q1515" s="2" t="s">
        <v>38</v>
      </c>
      <c r="R1515" s="2" t="s">
        <v>38</v>
      </c>
      <c r="S1515" s="2" t="s">
        <v>38</v>
      </c>
      <c r="T1515" s="2" t="s">
        <v>38</v>
      </c>
      <c r="U1515" s="2" t="s">
        <v>38</v>
      </c>
      <c r="V1515" s="2" t="s">
        <v>38</v>
      </c>
      <c r="W1515" s="2" t="s">
        <v>38</v>
      </c>
      <c r="X1515" s="2" t="s">
        <v>38</v>
      </c>
      <c r="Y1515" s="2" t="s">
        <v>38</v>
      </c>
      <c r="Z1515" s="2" t="s">
        <v>38</v>
      </c>
      <c r="AA1515" s="2" t="s">
        <v>38</v>
      </c>
      <c r="AB1515" s="2" t="s">
        <v>39</v>
      </c>
      <c r="AC1515" s="2" t="s">
        <v>38</v>
      </c>
      <c r="AD1515" s="2" t="s">
        <v>38</v>
      </c>
      <c r="AE1515" s="2" t="s">
        <v>38</v>
      </c>
    </row>
    <row r="1516" spans="1:31" ht="409.5">
      <c r="A1516" s="2">
        <v>2557469</v>
      </c>
      <c r="B1516" s="2">
        <f>HYPERLINK("https://platform.v2.vetology.net/cases/2557469/screening-report/18?type=pdf&amp;v=v6&amp;scorecard=1&amp;secret_key=BX%25IJ%24%2F65ieZ%29f6", 2557469)</f>
        <v>2557469</v>
      </c>
      <c r="C1516" s="2">
        <f>HYPERLINK("https://platform.v2.vetology.net/report/v/final/"&amp;2557469, 2557469)</f>
        <v>2557469</v>
      </c>
      <c r="D1516" s="2" t="s">
        <v>4316</v>
      </c>
      <c r="E1516" s="2" t="s">
        <v>4317</v>
      </c>
      <c r="F1516" s="2" t="s">
        <v>4318</v>
      </c>
      <c r="G1516" s="2" t="s">
        <v>464</v>
      </c>
      <c r="H1516" s="2" t="s">
        <v>4319</v>
      </c>
      <c r="I1516" s="2" t="s">
        <v>4320</v>
      </c>
      <c r="J1516" s="2" t="s">
        <v>313</v>
      </c>
      <c r="K1516" s="2" t="s">
        <v>38</v>
      </c>
      <c r="L1516" s="2" t="s">
        <v>39</v>
      </c>
      <c r="M1516" s="2" t="s">
        <v>39</v>
      </c>
      <c r="N1516" s="2" t="s">
        <v>38</v>
      </c>
      <c r="O1516" s="2" t="s">
        <v>38</v>
      </c>
      <c r="P1516" s="2" t="s">
        <v>38</v>
      </c>
      <c r="Q1516" s="2" t="s">
        <v>38</v>
      </c>
      <c r="R1516" s="2" t="s">
        <v>38</v>
      </c>
      <c r="S1516" s="2" t="s">
        <v>39</v>
      </c>
      <c r="T1516" s="2" t="s">
        <v>38</v>
      </c>
      <c r="U1516" s="2" t="s">
        <v>38</v>
      </c>
      <c r="V1516" s="2" t="s">
        <v>38</v>
      </c>
      <c r="W1516" s="2" t="s">
        <v>38</v>
      </c>
      <c r="X1516" s="2" t="s">
        <v>38</v>
      </c>
      <c r="Y1516" s="2" t="s">
        <v>38</v>
      </c>
      <c r="Z1516" s="2" t="s">
        <v>38</v>
      </c>
      <c r="AA1516" s="2" t="s">
        <v>38</v>
      </c>
      <c r="AB1516" s="2" t="s">
        <v>39</v>
      </c>
      <c r="AC1516" s="2" t="s">
        <v>38</v>
      </c>
      <c r="AD1516" s="2" t="s">
        <v>38</v>
      </c>
      <c r="AE1516" s="2" t="s">
        <v>38</v>
      </c>
    </row>
    <row r="1517" spans="1:31" ht="409.5">
      <c r="A1517" s="2">
        <v>2557334</v>
      </c>
      <c r="B1517" s="2">
        <f>HYPERLINK("https://platform.v2.vetology.net/cases/2557334/screening-report/18?type=pdf&amp;v=v6&amp;scorecard=1&amp;secret_key=BX%25IJ%24%2F65ieZ%29f6", 2557334)</f>
        <v>2557334</v>
      </c>
      <c r="C1517" s="2">
        <f>HYPERLINK("https://platform.v2.vetology.net/report/v/final/"&amp;2557334, 2557334)</f>
        <v>2557334</v>
      </c>
      <c r="D1517" s="2" t="s">
        <v>4321</v>
      </c>
      <c r="E1517" s="2" t="s">
        <v>4322</v>
      </c>
      <c r="F1517" s="2" t="s">
        <v>4323</v>
      </c>
      <c r="G1517" s="2" t="s">
        <v>550</v>
      </c>
      <c r="H1517" s="2" t="s">
        <v>442</v>
      </c>
      <c r="I1517" s="2" t="s">
        <v>36</v>
      </c>
      <c r="J1517" s="2" t="s">
        <v>37</v>
      </c>
      <c r="K1517" s="2" t="s">
        <v>38</v>
      </c>
      <c r="L1517" s="2" t="s">
        <v>38</v>
      </c>
      <c r="M1517" s="2" t="s">
        <v>38</v>
      </c>
      <c r="N1517" s="2" t="s">
        <v>38</v>
      </c>
      <c r="O1517" s="2" t="s">
        <v>38</v>
      </c>
      <c r="P1517" s="2" t="s">
        <v>38</v>
      </c>
      <c r="Q1517" s="2" t="s">
        <v>38</v>
      </c>
      <c r="R1517" s="2" t="s">
        <v>38</v>
      </c>
      <c r="S1517" s="2" t="s">
        <v>38</v>
      </c>
      <c r="T1517" s="2" t="s">
        <v>39</v>
      </c>
      <c r="U1517" s="2" t="s">
        <v>38</v>
      </c>
      <c r="V1517" s="2" t="s">
        <v>38</v>
      </c>
      <c r="W1517" s="2" t="s">
        <v>38</v>
      </c>
      <c r="X1517" s="2" t="s">
        <v>39</v>
      </c>
      <c r="Y1517" s="2" t="s">
        <v>38</v>
      </c>
      <c r="Z1517" s="2" t="s">
        <v>38</v>
      </c>
      <c r="AA1517" s="2" t="s">
        <v>38</v>
      </c>
      <c r="AB1517" s="2" t="s">
        <v>38</v>
      </c>
      <c r="AC1517" s="2" t="s">
        <v>38</v>
      </c>
      <c r="AD1517" s="2" t="s">
        <v>38</v>
      </c>
      <c r="AE1517" s="2" t="s">
        <v>38</v>
      </c>
    </row>
    <row r="1518" spans="1:31" ht="409.5">
      <c r="A1518" s="2">
        <v>2557121</v>
      </c>
      <c r="B1518" s="2">
        <f>HYPERLINK("https://platform.v2.vetology.net/cases/2557121/screening-report/18?type=pdf&amp;v=v6&amp;scorecard=1&amp;secret_key=BX%25IJ%24%2F65ieZ%29f6", 2557121)</f>
        <v>2557121</v>
      </c>
      <c r="C1518" s="2">
        <f>HYPERLINK("https://platform.v2.vetology.net/report/v/final/"&amp;2557121, 2557121)</f>
        <v>2557121</v>
      </c>
      <c r="D1518" s="2" t="s">
        <v>4324</v>
      </c>
      <c r="E1518" s="2" t="s">
        <v>4325</v>
      </c>
      <c r="F1518" s="2" t="s">
        <v>81</v>
      </c>
      <c r="G1518" s="2" t="s">
        <v>82</v>
      </c>
      <c r="H1518" s="2" t="s">
        <v>54</v>
      </c>
      <c r="I1518" s="2" t="s">
        <v>44</v>
      </c>
      <c r="J1518" s="2"/>
      <c r="K1518" s="2" t="s">
        <v>38</v>
      </c>
      <c r="L1518" s="2" t="s">
        <v>39</v>
      </c>
      <c r="M1518" s="2" t="s">
        <v>39</v>
      </c>
      <c r="N1518" s="2" t="s">
        <v>38</v>
      </c>
      <c r="O1518" s="2" t="s">
        <v>38</v>
      </c>
      <c r="P1518" s="2" t="s">
        <v>38</v>
      </c>
      <c r="Q1518" s="2" t="s">
        <v>38</v>
      </c>
      <c r="R1518" s="2" t="s">
        <v>38</v>
      </c>
      <c r="S1518" s="2" t="s">
        <v>38</v>
      </c>
      <c r="T1518" s="2" t="s">
        <v>38</v>
      </c>
      <c r="U1518" s="2" t="s">
        <v>38</v>
      </c>
      <c r="V1518" s="2" t="s">
        <v>38</v>
      </c>
      <c r="W1518" s="2" t="s">
        <v>38</v>
      </c>
      <c r="X1518" s="2" t="s">
        <v>38</v>
      </c>
      <c r="Y1518" s="2" t="s">
        <v>38</v>
      </c>
      <c r="Z1518" s="2" t="s">
        <v>38</v>
      </c>
      <c r="AA1518" s="2" t="s">
        <v>38</v>
      </c>
      <c r="AB1518" s="2" t="s">
        <v>39</v>
      </c>
      <c r="AC1518" s="2" t="s">
        <v>38</v>
      </c>
      <c r="AD1518" s="2" t="s">
        <v>38</v>
      </c>
      <c r="AE1518" s="2" t="s">
        <v>38</v>
      </c>
    </row>
    <row r="1519" spans="1:31" ht="409.5">
      <c r="A1519" s="2">
        <v>2557118</v>
      </c>
      <c r="B1519" s="2">
        <f>HYPERLINK("https://platform.v2.vetology.net/cases/2557118/screening-report/18?type=pdf&amp;v=v6&amp;scorecard=1&amp;secret_key=BX%25IJ%24%2F65ieZ%29f6", 2557118)</f>
        <v>2557118</v>
      </c>
      <c r="C1519" s="2">
        <f>HYPERLINK("https://platform.v2.vetology.net/report/v/final/"&amp;2557118, 2557118)</f>
        <v>2557118</v>
      </c>
      <c r="D1519" s="2" t="s">
        <v>4326</v>
      </c>
      <c r="E1519" s="2" t="s">
        <v>4327</v>
      </c>
      <c r="F1519" s="2" t="s">
        <v>81</v>
      </c>
      <c r="G1519" s="2" t="s">
        <v>268</v>
      </c>
      <c r="H1519" s="2" t="s">
        <v>607</v>
      </c>
      <c r="I1519" s="2" t="s">
        <v>137</v>
      </c>
      <c r="J1519" s="2" t="s">
        <v>66</v>
      </c>
      <c r="K1519" s="2" t="s">
        <v>38</v>
      </c>
      <c r="L1519" s="2" t="s">
        <v>38</v>
      </c>
      <c r="M1519" s="2" t="s">
        <v>38</v>
      </c>
      <c r="N1519" s="2" t="s">
        <v>38</v>
      </c>
      <c r="O1519" s="2" t="s">
        <v>38</v>
      </c>
      <c r="P1519" s="2" t="s">
        <v>38</v>
      </c>
      <c r="Q1519" s="2" t="s">
        <v>38</v>
      </c>
      <c r="R1519" s="2" t="s">
        <v>38</v>
      </c>
      <c r="S1519" s="2" t="s">
        <v>38</v>
      </c>
      <c r="T1519" s="2" t="s">
        <v>38</v>
      </c>
      <c r="U1519" s="2" t="s">
        <v>38</v>
      </c>
      <c r="V1519" s="2" t="s">
        <v>38</v>
      </c>
      <c r="W1519" s="2" t="s">
        <v>38</v>
      </c>
      <c r="X1519" s="2" t="s">
        <v>38</v>
      </c>
      <c r="Y1519" s="2" t="s">
        <v>38</v>
      </c>
      <c r="Z1519" s="2" t="s">
        <v>39</v>
      </c>
      <c r="AA1519" s="2" t="s">
        <v>38</v>
      </c>
      <c r="AB1519" s="2" t="s">
        <v>38</v>
      </c>
      <c r="AC1519" s="2" t="s">
        <v>38</v>
      </c>
      <c r="AD1519" s="2" t="s">
        <v>38</v>
      </c>
      <c r="AE1519" s="2" t="s">
        <v>38</v>
      </c>
    </row>
    <row r="1520" spans="1:31" ht="409.5">
      <c r="A1520" s="2">
        <v>2557092</v>
      </c>
      <c r="B1520" s="2">
        <f>HYPERLINK("https://platform.v2.vetology.net/cases/2557092/screening-report/18?type=pdf&amp;v=v6&amp;scorecard=1&amp;secret_key=BX%25IJ%24%2F65ieZ%29f6", 2557092)</f>
        <v>2557092</v>
      </c>
      <c r="C1520" s="2">
        <f>HYPERLINK("https://platform.v2.vetology.net/report/v/final/"&amp;2557092, 2557092)</f>
        <v>2557092</v>
      </c>
      <c r="D1520" s="2" t="s">
        <v>4328</v>
      </c>
      <c r="E1520" s="2" t="s">
        <v>4329</v>
      </c>
      <c r="F1520" s="2" t="s">
        <v>81</v>
      </c>
      <c r="G1520" s="2" t="s">
        <v>268</v>
      </c>
      <c r="H1520" s="2" t="s">
        <v>1287</v>
      </c>
      <c r="I1520" s="2" t="s">
        <v>158</v>
      </c>
      <c r="J1520" s="2" t="s">
        <v>50</v>
      </c>
      <c r="K1520" s="2" t="s">
        <v>38</v>
      </c>
      <c r="L1520" s="2" t="s">
        <v>39</v>
      </c>
      <c r="M1520" s="2" t="s">
        <v>39</v>
      </c>
      <c r="N1520" s="2" t="s">
        <v>38</v>
      </c>
      <c r="O1520" s="2" t="s">
        <v>38</v>
      </c>
      <c r="P1520" s="2" t="s">
        <v>38</v>
      </c>
      <c r="Q1520" s="2" t="s">
        <v>38</v>
      </c>
      <c r="R1520" s="2" t="s">
        <v>38</v>
      </c>
      <c r="S1520" s="2" t="s">
        <v>38</v>
      </c>
      <c r="T1520" s="2" t="s">
        <v>38</v>
      </c>
      <c r="U1520" s="2" t="s">
        <v>38</v>
      </c>
      <c r="V1520" s="2" t="s">
        <v>38</v>
      </c>
      <c r="W1520" s="2" t="s">
        <v>38</v>
      </c>
      <c r="X1520" s="2" t="s">
        <v>38</v>
      </c>
      <c r="Y1520" s="2" t="s">
        <v>38</v>
      </c>
      <c r="Z1520" s="2" t="s">
        <v>38</v>
      </c>
      <c r="AA1520" s="2" t="s">
        <v>38</v>
      </c>
      <c r="AB1520" s="2" t="s">
        <v>38</v>
      </c>
      <c r="AC1520" s="2" t="s">
        <v>38</v>
      </c>
      <c r="AD1520" s="2" t="s">
        <v>38</v>
      </c>
      <c r="AE1520" s="2" t="s">
        <v>38</v>
      </c>
    </row>
    <row r="1521" spans="1:31" ht="409.5">
      <c r="A1521" s="2">
        <v>2553035</v>
      </c>
      <c r="B1521" s="2">
        <f>HYPERLINK("https://platform.v2.vetology.net/cases/2553035/screening-report/18?type=pdf&amp;v=v6&amp;scorecard=1&amp;secret_key=BX%25IJ%24%2F65ieZ%29f6", 2553035)</f>
        <v>2553035</v>
      </c>
      <c r="C1521" s="2">
        <f>HYPERLINK("https://platform.v2.vetology.net/report/v/final/"&amp;2553035, 2553035)</f>
        <v>2553035</v>
      </c>
      <c r="D1521" s="2" t="s">
        <v>4330</v>
      </c>
      <c r="E1521" s="2" t="s">
        <v>4331</v>
      </c>
      <c r="F1521" s="2" t="s">
        <v>4332</v>
      </c>
      <c r="G1521" s="2" t="s">
        <v>464</v>
      </c>
      <c r="H1521" s="2" t="s">
        <v>54</v>
      </c>
      <c r="I1521" s="2" t="s">
        <v>44</v>
      </c>
      <c r="J1521" s="2" t="s">
        <v>106</v>
      </c>
      <c r="K1521" s="2" t="s">
        <v>38</v>
      </c>
      <c r="L1521" s="2" t="s">
        <v>39</v>
      </c>
      <c r="M1521" s="2" t="s">
        <v>39</v>
      </c>
      <c r="N1521" s="2" t="s">
        <v>38</v>
      </c>
      <c r="O1521" s="2" t="s">
        <v>38</v>
      </c>
      <c r="P1521" s="2" t="s">
        <v>39</v>
      </c>
      <c r="Q1521" s="2" t="s">
        <v>38</v>
      </c>
      <c r="R1521" s="2" t="s">
        <v>38</v>
      </c>
      <c r="S1521" s="2" t="s">
        <v>38</v>
      </c>
      <c r="T1521" s="2" t="s">
        <v>38</v>
      </c>
      <c r="U1521" s="2" t="s">
        <v>38</v>
      </c>
      <c r="V1521" s="2" t="s">
        <v>38</v>
      </c>
      <c r="W1521" s="2" t="s">
        <v>38</v>
      </c>
      <c r="X1521" s="2" t="s">
        <v>38</v>
      </c>
      <c r="Y1521" s="2" t="s">
        <v>38</v>
      </c>
      <c r="Z1521" s="2" t="s">
        <v>38</v>
      </c>
      <c r="AA1521" s="2" t="s">
        <v>38</v>
      </c>
      <c r="AB1521" s="2" t="s">
        <v>39</v>
      </c>
      <c r="AC1521" s="2" t="s">
        <v>38</v>
      </c>
      <c r="AD1521" s="2" t="s">
        <v>38</v>
      </c>
      <c r="AE1521" s="2" t="s">
        <v>38</v>
      </c>
    </row>
    <row r="1522" spans="1:31" ht="409.5">
      <c r="A1522" s="2">
        <v>2552596</v>
      </c>
      <c r="B1522" s="2">
        <f>HYPERLINK("https://platform.v2.vetology.net/cases/2552596/screening-report/18?type=pdf&amp;v=v6&amp;scorecard=1&amp;secret_key=BX%25IJ%24%2F65ieZ%29f6", 2552596)</f>
        <v>2552596</v>
      </c>
      <c r="C1522" s="2">
        <f>HYPERLINK("https://platform.v2.vetology.net/report/v/final/"&amp;2552596, 2552596)</f>
        <v>2552596</v>
      </c>
      <c r="D1522" s="2" t="s">
        <v>4333</v>
      </c>
      <c r="E1522" s="2" t="s">
        <v>4334</v>
      </c>
      <c r="F1522" s="2" t="s">
        <v>4335</v>
      </c>
      <c r="G1522" s="2" t="s">
        <v>58</v>
      </c>
      <c r="H1522" s="2" t="s">
        <v>4336</v>
      </c>
      <c r="I1522" s="2" t="s">
        <v>290</v>
      </c>
      <c r="J1522" s="2" t="s">
        <v>66</v>
      </c>
      <c r="K1522" s="2" t="s">
        <v>38</v>
      </c>
      <c r="L1522" s="2" t="s">
        <v>38</v>
      </c>
      <c r="M1522" s="2" t="s">
        <v>38</v>
      </c>
      <c r="N1522" s="2" t="s">
        <v>38</v>
      </c>
      <c r="O1522" s="2" t="s">
        <v>38</v>
      </c>
      <c r="P1522" s="2" t="s">
        <v>38</v>
      </c>
      <c r="Q1522" s="2" t="s">
        <v>39</v>
      </c>
      <c r="R1522" s="2" t="s">
        <v>38</v>
      </c>
      <c r="S1522" s="2" t="s">
        <v>38</v>
      </c>
      <c r="T1522" s="2" t="s">
        <v>38</v>
      </c>
      <c r="U1522" s="2" t="s">
        <v>38</v>
      </c>
      <c r="V1522" s="2" t="s">
        <v>38</v>
      </c>
      <c r="W1522" s="2" t="s">
        <v>38</v>
      </c>
      <c r="X1522" s="2" t="s">
        <v>38</v>
      </c>
      <c r="Y1522" s="2" t="s">
        <v>38</v>
      </c>
      <c r="Z1522" s="2" t="s">
        <v>38</v>
      </c>
      <c r="AA1522" s="2" t="s">
        <v>39</v>
      </c>
      <c r="AB1522" s="2" t="s">
        <v>39</v>
      </c>
      <c r="AC1522" s="2" t="s">
        <v>39</v>
      </c>
      <c r="AD1522" s="2" t="s">
        <v>38</v>
      </c>
      <c r="AE1522" s="2" t="s">
        <v>38</v>
      </c>
    </row>
    <row r="1523" spans="1:31" ht="409.5">
      <c r="A1523" s="2">
        <v>2552492</v>
      </c>
      <c r="B1523" s="2">
        <f>HYPERLINK("https://platform.v2.vetology.net/cases/2552492/screening-report/18?type=pdf&amp;v=v6&amp;scorecard=1&amp;secret_key=BX%25IJ%24%2F65ieZ%29f6", 2552492)</f>
        <v>2552492</v>
      </c>
      <c r="C1523" s="2">
        <f>HYPERLINK("https://platform.v2.vetology.net/report/v/final/"&amp;2552492, 2552492)</f>
        <v>2552492</v>
      </c>
      <c r="D1523" s="2" t="s">
        <v>4337</v>
      </c>
      <c r="E1523" s="2" t="s">
        <v>4338</v>
      </c>
      <c r="F1523" s="2" t="s">
        <v>4339</v>
      </c>
      <c r="G1523" s="2" t="s">
        <v>575</v>
      </c>
      <c r="H1523" s="2" t="s">
        <v>1577</v>
      </c>
      <c r="I1523" s="2" t="s">
        <v>89</v>
      </c>
      <c r="J1523" s="2" t="s">
        <v>66</v>
      </c>
      <c r="K1523" s="2" t="s">
        <v>38</v>
      </c>
      <c r="L1523" s="2" t="s">
        <v>38</v>
      </c>
      <c r="M1523" s="2" t="s">
        <v>38</v>
      </c>
      <c r="N1523" s="2" t="s">
        <v>38</v>
      </c>
      <c r="O1523" s="2" t="s">
        <v>38</v>
      </c>
      <c r="P1523" s="2" t="s">
        <v>38</v>
      </c>
      <c r="Q1523" s="2" t="s">
        <v>38</v>
      </c>
      <c r="R1523" s="2" t="s">
        <v>38</v>
      </c>
      <c r="S1523" s="2" t="s">
        <v>38</v>
      </c>
      <c r="T1523" s="2" t="s">
        <v>39</v>
      </c>
      <c r="U1523" s="2" t="s">
        <v>38</v>
      </c>
      <c r="V1523" s="2" t="s">
        <v>38</v>
      </c>
      <c r="W1523" s="2" t="s">
        <v>38</v>
      </c>
      <c r="X1523" s="2" t="s">
        <v>38</v>
      </c>
      <c r="Y1523" s="2" t="s">
        <v>38</v>
      </c>
      <c r="Z1523" s="2" t="s">
        <v>38</v>
      </c>
      <c r="AA1523" s="2" t="s">
        <v>38</v>
      </c>
      <c r="AB1523" s="2" t="s">
        <v>38</v>
      </c>
      <c r="AC1523" s="2" t="s">
        <v>38</v>
      </c>
      <c r="AD1523" s="2" t="s">
        <v>38</v>
      </c>
      <c r="AE1523" s="2" t="s">
        <v>39</v>
      </c>
    </row>
    <row r="1524" spans="1:31" ht="409.5">
      <c r="A1524" s="2">
        <v>2551876</v>
      </c>
      <c r="B1524" s="2">
        <f>HYPERLINK("https://platform.v2.vetology.net/cases/2551876/screening-report/18?type=pdf&amp;v=v6&amp;scorecard=1&amp;secret_key=BX%25IJ%24%2F65ieZ%29f6", 2551876)</f>
        <v>2551876</v>
      </c>
      <c r="C1524" s="2">
        <f>HYPERLINK("https://platform.v2.vetology.net/report/v/final/"&amp;2551876, 2551876)</f>
        <v>2551876</v>
      </c>
      <c r="D1524" s="2" t="s">
        <v>4340</v>
      </c>
      <c r="E1524" s="2" t="s">
        <v>4341</v>
      </c>
      <c r="F1524" s="2" t="s">
        <v>4342</v>
      </c>
      <c r="G1524" s="2" t="s">
        <v>150</v>
      </c>
      <c r="H1524" s="2" t="s">
        <v>1084</v>
      </c>
      <c r="I1524" s="2" t="s">
        <v>1085</v>
      </c>
      <c r="J1524" s="2" t="s">
        <v>518</v>
      </c>
      <c r="K1524" s="2" t="s">
        <v>39</v>
      </c>
      <c r="L1524" s="2" t="s">
        <v>39</v>
      </c>
      <c r="M1524" s="2" t="s">
        <v>39</v>
      </c>
      <c r="N1524" s="2" t="s">
        <v>39</v>
      </c>
      <c r="O1524" s="2" t="s">
        <v>39</v>
      </c>
      <c r="P1524" s="2" t="s">
        <v>39</v>
      </c>
      <c r="Q1524" s="2" t="s">
        <v>38</v>
      </c>
      <c r="R1524" s="2" t="s">
        <v>39</v>
      </c>
      <c r="S1524" s="2" t="s">
        <v>39</v>
      </c>
      <c r="T1524" s="2" t="s">
        <v>39</v>
      </c>
      <c r="U1524" s="2" t="s">
        <v>39</v>
      </c>
      <c r="V1524" s="2" t="s">
        <v>39</v>
      </c>
      <c r="W1524" s="2" t="s">
        <v>39</v>
      </c>
      <c r="X1524" s="2" t="s">
        <v>39</v>
      </c>
      <c r="Y1524" s="2" t="s">
        <v>38</v>
      </c>
      <c r="Z1524" s="2" t="s">
        <v>39</v>
      </c>
      <c r="AA1524" s="2" t="s">
        <v>39</v>
      </c>
      <c r="AB1524" s="2" t="s">
        <v>39</v>
      </c>
      <c r="AC1524" s="2" t="s">
        <v>39</v>
      </c>
      <c r="AD1524" s="2" t="s">
        <v>38</v>
      </c>
      <c r="AE1524" s="2" t="s">
        <v>38</v>
      </c>
    </row>
    <row r="1525" spans="1:31" ht="409.5">
      <c r="A1525" s="2">
        <v>2551840</v>
      </c>
      <c r="B1525" s="2">
        <f>HYPERLINK("https://platform.v2.vetology.net/cases/2551840/screening-report/18?type=pdf&amp;v=v6&amp;scorecard=1&amp;secret_key=BX%25IJ%24%2F65ieZ%29f6", 2551840)</f>
        <v>2551840</v>
      </c>
      <c r="C1525" s="2">
        <f>HYPERLINK("https://platform.v2.vetology.net/report/v/final/"&amp;2551840, 2551840)</f>
        <v>2551840</v>
      </c>
      <c r="D1525" s="2" t="s">
        <v>4343</v>
      </c>
      <c r="E1525" s="2" t="s">
        <v>4344</v>
      </c>
      <c r="F1525" s="2" t="s">
        <v>4345</v>
      </c>
      <c r="G1525" s="2" t="s">
        <v>58</v>
      </c>
      <c r="H1525" s="2" t="s">
        <v>4346</v>
      </c>
      <c r="I1525" s="2" t="s">
        <v>460</v>
      </c>
      <c r="J1525" s="2" t="s">
        <v>66</v>
      </c>
      <c r="K1525" s="2" t="s">
        <v>38</v>
      </c>
      <c r="L1525" s="2" t="s">
        <v>39</v>
      </c>
      <c r="M1525" s="2" t="s">
        <v>39</v>
      </c>
      <c r="N1525" s="2" t="s">
        <v>38</v>
      </c>
      <c r="O1525" s="2" t="s">
        <v>38</v>
      </c>
      <c r="P1525" s="2" t="s">
        <v>39</v>
      </c>
      <c r="Q1525" s="2" t="s">
        <v>38</v>
      </c>
      <c r="R1525" s="2" t="s">
        <v>38</v>
      </c>
      <c r="S1525" s="2" t="s">
        <v>38</v>
      </c>
      <c r="T1525" s="2" t="s">
        <v>38</v>
      </c>
      <c r="U1525" s="2" t="s">
        <v>38</v>
      </c>
      <c r="V1525" s="2" t="s">
        <v>39</v>
      </c>
      <c r="W1525" s="2" t="s">
        <v>38</v>
      </c>
      <c r="X1525" s="2" t="s">
        <v>38</v>
      </c>
      <c r="Y1525" s="2" t="s">
        <v>38</v>
      </c>
      <c r="Z1525" s="2" t="s">
        <v>38</v>
      </c>
      <c r="AA1525" s="2" t="s">
        <v>38</v>
      </c>
      <c r="AB1525" s="2" t="s">
        <v>39</v>
      </c>
      <c r="AC1525" s="2" t="s">
        <v>39</v>
      </c>
      <c r="AD1525" s="2" t="s">
        <v>38</v>
      </c>
      <c r="AE1525" s="2" t="s">
        <v>39</v>
      </c>
    </row>
    <row r="1526" spans="1:31" ht="409.5">
      <c r="A1526" s="2">
        <v>2551771</v>
      </c>
      <c r="B1526" s="2">
        <f>HYPERLINK("https://platform.v2.vetology.net/cases/2551771/screening-report/18?type=pdf&amp;v=v6&amp;scorecard=1&amp;secret_key=BX%25IJ%24%2F65ieZ%29f6", 2551771)</f>
        <v>2551771</v>
      </c>
      <c r="C1526" s="2">
        <f>HYPERLINK("https://platform.v2.vetology.net/report/v/final/"&amp;2551771, 2551771)</f>
        <v>2551771</v>
      </c>
      <c r="D1526" s="2" t="s">
        <v>4347</v>
      </c>
      <c r="E1526" s="2" t="s">
        <v>4348</v>
      </c>
      <c r="F1526" s="2"/>
      <c r="G1526" s="2" t="s">
        <v>141</v>
      </c>
      <c r="H1526" s="2" t="s">
        <v>356</v>
      </c>
      <c r="I1526" s="2" t="s">
        <v>214</v>
      </c>
      <c r="J1526" s="2" t="s">
        <v>50</v>
      </c>
      <c r="K1526" s="2" t="s">
        <v>38</v>
      </c>
      <c r="L1526" s="2" t="s">
        <v>38</v>
      </c>
      <c r="M1526" s="2" t="s">
        <v>39</v>
      </c>
      <c r="N1526" s="2" t="s">
        <v>38</v>
      </c>
      <c r="O1526" s="2" t="s">
        <v>39</v>
      </c>
      <c r="P1526" s="2" t="s">
        <v>39</v>
      </c>
      <c r="Q1526" s="2" t="s">
        <v>38</v>
      </c>
      <c r="R1526" s="2" t="s">
        <v>38</v>
      </c>
      <c r="S1526" s="2" t="s">
        <v>38</v>
      </c>
      <c r="T1526" s="2" t="s">
        <v>39</v>
      </c>
      <c r="U1526" s="2" t="s">
        <v>39</v>
      </c>
      <c r="V1526" s="2" t="s">
        <v>38</v>
      </c>
      <c r="W1526" s="2" t="s">
        <v>38</v>
      </c>
      <c r="X1526" s="2" t="s">
        <v>38</v>
      </c>
      <c r="Y1526" s="2" t="s">
        <v>38</v>
      </c>
      <c r="Z1526" s="2" t="s">
        <v>39</v>
      </c>
      <c r="AA1526" s="2" t="s">
        <v>38</v>
      </c>
      <c r="AB1526" s="2" t="s">
        <v>39</v>
      </c>
      <c r="AC1526" s="2" t="s">
        <v>39</v>
      </c>
      <c r="AD1526" s="2" t="s">
        <v>38</v>
      </c>
      <c r="AE1526" s="2" t="s">
        <v>38</v>
      </c>
    </row>
    <row r="1527" spans="1:31" ht="409.5">
      <c r="A1527" s="2">
        <v>2551743</v>
      </c>
      <c r="B1527" s="2">
        <f>HYPERLINK("https://platform.v2.vetology.net/cases/2551743/screening-report/18?type=pdf&amp;v=v6&amp;scorecard=1&amp;secret_key=BX%25IJ%24%2F65ieZ%29f6", 2551743)</f>
        <v>2551743</v>
      </c>
      <c r="C1527" s="2">
        <f>HYPERLINK("https://platform.v2.vetology.net/report/v/final/"&amp;2551743, 2551743)</f>
        <v>2551743</v>
      </c>
      <c r="D1527" s="2" t="s">
        <v>4349</v>
      </c>
      <c r="E1527" s="2" t="s">
        <v>4350</v>
      </c>
      <c r="F1527" s="2" t="s">
        <v>4351</v>
      </c>
      <c r="G1527" s="2" t="s">
        <v>93</v>
      </c>
      <c r="H1527" s="2" t="s">
        <v>78</v>
      </c>
      <c r="I1527" s="2" t="s">
        <v>44</v>
      </c>
      <c r="J1527" s="2" t="s">
        <v>106</v>
      </c>
      <c r="K1527" s="2" t="s">
        <v>38</v>
      </c>
      <c r="L1527" s="2" t="s">
        <v>39</v>
      </c>
      <c r="M1527" s="2" t="s">
        <v>38</v>
      </c>
      <c r="N1527" s="2" t="s">
        <v>38</v>
      </c>
      <c r="O1527" s="2" t="s">
        <v>38</v>
      </c>
      <c r="P1527" s="2" t="s">
        <v>39</v>
      </c>
      <c r="Q1527" s="2" t="s">
        <v>38</v>
      </c>
      <c r="R1527" s="2" t="s">
        <v>38</v>
      </c>
      <c r="S1527" s="2" t="s">
        <v>38</v>
      </c>
      <c r="T1527" s="2" t="s">
        <v>38</v>
      </c>
      <c r="U1527" s="2" t="s">
        <v>38</v>
      </c>
      <c r="V1527" s="2" t="s">
        <v>38</v>
      </c>
      <c r="W1527" s="2" t="s">
        <v>38</v>
      </c>
      <c r="X1527" s="2" t="s">
        <v>38</v>
      </c>
      <c r="Y1527" s="2" t="s">
        <v>38</v>
      </c>
      <c r="Z1527" s="2" t="s">
        <v>38</v>
      </c>
      <c r="AA1527" s="2" t="s">
        <v>38</v>
      </c>
      <c r="AB1527" s="2" t="s">
        <v>39</v>
      </c>
      <c r="AC1527" s="2" t="s">
        <v>38</v>
      </c>
      <c r="AD1527" s="2" t="s">
        <v>38</v>
      </c>
      <c r="AE1527" s="2" t="s">
        <v>38</v>
      </c>
    </row>
    <row r="1528" spans="1:31" ht="409.5">
      <c r="A1528" s="2">
        <v>2551706</v>
      </c>
      <c r="B1528" s="2">
        <f>HYPERLINK("https://platform.v2.vetology.net/cases/2551706/screening-report/18?type=pdf&amp;v=v6&amp;scorecard=1&amp;secret_key=BX%25IJ%24%2F65ieZ%29f6", 2551706)</f>
        <v>2551706</v>
      </c>
      <c r="C1528" s="2">
        <f>HYPERLINK("https://platform.v2.vetology.net/report/v/final/"&amp;2551706, 2551706)</f>
        <v>2551706</v>
      </c>
      <c r="D1528" s="2" t="s">
        <v>4352</v>
      </c>
      <c r="E1528" s="2" t="s">
        <v>4353</v>
      </c>
      <c r="F1528" s="2" t="s">
        <v>81</v>
      </c>
      <c r="G1528" s="2" t="s">
        <v>82</v>
      </c>
      <c r="H1528" s="2" t="s">
        <v>4354</v>
      </c>
      <c r="I1528" s="2" t="s">
        <v>145</v>
      </c>
      <c r="J1528" s="2" t="s">
        <v>146</v>
      </c>
      <c r="K1528" s="2" t="s">
        <v>38</v>
      </c>
      <c r="L1528" s="2" t="s">
        <v>38</v>
      </c>
      <c r="M1528" s="2" t="s">
        <v>38</v>
      </c>
      <c r="N1528" s="2" t="s">
        <v>38</v>
      </c>
      <c r="O1528" s="2" t="s">
        <v>38</v>
      </c>
      <c r="P1528" s="2" t="s">
        <v>38</v>
      </c>
      <c r="Q1528" s="2" t="s">
        <v>38</v>
      </c>
      <c r="R1528" s="2" t="s">
        <v>38</v>
      </c>
      <c r="S1528" s="2" t="s">
        <v>38</v>
      </c>
      <c r="T1528" s="2" t="s">
        <v>39</v>
      </c>
      <c r="U1528" s="2" t="s">
        <v>38</v>
      </c>
      <c r="V1528" s="2" t="s">
        <v>39</v>
      </c>
      <c r="W1528" s="2" t="s">
        <v>38</v>
      </c>
      <c r="X1528" s="2" t="s">
        <v>39</v>
      </c>
      <c r="Y1528" s="2" t="s">
        <v>38</v>
      </c>
      <c r="Z1528" s="2" t="s">
        <v>38</v>
      </c>
      <c r="AA1528" s="2" t="s">
        <v>38</v>
      </c>
      <c r="AB1528" s="2" t="s">
        <v>39</v>
      </c>
      <c r="AC1528" s="2" t="s">
        <v>38</v>
      </c>
      <c r="AD1528" s="2" t="s">
        <v>38</v>
      </c>
      <c r="AE1528" s="2" t="s">
        <v>38</v>
      </c>
    </row>
    <row r="1529" spans="1:31" ht="409.5">
      <c r="A1529" s="2">
        <v>2551399</v>
      </c>
      <c r="B1529" s="2">
        <f>HYPERLINK("https://platform.v2.vetology.net/cases/2551399/screening-report/18?type=pdf&amp;v=v6&amp;scorecard=1&amp;secret_key=BX%25IJ%24%2F65ieZ%29f6", 2551399)</f>
        <v>2551399</v>
      </c>
      <c r="C1529" s="2">
        <f>HYPERLINK("https://platform.v2.vetology.net/report/v/final/"&amp;2551399, 2551399)</f>
        <v>2551399</v>
      </c>
      <c r="D1529" s="2" t="s">
        <v>4355</v>
      </c>
      <c r="E1529" s="2" t="s">
        <v>4356</v>
      </c>
      <c r="F1529" s="2" t="s">
        <v>81</v>
      </c>
      <c r="G1529" s="2" t="s">
        <v>268</v>
      </c>
      <c r="H1529" s="2" t="s">
        <v>54</v>
      </c>
      <c r="I1529" s="2" t="s">
        <v>44</v>
      </c>
      <c r="J1529" s="2"/>
      <c r="K1529" s="2" t="s">
        <v>38</v>
      </c>
      <c r="L1529" s="2" t="s">
        <v>39</v>
      </c>
      <c r="M1529" s="2" t="s">
        <v>39</v>
      </c>
      <c r="N1529" s="2" t="s">
        <v>38</v>
      </c>
      <c r="O1529" s="2" t="s">
        <v>38</v>
      </c>
      <c r="P1529" s="2" t="s">
        <v>38</v>
      </c>
      <c r="Q1529" s="2" t="s">
        <v>38</v>
      </c>
      <c r="R1529" s="2" t="s">
        <v>38</v>
      </c>
      <c r="S1529" s="2" t="s">
        <v>38</v>
      </c>
      <c r="T1529" s="2" t="s">
        <v>39</v>
      </c>
      <c r="U1529" s="2" t="s">
        <v>38</v>
      </c>
      <c r="V1529" s="2" t="s">
        <v>39</v>
      </c>
      <c r="W1529" s="2" t="s">
        <v>38</v>
      </c>
      <c r="X1529" s="2" t="s">
        <v>39</v>
      </c>
      <c r="Y1529" s="2" t="s">
        <v>38</v>
      </c>
      <c r="Z1529" s="2" t="s">
        <v>39</v>
      </c>
      <c r="AA1529" s="2" t="s">
        <v>38</v>
      </c>
      <c r="AB1529" s="2" t="s">
        <v>39</v>
      </c>
      <c r="AC1529" s="2" t="s">
        <v>38</v>
      </c>
      <c r="AD1529" s="2" t="s">
        <v>38</v>
      </c>
      <c r="AE1529" s="2" t="s">
        <v>38</v>
      </c>
    </row>
    <row r="1530" spans="1:31" ht="409.5">
      <c r="A1530" s="2">
        <v>2551177</v>
      </c>
      <c r="B1530" s="2">
        <f>HYPERLINK("https://platform.v2.vetology.net/cases/2551177/screening-report/18?type=pdf&amp;v=v6&amp;scorecard=1&amp;secret_key=BX%25IJ%24%2F65ieZ%29f6", 2551177)</f>
        <v>2551177</v>
      </c>
      <c r="C1530" s="2">
        <f>HYPERLINK("https://platform.v2.vetology.net/report/v/final/"&amp;2551177, 2551177)</f>
        <v>2551177</v>
      </c>
      <c r="D1530" s="2" t="s">
        <v>4357</v>
      </c>
      <c r="E1530" s="2" t="s">
        <v>4358</v>
      </c>
      <c r="F1530" s="2" t="s">
        <v>4359</v>
      </c>
      <c r="G1530" s="2" t="s">
        <v>268</v>
      </c>
      <c r="H1530" s="2" t="s">
        <v>88</v>
      </c>
      <c r="I1530" s="2" t="s">
        <v>89</v>
      </c>
      <c r="J1530" s="2" t="s">
        <v>66</v>
      </c>
      <c r="K1530" s="2" t="s">
        <v>38</v>
      </c>
      <c r="L1530" s="2" t="s">
        <v>38</v>
      </c>
      <c r="M1530" s="2" t="s">
        <v>38</v>
      </c>
      <c r="N1530" s="2" t="s">
        <v>38</v>
      </c>
      <c r="O1530" s="2" t="s">
        <v>38</v>
      </c>
      <c r="P1530" s="2" t="s">
        <v>38</v>
      </c>
      <c r="Q1530" s="2" t="s">
        <v>38</v>
      </c>
      <c r="R1530" s="2" t="s">
        <v>38</v>
      </c>
      <c r="S1530" s="2" t="s">
        <v>38</v>
      </c>
      <c r="T1530" s="2" t="s">
        <v>38</v>
      </c>
      <c r="U1530" s="2" t="s">
        <v>38</v>
      </c>
      <c r="V1530" s="2" t="s">
        <v>38</v>
      </c>
      <c r="W1530" s="2" t="s">
        <v>38</v>
      </c>
      <c r="X1530" s="2" t="s">
        <v>38</v>
      </c>
      <c r="Y1530" s="2" t="s">
        <v>38</v>
      </c>
      <c r="Z1530" s="2" t="s">
        <v>38</v>
      </c>
      <c r="AA1530" s="2" t="s">
        <v>38</v>
      </c>
      <c r="AB1530" s="2" t="s">
        <v>38</v>
      </c>
      <c r="AC1530" s="2" t="s">
        <v>38</v>
      </c>
      <c r="AD1530" s="2" t="s">
        <v>38</v>
      </c>
      <c r="AE1530" s="2" t="s">
        <v>39</v>
      </c>
    </row>
    <row r="1531" spans="1:31" ht="409.5">
      <c r="A1531" s="2">
        <v>2551003</v>
      </c>
      <c r="B1531" s="2">
        <f>HYPERLINK("https://platform.v2.vetology.net/cases/2551003/screening-report/18?type=pdf&amp;v=v6&amp;scorecard=1&amp;secret_key=BX%25IJ%24%2F65ieZ%29f6", 2551003)</f>
        <v>2551003</v>
      </c>
      <c r="C1531" s="2">
        <f>HYPERLINK("https://platform.v2.vetology.net/report/v/final/"&amp;2551003, 2551003)</f>
        <v>2551003</v>
      </c>
      <c r="D1531" s="2" t="s">
        <v>4360</v>
      </c>
      <c r="E1531" s="2" t="s">
        <v>4361</v>
      </c>
      <c r="F1531" s="2" t="s">
        <v>4362</v>
      </c>
      <c r="G1531" s="2" t="s">
        <v>575</v>
      </c>
      <c r="H1531" s="2" t="s">
        <v>723</v>
      </c>
      <c r="I1531" s="2" t="s">
        <v>44</v>
      </c>
      <c r="J1531" s="2"/>
      <c r="K1531" s="2" t="s">
        <v>38</v>
      </c>
      <c r="L1531" s="2" t="s">
        <v>38</v>
      </c>
      <c r="M1531" s="2" t="s">
        <v>39</v>
      </c>
      <c r="N1531" s="2" t="s">
        <v>38</v>
      </c>
      <c r="O1531" s="2" t="s">
        <v>38</v>
      </c>
      <c r="P1531" s="2" t="s">
        <v>38</v>
      </c>
      <c r="Q1531" s="2" t="s">
        <v>38</v>
      </c>
      <c r="R1531" s="2" t="s">
        <v>38</v>
      </c>
      <c r="S1531" s="2" t="s">
        <v>38</v>
      </c>
      <c r="T1531" s="2" t="s">
        <v>39</v>
      </c>
      <c r="U1531" s="2" t="s">
        <v>38</v>
      </c>
      <c r="V1531" s="2" t="s">
        <v>39</v>
      </c>
      <c r="W1531" s="2" t="s">
        <v>38</v>
      </c>
      <c r="X1531" s="2" t="s">
        <v>39</v>
      </c>
      <c r="Y1531" s="2" t="s">
        <v>38</v>
      </c>
      <c r="Z1531" s="2" t="s">
        <v>38</v>
      </c>
      <c r="AA1531" s="2" t="s">
        <v>38</v>
      </c>
      <c r="AB1531" s="2" t="s">
        <v>38</v>
      </c>
      <c r="AC1531" s="2" t="s">
        <v>38</v>
      </c>
      <c r="AD1531" s="2" t="s">
        <v>38</v>
      </c>
      <c r="AE1531" s="2" t="s">
        <v>38</v>
      </c>
    </row>
    <row r="1532" spans="1:31" ht="409.5">
      <c r="A1532" s="2">
        <v>2550929</v>
      </c>
      <c r="B1532" s="2">
        <f>HYPERLINK("https://platform.v2.vetology.net/cases/2550929/screening-report/18?type=pdf&amp;v=v6&amp;scorecard=1&amp;secret_key=BX%25IJ%24%2F65ieZ%29f6", 2550929)</f>
        <v>2550929</v>
      </c>
      <c r="C1532" s="2">
        <f>HYPERLINK("https://platform.v2.vetology.net/report/v/final/"&amp;2550929, 2550929)</f>
        <v>2550929</v>
      </c>
      <c r="D1532" s="2" t="s">
        <v>4363</v>
      </c>
      <c r="E1532" s="2" t="s">
        <v>4364</v>
      </c>
      <c r="F1532" s="2" t="s">
        <v>4365</v>
      </c>
      <c r="G1532" s="2" t="s">
        <v>58</v>
      </c>
      <c r="H1532" s="2" t="s">
        <v>54</v>
      </c>
      <c r="I1532" s="2" t="s">
        <v>44</v>
      </c>
      <c r="J1532" s="2" t="s">
        <v>106</v>
      </c>
      <c r="K1532" s="2" t="s">
        <v>38</v>
      </c>
      <c r="L1532" s="2" t="s">
        <v>38</v>
      </c>
      <c r="M1532" s="2" t="s">
        <v>39</v>
      </c>
      <c r="N1532" s="2" t="s">
        <v>38</v>
      </c>
      <c r="O1532" s="2" t="s">
        <v>38</v>
      </c>
      <c r="P1532" s="2" t="s">
        <v>39</v>
      </c>
      <c r="Q1532" s="2" t="s">
        <v>38</v>
      </c>
      <c r="R1532" s="2" t="s">
        <v>38</v>
      </c>
      <c r="S1532" s="2" t="s">
        <v>39</v>
      </c>
      <c r="T1532" s="2" t="s">
        <v>38</v>
      </c>
      <c r="U1532" s="2" t="s">
        <v>38</v>
      </c>
      <c r="V1532" s="2" t="s">
        <v>38</v>
      </c>
      <c r="W1532" s="2" t="s">
        <v>38</v>
      </c>
      <c r="X1532" s="2" t="s">
        <v>39</v>
      </c>
      <c r="Y1532" s="2" t="s">
        <v>38</v>
      </c>
      <c r="Z1532" s="2" t="s">
        <v>39</v>
      </c>
      <c r="AA1532" s="2" t="s">
        <v>38</v>
      </c>
      <c r="AB1532" s="2" t="s">
        <v>39</v>
      </c>
      <c r="AC1532" s="2" t="s">
        <v>38</v>
      </c>
      <c r="AD1532" s="2" t="s">
        <v>38</v>
      </c>
      <c r="AE1532" s="2" t="s">
        <v>38</v>
      </c>
    </row>
    <row r="1533" spans="1:31" ht="409.5">
      <c r="A1533" s="2">
        <v>2550815</v>
      </c>
      <c r="B1533" s="2">
        <f>HYPERLINK("https://platform.v2.vetology.net/cases/2550815/screening-report/18?type=pdf&amp;v=v6&amp;scorecard=1&amp;secret_key=BX%25IJ%24%2F65ieZ%29f6", 2550815)</f>
        <v>2550815</v>
      </c>
      <c r="C1533" s="2">
        <f>HYPERLINK("https://platform.v2.vetology.net/report/v/final/"&amp;2550815, 2550815)</f>
        <v>2550815</v>
      </c>
      <c r="D1533" s="2" t="s">
        <v>4366</v>
      </c>
      <c r="E1533" s="2" t="s">
        <v>4367</v>
      </c>
      <c r="F1533" s="2" t="s">
        <v>4368</v>
      </c>
      <c r="G1533" s="2" t="s">
        <v>58</v>
      </c>
      <c r="H1533" s="2" t="s">
        <v>4369</v>
      </c>
      <c r="I1533" s="2" t="s">
        <v>418</v>
      </c>
      <c r="J1533" s="2" t="s">
        <v>419</v>
      </c>
      <c r="K1533" s="2" t="s">
        <v>38</v>
      </c>
      <c r="L1533" s="2" t="s">
        <v>39</v>
      </c>
      <c r="M1533" s="2" t="s">
        <v>39</v>
      </c>
      <c r="N1533" s="2" t="s">
        <v>38</v>
      </c>
      <c r="O1533" s="2" t="s">
        <v>39</v>
      </c>
      <c r="P1533" s="2" t="s">
        <v>39</v>
      </c>
      <c r="Q1533" s="2" t="s">
        <v>38</v>
      </c>
      <c r="R1533" s="2" t="s">
        <v>38</v>
      </c>
      <c r="S1533" s="2" t="s">
        <v>38</v>
      </c>
      <c r="T1533" s="2" t="s">
        <v>39</v>
      </c>
      <c r="U1533" s="2" t="s">
        <v>38</v>
      </c>
      <c r="V1533" s="2" t="s">
        <v>38</v>
      </c>
      <c r="W1533" s="2" t="s">
        <v>38</v>
      </c>
      <c r="X1533" s="2" t="s">
        <v>38</v>
      </c>
      <c r="Y1533" s="2" t="s">
        <v>38</v>
      </c>
      <c r="Z1533" s="2" t="s">
        <v>38</v>
      </c>
      <c r="AA1533" s="2" t="s">
        <v>38</v>
      </c>
      <c r="AB1533" s="2" t="s">
        <v>38</v>
      </c>
      <c r="AC1533" s="2" t="s">
        <v>39</v>
      </c>
      <c r="AD1533" s="2" t="s">
        <v>38</v>
      </c>
      <c r="AE1533" s="2" t="s">
        <v>38</v>
      </c>
    </row>
    <row r="1534" spans="1:31" ht="409.5">
      <c r="A1534" s="2">
        <v>2550776</v>
      </c>
      <c r="B1534" s="2">
        <f>HYPERLINK("https://platform.v2.vetology.net/cases/2550776/screening-report/18?type=pdf&amp;v=v6&amp;scorecard=1&amp;secret_key=BX%25IJ%24%2F65ieZ%29f6", 2550776)</f>
        <v>2550776</v>
      </c>
      <c r="C1534" s="2">
        <f>HYPERLINK("https://platform.v2.vetology.net/report/v/final/"&amp;2550776, 2550776)</f>
        <v>2550776</v>
      </c>
      <c r="D1534" s="2" t="s">
        <v>4370</v>
      </c>
      <c r="E1534" s="2" t="s">
        <v>4371</v>
      </c>
      <c r="F1534" s="2" t="s">
        <v>4372</v>
      </c>
      <c r="G1534" s="2" t="s">
        <v>464</v>
      </c>
      <c r="H1534" s="2" t="s">
        <v>339</v>
      </c>
      <c r="I1534" s="2" t="s">
        <v>124</v>
      </c>
      <c r="J1534" s="2" t="s">
        <v>125</v>
      </c>
      <c r="K1534" s="2" t="s">
        <v>38</v>
      </c>
      <c r="L1534" s="2" t="s">
        <v>38</v>
      </c>
      <c r="M1534" s="2" t="s">
        <v>39</v>
      </c>
      <c r="N1534" s="2" t="s">
        <v>38</v>
      </c>
      <c r="O1534" s="2" t="s">
        <v>38</v>
      </c>
      <c r="P1534" s="2" t="s">
        <v>38</v>
      </c>
      <c r="Q1534" s="2" t="s">
        <v>38</v>
      </c>
      <c r="R1534" s="2" t="s">
        <v>38</v>
      </c>
      <c r="S1534" s="2" t="s">
        <v>38</v>
      </c>
      <c r="T1534" s="2" t="s">
        <v>38</v>
      </c>
      <c r="U1534" s="2" t="s">
        <v>38</v>
      </c>
      <c r="V1534" s="2" t="s">
        <v>38</v>
      </c>
      <c r="W1534" s="2" t="s">
        <v>38</v>
      </c>
      <c r="X1534" s="2" t="s">
        <v>38</v>
      </c>
      <c r="Y1534" s="2" t="s">
        <v>38</v>
      </c>
      <c r="Z1534" s="2" t="s">
        <v>38</v>
      </c>
      <c r="AA1534" s="2" t="s">
        <v>38</v>
      </c>
      <c r="AB1534" s="2" t="s">
        <v>38</v>
      </c>
      <c r="AC1534" s="2" t="s">
        <v>38</v>
      </c>
      <c r="AD1534" s="2" t="s">
        <v>38</v>
      </c>
      <c r="AE1534" s="2" t="s">
        <v>38</v>
      </c>
    </row>
    <row r="1535" spans="1:31" ht="409.5">
      <c r="A1535" s="2">
        <v>2550766</v>
      </c>
      <c r="B1535" s="2">
        <f>HYPERLINK("https://platform.v2.vetology.net/cases/2550766/screening-report/18?type=pdf&amp;v=v6&amp;scorecard=1&amp;secret_key=BX%25IJ%24%2F65ieZ%29f6", 2550766)</f>
        <v>2550766</v>
      </c>
      <c r="C1535" s="2">
        <f>HYPERLINK("https://platform.v2.vetology.net/report/v/final/"&amp;2550766, 2550766)</f>
        <v>2550766</v>
      </c>
      <c r="D1535" s="2" t="s">
        <v>4373</v>
      </c>
      <c r="E1535" s="2" t="s">
        <v>4374</v>
      </c>
      <c r="F1535" s="2" t="s">
        <v>81</v>
      </c>
      <c r="G1535" s="2" t="s">
        <v>82</v>
      </c>
      <c r="H1535" s="2" t="s">
        <v>244</v>
      </c>
      <c r="I1535" s="2" t="s">
        <v>245</v>
      </c>
      <c r="J1535" s="2" t="s">
        <v>246</v>
      </c>
      <c r="K1535" s="2" t="s">
        <v>38</v>
      </c>
      <c r="L1535" s="2" t="s">
        <v>38</v>
      </c>
      <c r="M1535" s="2" t="s">
        <v>38</v>
      </c>
      <c r="N1535" s="2" t="s">
        <v>38</v>
      </c>
      <c r="O1535" s="2" t="s">
        <v>38</v>
      </c>
      <c r="P1535" s="2" t="s">
        <v>39</v>
      </c>
      <c r="Q1535" s="2" t="s">
        <v>38</v>
      </c>
      <c r="R1535" s="2" t="s">
        <v>38</v>
      </c>
      <c r="S1535" s="2" t="s">
        <v>38</v>
      </c>
      <c r="T1535" s="2" t="s">
        <v>38</v>
      </c>
      <c r="U1535" s="2" t="s">
        <v>39</v>
      </c>
      <c r="V1535" s="2" t="s">
        <v>38</v>
      </c>
      <c r="W1535" s="2" t="s">
        <v>38</v>
      </c>
      <c r="X1535" s="2" t="s">
        <v>38</v>
      </c>
      <c r="Y1535" s="2" t="s">
        <v>38</v>
      </c>
      <c r="Z1535" s="2" t="s">
        <v>38</v>
      </c>
      <c r="AA1535" s="2" t="s">
        <v>38</v>
      </c>
      <c r="AB1535" s="2" t="s">
        <v>39</v>
      </c>
      <c r="AC1535" s="2" t="s">
        <v>39</v>
      </c>
      <c r="AD1535" s="2" t="s">
        <v>38</v>
      </c>
      <c r="AE1535" s="2" t="s">
        <v>38</v>
      </c>
    </row>
    <row r="1536" spans="1:31" ht="409.5">
      <c r="A1536" s="2">
        <v>2550556</v>
      </c>
      <c r="B1536" s="2">
        <f>HYPERLINK("https://platform.v2.vetology.net/cases/2550556/screening-report/18?type=pdf&amp;v=v6&amp;scorecard=1&amp;secret_key=BX%25IJ%24%2F65ieZ%29f6", 2550556)</f>
        <v>2550556</v>
      </c>
      <c r="C1536" s="2">
        <f>HYPERLINK("https://platform.v2.vetology.net/report/v/final/"&amp;2550556, 2550556)</f>
        <v>2550556</v>
      </c>
      <c r="D1536" s="2" t="s">
        <v>4375</v>
      </c>
      <c r="E1536" s="2" t="s">
        <v>4376</v>
      </c>
      <c r="F1536" s="2" t="s">
        <v>81</v>
      </c>
      <c r="G1536" s="2" t="s">
        <v>82</v>
      </c>
      <c r="H1536" s="2" t="s">
        <v>4377</v>
      </c>
      <c r="I1536" s="2" t="s">
        <v>503</v>
      </c>
      <c r="J1536" s="2" t="s">
        <v>66</v>
      </c>
      <c r="K1536" s="2" t="s">
        <v>38</v>
      </c>
      <c r="L1536" s="2" t="s">
        <v>39</v>
      </c>
      <c r="M1536" s="2" t="s">
        <v>39</v>
      </c>
      <c r="N1536" s="2" t="s">
        <v>39</v>
      </c>
      <c r="O1536" s="2" t="s">
        <v>38</v>
      </c>
      <c r="P1536" s="2" t="s">
        <v>39</v>
      </c>
      <c r="Q1536" s="2" t="s">
        <v>38</v>
      </c>
      <c r="R1536" s="2" t="s">
        <v>38</v>
      </c>
      <c r="S1536" s="2" t="s">
        <v>38</v>
      </c>
      <c r="T1536" s="2" t="s">
        <v>38</v>
      </c>
      <c r="U1536" s="2" t="s">
        <v>38</v>
      </c>
      <c r="V1536" s="2" t="s">
        <v>38</v>
      </c>
      <c r="W1536" s="2" t="s">
        <v>38</v>
      </c>
      <c r="X1536" s="2" t="s">
        <v>38</v>
      </c>
      <c r="Y1536" s="2" t="s">
        <v>38</v>
      </c>
      <c r="Z1536" s="2" t="s">
        <v>38</v>
      </c>
      <c r="AA1536" s="2" t="s">
        <v>38</v>
      </c>
      <c r="AB1536" s="2" t="s">
        <v>39</v>
      </c>
      <c r="AC1536" s="2" t="s">
        <v>39</v>
      </c>
      <c r="AD1536" s="2" t="s">
        <v>38</v>
      </c>
      <c r="AE1536" s="2" t="s">
        <v>39</v>
      </c>
    </row>
    <row r="1537" spans="1:31" ht="409.5">
      <c r="A1537" s="2">
        <v>2550313</v>
      </c>
      <c r="B1537" s="2">
        <f>HYPERLINK("https://platform.v2.vetology.net/cases/2550313/screening-report/18?type=pdf&amp;v=v6&amp;scorecard=1&amp;secret_key=BX%25IJ%24%2F65ieZ%29f6", 2550313)</f>
        <v>2550313</v>
      </c>
      <c r="C1537" s="2">
        <f>HYPERLINK("https://platform.v2.vetology.net/report/v/final/"&amp;2550313, 2550313)</f>
        <v>2550313</v>
      </c>
      <c r="D1537" s="2" t="s">
        <v>4378</v>
      </c>
      <c r="E1537" s="2" t="s">
        <v>4379</v>
      </c>
      <c r="F1537" s="2" t="s">
        <v>4380</v>
      </c>
      <c r="G1537" s="2" t="s">
        <v>268</v>
      </c>
      <c r="H1537" s="2" t="s">
        <v>3448</v>
      </c>
      <c r="I1537" s="2" t="s">
        <v>111</v>
      </c>
      <c r="J1537" s="2" t="s">
        <v>112</v>
      </c>
      <c r="K1537" s="2" t="s">
        <v>39</v>
      </c>
      <c r="L1537" s="2" t="s">
        <v>39</v>
      </c>
      <c r="M1537" s="2" t="s">
        <v>39</v>
      </c>
      <c r="N1537" s="2" t="s">
        <v>39</v>
      </c>
      <c r="O1537" s="2" t="s">
        <v>39</v>
      </c>
      <c r="P1537" s="2" t="s">
        <v>39</v>
      </c>
      <c r="Q1537" s="2" t="s">
        <v>39</v>
      </c>
      <c r="R1537" s="2" t="s">
        <v>39</v>
      </c>
      <c r="S1537" s="2" t="s">
        <v>39</v>
      </c>
      <c r="T1537" s="2" t="s">
        <v>39</v>
      </c>
      <c r="U1537" s="2" t="s">
        <v>39</v>
      </c>
      <c r="V1537" s="2" t="s">
        <v>39</v>
      </c>
      <c r="W1537" s="2" t="s">
        <v>38</v>
      </c>
      <c r="X1537" s="2" t="s">
        <v>39</v>
      </c>
      <c r="Y1537" s="2" t="s">
        <v>39</v>
      </c>
      <c r="Z1537" s="2" t="s">
        <v>39</v>
      </c>
      <c r="AA1537" s="2" t="s">
        <v>39</v>
      </c>
      <c r="AB1537" s="2" t="s">
        <v>39</v>
      </c>
      <c r="AC1537" s="2" t="s">
        <v>39</v>
      </c>
      <c r="AD1537" s="2" t="s">
        <v>38</v>
      </c>
      <c r="AE1537" s="2" t="s">
        <v>39</v>
      </c>
    </row>
    <row r="1538" spans="1:31" ht="409.5">
      <c r="A1538" s="2">
        <v>2550176</v>
      </c>
      <c r="B1538" s="2">
        <f>HYPERLINK("https://platform.v2.vetology.net/cases/2550176/screening-report/18?type=pdf&amp;v=v6&amp;scorecard=1&amp;secret_key=BX%25IJ%24%2F65ieZ%29f6", 2550176)</f>
        <v>2550176</v>
      </c>
      <c r="C1538" s="2">
        <f>HYPERLINK("https://platform.v2.vetology.net/report/v/final/"&amp;2550176, 2550176)</f>
        <v>2550176</v>
      </c>
      <c r="D1538" s="2" t="s">
        <v>4381</v>
      </c>
      <c r="E1538" s="2" t="s">
        <v>4382</v>
      </c>
      <c r="F1538" s="2" t="s">
        <v>1075</v>
      </c>
      <c r="G1538" s="2" t="s">
        <v>70</v>
      </c>
      <c r="H1538" s="2" t="s">
        <v>94</v>
      </c>
      <c r="I1538" s="2" t="s">
        <v>89</v>
      </c>
      <c r="J1538" s="2" t="s">
        <v>66</v>
      </c>
      <c r="K1538" s="2" t="s">
        <v>38</v>
      </c>
      <c r="L1538" s="2" t="s">
        <v>38</v>
      </c>
      <c r="M1538" s="2" t="s">
        <v>38</v>
      </c>
      <c r="N1538" s="2" t="s">
        <v>38</v>
      </c>
      <c r="O1538" s="2" t="s">
        <v>38</v>
      </c>
      <c r="P1538" s="2" t="s">
        <v>38</v>
      </c>
      <c r="Q1538" s="2" t="s">
        <v>38</v>
      </c>
      <c r="R1538" s="2" t="s">
        <v>38</v>
      </c>
      <c r="S1538" s="2" t="s">
        <v>38</v>
      </c>
      <c r="T1538" s="2" t="s">
        <v>38</v>
      </c>
      <c r="U1538" s="2" t="s">
        <v>38</v>
      </c>
      <c r="V1538" s="2" t="s">
        <v>38</v>
      </c>
      <c r="W1538" s="2" t="s">
        <v>38</v>
      </c>
      <c r="X1538" s="2" t="s">
        <v>38</v>
      </c>
      <c r="Y1538" s="2" t="s">
        <v>38</v>
      </c>
      <c r="Z1538" s="2" t="s">
        <v>38</v>
      </c>
      <c r="AA1538" s="2" t="s">
        <v>38</v>
      </c>
      <c r="AB1538" s="2" t="s">
        <v>38</v>
      </c>
      <c r="AC1538" s="2" t="s">
        <v>38</v>
      </c>
      <c r="AD1538" s="2" t="s">
        <v>38</v>
      </c>
      <c r="AE1538" s="2" t="s">
        <v>39</v>
      </c>
    </row>
    <row r="1539" spans="1:31" ht="409.5">
      <c r="A1539" s="2">
        <v>2550089</v>
      </c>
      <c r="B1539" s="2">
        <f>HYPERLINK("https://platform.v2.vetology.net/cases/2550089/screening-report/18?type=pdf&amp;v=v6&amp;scorecard=1&amp;secret_key=BX%25IJ%24%2F65ieZ%29f6", 2550089)</f>
        <v>2550089</v>
      </c>
      <c r="C1539" s="2">
        <f>HYPERLINK("https://platform.v2.vetology.net/report/v/final/"&amp;2550089, 2550089)</f>
        <v>2550089</v>
      </c>
      <c r="D1539" s="2" t="s">
        <v>4383</v>
      </c>
      <c r="E1539" s="2" t="s">
        <v>4384</v>
      </c>
      <c r="F1539" s="2" t="s">
        <v>4385</v>
      </c>
      <c r="G1539" s="2" t="s">
        <v>58</v>
      </c>
      <c r="H1539" s="2" t="s">
        <v>54</v>
      </c>
      <c r="I1539" s="2" t="s">
        <v>44</v>
      </c>
      <c r="J1539" s="2"/>
      <c r="K1539" s="2" t="s">
        <v>38</v>
      </c>
      <c r="L1539" s="2" t="s">
        <v>39</v>
      </c>
      <c r="M1539" s="2" t="s">
        <v>38</v>
      </c>
      <c r="N1539" s="2" t="s">
        <v>38</v>
      </c>
      <c r="O1539" s="2" t="s">
        <v>38</v>
      </c>
      <c r="P1539" s="2" t="s">
        <v>38</v>
      </c>
      <c r="Q1539" s="2" t="s">
        <v>38</v>
      </c>
      <c r="R1539" s="2" t="s">
        <v>38</v>
      </c>
      <c r="S1539" s="2" t="s">
        <v>38</v>
      </c>
      <c r="T1539" s="2" t="s">
        <v>39</v>
      </c>
      <c r="U1539" s="2" t="s">
        <v>38</v>
      </c>
      <c r="V1539" s="2" t="s">
        <v>38</v>
      </c>
      <c r="W1539" s="2" t="s">
        <v>38</v>
      </c>
      <c r="X1539" s="2" t="s">
        <v>38</v>
      </c>
      <c r="Y1539" s="2" t="s">
        <v>38</v>
      </c>
      <c r="Z1539" s="2" t="s">
        <v>38</v>
      </c>
      <c r="AA1539" s="2" t="s">
        <v>38</v>
      </c>
      <c r="AB1539" s="2" t="s">
        <v>38</v>
      </c>
      <c r="AC1539" s="2" t="s">
        <v>38</v>
      </c>
      <c r="AD1539" s="2" t="s">
        <v>38</v>
      </c>
      <c r="AE1539" s="2" t="s">
        <v>38</v>
      </c>
    </row>
    <row r="1540" spans="1:31" ht="409.5">
      <c r="A1540" s="2">
        <v>2549914</v>
      </c>
      <c r="B1540" s="2">
        <f>HYPERLINK("https://platform.v2.vetology.net/cases/2549914/screening-report/18?type=pdf&amp;v=v6&amp;scorecard=1&amp;secret_key=BX%25IJ%24%2F65ieZ%29f6", 2549914)</f>
        <v>2549914</v>
      </c>
      <c r="C1540" s="2">
        <f>HYPERLINK("https://platform.v2.vetology.net/report/v/final/"&amp;2549914, 2549914)</f>
        <v>2549914</v>
      </c>
      <c r="D1540" s="2" t="s">
        <v>4386</v>
      </c>
      <c r="E1540" s="2" t="s">
        <v>4387</v>
      </c>
      <c r="F1540" s="2" t="s">
        <v>4388</v>
      </c>
      <c r="G1540" s="2" t="s">
        <v>464</v>
      </c>
      <c r="H1540" s="2" t="s">
        <v>54</v>
      </c>
      <c r="I1540" s="2" t="s">
        <v>44</v>
      </c>
      <c r="J1540" s="2"/>
      <c r="K1540" s="2" t="s">
        <v>38</v>
      </c>
      <c r="L1540" s="2" t="s">
        <v>39</v>
      </c>
      <c r="M1540" s="2" t="s">
        <v>38</v>
      </c>
      <c r="N1540" s="2" t="s">
        <v>38</v>
      </c>
      <c r="O1540" s="2" t="s">
        <v>38</v>
      </c>
      <c r="P1540" s="2" t="s">
        <v>38</v>
      </c>
      <c r="Q1540" s="2" t="s">
        <v>39</v>
      </c>
      <c r="R1540" s="2" t="s">
        <v>38</v>
      </c>
      <c r="S1540" s="2" t="s">
        <v>38</v>
      </c>
      <c r="T1540" s="2" t="s">
        <v>38</v>
      </c>
      <c r="U1540" s="2" t="s">
        <v>38</v>
      </c>
      <c r="V1540" s="2" t="s">
        <v>38</v>
      </c>
      <c r="W1540" s="2" t="s">
        <v>38</v>
      </c>
      <c r="X1540" s="2" t="s">
        <v>39</v>
      </c>
      <c r="Y1540" s="2" t="s">
        <v>38</v>
      </c>
      <c r="Z1540" s="2" t="s">
        <v>38</v>
      </c>
      <c r="AA1540" s="2" t="s">
        <v>38</v>
      </c>
      <c r="AB1540" s="2" t="s">
        <v>39</v>
      </c>
      <c r="AC1540" s="2" t="s">
        <v>39</v>
      </c>
      <c r="AD1540" s="2" t="s">
        <v>38</v>
      </c>
      <c r="AE1540" s="2" t="s">
        <v>38</v>
      </c>
    </row>
    <row r="1541" spans="1:31" ht="409.5">
      <c r="A1541" s="2">
        <v>2549903</v>
      </c>
      <c r="B1541" s="2">
        <f>HYPERLINK("https://platform.v2.vetology.net/cases/2549903/screening-report/18?type=pdf&amp;v=v6&amp;scorecard=1&amp;secret_key=BX%25IJ%24%2F65ieZ%29f6", 2549903)</f>
        <v>2549903</v>
      </c>
      <c r="C1541" s="2">
        <f>HYPERLINK("https://platform.v2.vetology.net/report/v/final/"&amp;2549903, 2549903)</f>
        <v>2549903</v>
      </c>
      <c r="D1541" s="2" t="s">
        <v>4389</v>
      </c>
      <c r="E1541" s="2" t="s">
        <v>4390</v>
      </c>
      <c r="F1541" s="2" t="s">
        <v>4391</v>
      </c>
      <c r="G1541" s="2" t="s">
        <v>464</v>
      </c>
      <c r="H1541" s="2" t="s">
        <v>54</v>
      </c>
      <c r="I1541" s="2" t="s">
        <v>44</v>
      </c>
      <c r="J1541" s="2"/>
      <c r="K1541" s="2" t="s">
        <v>38</v>
      </c>
      <c r="L1541" s="2" t="s">
        <v>38</v>
      </c>
      <c r="M1541" s="2" t="s">
        <v>38</v>
      </c>
      <c r="N1541" s="2" t="s">
        <v>38</v>
      </c>
      <c r="O1541" s="2" t="s">
        <v>38</v>
      </c>
      <c r="P1541" s="2" t="s">
        <v>38</v>
      </c>
      <c r="Q1541" s="2" t="s">
        <v>38</v>
      </c>
      <c r="R1541" s="2" t="s">
        <v>38</v>
      </c>
      <c r="S1541" s="2" t="s">
        <v>38</v>
      </c>
      <c r="T1541" s="2" t="s">
        <v>39</v>
      </c>
      <c r="U1541" s="2" t="s">
        <v>38</v>
      </c>
      <c r="V1541" s="2" t="s">
        <v>39</v>
      </c>
      <c r="W1541" s="2" t="s">
        <v>38</v>
      </c>
      <c r="X1541" s="2" t="s">
        <v>39</v>
      </c>
      <c r="Y1541" s="2" t="s">
        <v>38</v>
      </c>
      <c r="Z1541" s="2" t="s">
        <v>38</v>
      </c>
      <c r="AA1541" s="2" t="s">
        <v>38</v>
      </c>
      <c r="AB1541" s="2" t="s">
        <v>38</v>
      </c>
      <c r="AC1541" s="2" t="s">
        <v>38</v>
      </c>
      <c r="AD1541" s="2" t="s">
        <v>38</v>
      </c>
      <c r="AE1541" s="2" t="s">
        <v>38</v>
      </c>
    </row>
    <row r="1542" spans="1:31" ht="409.5">
      <c r="A1542" s="2">
        <v>2549801</v>
      </c>
      <c r="B1542" s="2">
        <f>HYPERLINK("https://platform.v2.vetology.net/cases/2549801/screening-report/18?type=pdf&amp;v=v6&amp;scorecard=1&amp;secret_key=BX%25IJ%24%2F65ieZ%29f6", 2549801)</f>
        <v>2549801</v>
      </c>
      <c r="C1542" s="2">
        <f>HYPERLINK("https://platform.v2.vetology.net/report/v/final/"&amp;2549801, 2549801)</f>
        <v>2549801</v>
      </c>
      <c r="D1542" s="2" t="s">
        <v>4392</v>
      </c>
      <c r="E1542" s="2" t="s">
        <v>4393</v>
      </c>
      <c r="F1542" s="2" t="s">
        <v>4394</v>
      </c>
      <c r="G1542" s="2" t="s">
        <v>464</v>
      </c>
      <c r="H1542" s="2" t="s">
        <v>71</v>
      </c>
      <c r="I1542" s="2" t="s">
        <v>44</v>
      </c>
      <c r="J1542" s="2" t="s">
        <v>106</v>
      </c>
      <c r="K1542" s="2" t="s">
        <v>38</v>
      </c>
      <c r="L1542" s="2" t="s">
        <v>39</v>
      </c>
      <c r="M1542" s="2" t="s">
        <v>38</v>
      </c>
      <c r="N1542" s="2" t="s">
        <v>38</v>
      </c>
      <c r="O1542" s="2" t="s">
        <v>38</v>
      </c>
      <c r="P1542" s="2" t="s">
        <v>38</v>
      </c>
      <c r="Q1542" s="2" t="s">
        <v>38</v>
      </c>
      <c r="R1542" s="2" t="s">
        <v>38</v>
      </c>
      <c r="S1542" s="2" t="s">
        <v>38</v>
      </c>
      <c r="T1542" s="2" t="s">
        <v>38</v>
      </c>
      <c r="U1542" s="2" t="s">
        <v>38</v>
      </c>
      <c r="V1542" s="2" t="s">
        <v>38</v>
      </c>
      <c r="W1542" s="2" t="s">
        <v>38</v>
      </c>
      <c r="X1542" s="2" t="s">
        <v>38</v>
      </c>
      <c r="Y1542" s="2" t="s">
        <v>38</v>
      </c>
      <c r="Z1542" s="2" t="s">
        <v>38</v>
      </c>
      <c r="AA1542" s="2" t="s">
        <v>38</v>
      </c>
      <c r="AB1542" s="2" t="s">
        <v>38</v>
      </c>
      <c r="AC1542" s="2" t="s">
        <v>38</v>
      </c>
      <c r="AD1542" s="2" t="s">
        <v>38</v>
      </c>
      <c r="AE1542" s="2" t="s">
        <v>39</v>
      </c>
    </row>
    <row r="1543" spans="1:31" ht="409.5">
      <c r="A1543" s="2">
        <v>2549670</v>
      </c>
      <c r="B1543" s="2">
        <f>HYPERLINK("https://platform.v2.vetology.net/cases/2549670/screening-report/18?type=pdf&amp;v=v6&amp;scorecard=1&amp;secret_key=BX%25IJ%24%2F65ieZ%29f6", 2549670)</f>
        <v>2549670</v>
      </c>
      <c r="C1543" s="2">
        <f>HYPERLINK("https://platform.v2.vetology.net/report/v/final/"&amp;2549670, 2549670)</f>
        <v>2549670</v>
      </c>
      <c r="D1543" s="2" t="s">
        <v>4395</v>
      </c>
      <c r="E1543" s="2" t="s">
        <v>4396</v>
      </c>
      <c r="F1543" s="2" t="s">
        <v>4397</v>
      </c>
      <c r="G1543" s="2" t="s">
        <v>575</v>
      </c>
      <c r="H1543" s="2" t="s">
        <v>94</v>
      </c>
      <c r="I1543" s="2" t="s">
        <v>89</v>
      </c>
      <c r="J1543" s="2" t="s">
        <v>66</v>
      </c>
      <c r="K1543" s="2" t="s">
        <v>38</v>
      </c>
      <c r="L1543" s="2" t="s">
        <v>39</v>
      </c>
      <c r="M1543" s="2" t="s">
        <v>39</v>
      </c>
      <c r="N1543" s="2" t="s">
        <v>38</v>
      </c>
      <c r="O1543" s="2" t="s">
        <v>39</v>
      </c>
      <c r="P1543" s="2" t="s">
        <v>39</v>
      </c>
      <c r="Q1543" s="2" t="s">
        <v>38</v>
      </c>
      <c r="R1543" s="2" t="s">
        <v>38</v>
      </c>
      <c r="S1543" s="2" t="s">
        <v>39</v>
      </c>
      <c r="T1543" s="2" t="s">
        <v>39</v>
      </c>
      <c r="U1543" s="2" t="s">
        <v>39</v>
      </c>
      <c r="V1543" s="2" t="s">
        <v>38</v>
      </c>
      <c r="W1543" s="2" t="s">
        <v>38</v>
      </c>
      <c r="X1543" s="2" t="s">
        <v>39</v>
      </c>
      <c r="Y1543" s="2" t="s">
        <v>38</v>
      </c>
      <c r="Z1543" s="2" t="s">
        <v>39</v>
      </c>
      <c r="AA1543" s="2" t="s">
        <v>38</v>
      </c>
      <c r="AB1543" s="2" t="s">
        <v>39</v>
      </c>
      <c r="AC1543" s="2" t="s">
        <v>39</v>
      </c>
      <c r="AD1543" s="2" t="s">
        <v>38</v>
      </c>
      <c r="AE1543" s="2" t="s">
        <v>39</v>
      </c>
    </row>
    <row r="1544" spans="1:31" ht="409.5">
      <c r="A1544" s="2">
        <v>2549301</v>
      </c>
      <c r="B1544" s="2">
        <f>HYPERLINK("https://platform.v2.vetology.net/cases/2549301/screening-report/18?type=pdf&amp;v=v6&amp;scorecard=1&amp;secret_key=BX%25IJ%24%2F65ieZ%29f6", 2549301)</f>
        <v>2549301</v>
      </c>
      <c r="C1544" s="2">
        <f>HYPERLINK("https://platform.v2.vetology.net/report/v/final/"&amp;2549301, 2549301)</f>
        <v>2549301</v>
      </c>
      <c r="D1544" s="2" t="s">
        <v>4398</v>
      </c>
      <c r="E1544" s="2" t="s">
        <v>4399</v>
      </c>
      <c r="F1544" s="2" t="s">
        <v>3572</v>
      </c>
      <c r="G1544" s="2" t="s">
        <v>141</v>
      </c>
      <c r="H1544" s="2" t="s">
        <v>1171</v>
      </c>
      <c r="I1544" s="2" t="s">
        <v>49</v>
      </c>
      <c r="J1544" s="2" t="s">
        <v>50</v>
      </c>
      <c r="K1544" s="2" t="s">
        <v>38</v>
      </c>
      <c r="L1544" s="2" t="s">
        <v>39</v>
      </c>
      <c r="M1544" s="2" t="s">
        <v>38</v>
      </c>
      <c r="N1544" s="2" t="s">
        <v>38</v>
      </c>
      <c r="O1544" s="2" t="s">
        <v>39</v>
      </c>
      <c r="P1544" s="2" t="s">
        <v>38</v>
      </c>
      <c r="Q1544" s="2" t="s">
        <v>38</v>
      </c>
      <c r="R1544" s="2" t="s">
        <v>38</v>
      </c>
      <c r="S1544" s="2" t="s">
        <v>38</v>
      </c>
      <c r="T1544" s="2" t="s">
        <v>39</v>
      </c>
      <c r="U1544" s="2" t="s">
        <v>38</v>
      </c>
      <c r="V1544" s="2" t="s">
        <v>39</v>
      </c>
      <c r="W1544" s="2" t="s">
        <v>38</v>
      </c>
      <c r="X1544" s="2" t="s">
        <v>39</v>
      </c>
      <c r="Y1544" s="2" t="s">
        <v>38</v>
      </c>
      <c r="Z1544" s="2" t="s">
        <v>38</v>
      </c>
      <c r="AA1544" s="2" t="s">
        <v>38</v>
      </c>
      <c r="AB1544" s="2" t="s">
        <v>38</v>
      </c>
      <c r="AC1544" s="2" t="s">
        <v>38</v>
      </c>
      <c r="AD1544" s="2" t="s">
        <v>38</v>
      </c>
      <c r="AE1544" s="2" t="s">
        <v>38</v>
      </c>
    </row>
    <row r="1545" spans="1:31" ht="409.5">
      <c r="A1545" s="2">
        <v>2549224</v>
      </c>
      <c r="B1545" s="2">
        <f>HYPERLINK("https://platform.v2.vetology.net/cases/2549224/screening-report/18?type=pdf&amp;v=v6&amp;scorecard=1&amp;secret_key=BX%25IJ%24%2F65ieZ%29f6", 2549224)</f>
        <v>2549224</v>
      </c>
      <c r="C1545" s="2">
        <f>HYPERLINK("https://platform.v2.vetology.net/report/v/final/"&amp;2549224, 2549224)</f>
        <v>2549224</v>
      </c>
      <c r="D1545" s="2" t="s">
        <v>4400</v>
      </c>
      <c r="E1545" s="2" t="s">
        <v>4401</v>
      </c>
      <c r="F1545" s="2" t="s">
        <v>4402</v>
      </c>
      <c r="G1545" s="2" t="s">
        <v>268</v>
      </c>
      <c r="H1545" s="2" t="s">
        <v>430</v>
      </c>
      <c r="I1545" s="2" t="s">
        <v>89</v>
      </c>
      <c r="J1545" s="2" t="s">
        <v>66</v>
      </c>
      <c r="K1545" s="2" t="s">
        <v>38</v>
      </c>
      <c r="L1545" s="2" t="s">
        <v>38</v>
      </c>
      <c r="M1545" s="2" t="s">
        <v>39</v>
      </c>
      <c r="N1545" s="2" t="s">
        <v>38</v>
      </c>
      <c r="O1545" s="2" t="s">
        <v>38</v>
      </c>
      <c r="P1545" s="2" t="s">
        <v>38</v>
      </c>
      <c r="Q1545" s="2" t="s">
        <v>38</v>
      </c>
      <c r="R1545" s="2" t="s">
        <v>38</v>
      </c>
      <c r="S1545" s="2" t="s">
        <v>38</v>
      </c>
      <c r="T1545" s="2" t="s">
        <v>39</v>
      </c>
      <c r="U1545" s="2" t="s">
        <v>38</v>
      </c>
      <c r="V1545" s="2" t="s">
        <v>39</v>
      </c>
      <c r="W1545" s="2" t="s">
        <v>38</v>
      </c>
      <c r="X1545" s="2" t="s">
        <v>39</v>
      </c>
      <c r="Y1545" s="2" t="s">
        <v>38</v>
      </c>
      <c r="Z1545" s="2" t="s">
        <v>39</v>
      </c>
      <c r="AA1545" s="2" t="s">
        <v>38</v>
      </c>
      <c r="AB1545" s="2" t="s">
        <v>39</v>
      </c>
      <c r="AC1545" s="2" t="s">
        <v>38</v>
      </c>
      <c r="AD1545" s="2" t="s">
        <v>38</v>
      </c>
      <c r="AE1545" s="2" t="s">
        <v>39</v>
      </c>
    </row>
    <row r="1546" spans="1:31" ht="409.5">
      <c r="A1546" s="2">
        <v>2548796</v>
      </c>
      <c r="B1546" s="2">
        <f>HYPERLINK("https://platform.v2.vetology.net/cases/2548796/screening-report/18?type=pdf&amp;v=v6&amp;scorecard=1&amp;secret_key=BX%25IJ%24%2F65ieZ%29f6", 2548796)</f>
        <v>2548796</v>
      </c>
      <c r="C1546" s="2">
        <f>HYPERLINK("https://platform.v2.vetology.net/report/v/final/"&amp;2548796, 2548796)</f>
        <v>2548796</v>
      </c>
      <c r="D1546" s="2" t="s">
        <v>4403</v>
      </c>
      <c r="E1546" s="2" t="s">
        <v>4404</v>
      </c>
      <c r="F1546" s="2" t="s">
        <v>4405</v>
      </c>
      <c r="G1546" s="2" t="s">
        <v>268</v>
      </c>
      <c r="H1546" s="2" t="s">
        <v>360</v>
      </c>
      <c r="I1546" s="2" t="s">
        <v>284</v>
      </c>
      <c r="J1546" s="2" t="s">
        <v>285</v>
      </c>
      <c r="K1546" s="2" t="s">
        <v>38</v>
      </c>
      <c r="L1546" s="2" t="s">
        <v>38</v>
      </c>
      <c r="M1546" s="2" t="s">
        <v>38</v>
      </c>
      <c r="N1546" s="2" t="s">
        <v>38</v>
      </c>
      <c r="O1546" s="2" t="s">
        <v>38</v>
      </c>
      <c r="P1546" s="2" t="s">
        <v>38</v>
      </c>
      <c r="Q1546" s="2" t="s">
        <v>38</v>
      </c>
      <c r="R1546" s="2" t="s">
        <v>38</v>
      </c>
      <c r="S1546" s="2" t="s">
        <v>38</v>
      </c>
      <c r="T1546" s="2" t="s">
        <v>39</v>
      </c>
      <c r="U1546" s="2" t="s">
        <v>38</v>
      </c>
      <c r="V1546" s="2" t="s">
        <v>39</v>
      </c>
      <c r="W1546" s="2" t="s">
        <v>38</v>
      </c>
      <c r="X1546" s="2" t="s">
        <v>39</v>
      </c>
      <c r="Y1546" s="2" t="s">
        <v>38</v>
      </c>
      <c r="Z1546" s="2" t="s">
        <v>38</v>
      </c>
      <c r="AA1546" s="2" t="s">
        <v>38</v>
      </c>
      <c r="AB1546" s="2" t="s">
        <v>39</v>
      </c>
      <c r="AC1546" s="2" t="s">
        <v>38</v>
      </c>
      <c r="AD1546" s="2" t="s">
        <v>38</v>
      </c>
      <c r="AE1546" s="2" t="s">
        <v>38</v>
      </c>
    </row>
    <row r="1547" spans="1:31" ht="409.5">
      <c r="A1547" s="2">
        <v>2548793</v>
      </c>
      <c r="B1547" s="2">
        <f>HYPERLINK("https://platform.v2.vetology.net/cases/2548793/screening-report/18?type=pdf&amp;v=v6&amp;scorecard=1&amp;secret_key=BX%25IJ%24%2F65ieZ%29f6", 2548793)</f>
        <v>2548793</v>
      </c>
      <c r="C1547" s="2">
        <f>HYPERLINK("https://platform.v2.vetology.net/report/v/final/"&amp;2548793, 2548793)</f>
        <v>2548793</v>
      </c>
      <c r="D1547" s="2" t="s">
        <v>4406</v>
      </c>
      <c r="E1547" s="2" t="s">
        <v>4407</v>
      </c>
      <c r="F1547" s="2" t="s">
        <v>1444</v>
      </c>
      <c r="G1547" s="2" t="s">
        <v>464</v>
      </c>
      <c r="H1547" s="2" t="s">
        <v>54</v>
      </c>
      <c r="I1547" s="2" t="s">
        <v>44</v>
      </c>
      <c r="J1547" s="2"/>
      <c r="K1547" s="2" t="s">
        <v>38</v>
      </c>
      <c r="L1547" s="2" t="s">
        <v>39</v>
      </c>
      <c r="M1547" s="2" t="s">
        <v>38</v>
      </c>
      <c r="N1547" s="2" t="s">
        <v>38</v>
      </c>
      <c r="O1547" s="2" t="s">
        <v>38</v>
      </c>
      <c r="P1547" s="2" t="s">
        <v>38</v>
      </c>
      <c r="Q1547" s="2" t="s">
        <v>38</v>
      </c>
      <c r="R1547" s="2" t="s">
        <v>38</v>
      </c>
      <c r="S1547" s="2" t="s">
        <v>38</v>
      </c>
      <c r="T1547" s="2" t="s">
        <v>39</v>
      </c>
      <c r="U1547" s="2" t="s">
        <v>38</v>
      </c>
      <c r="V1547" s="2" t="s">
        <v>38</v>
      </c>
      <c r="W1547" s="2" t="s">
        <v>38</v>
      </c>
      <c r="X1547" s="2" t="s">
        <v>39</v>
      </c>
      <c r="Y1547" s="2" t="s">
        <v>38</v>
      </c>
      <c r="Z1547" s="2" t="s">
        <v>38</v>
      </c>
      <c r="AA1547" s="2" t="s">
        <v>38</v>
      </c>
      <c r="AB1547" s="2" t="s">
        <v>39</v>
      </c>
      <c r="AC1547" s="2" t="s">
        <v>38</v>
      </c>
      <c r="AD1547" s="2" t="s">
        <v>38</v>
      </c>
      <c r="AE1547" s="2" t="s">
        <v>38</v>
      </c>
    </row>
    <row r="1548" spans="1:31" ht="409.5">
      <c r="A1548" s="2">
        <v>2548772</v>
      </c>
      <c r="B1548" s="2">
        <f>HYPERLINK("https://platform.v2.vetology.net/cases/2548772/screening-report/18?type=pdf&amp;v=v6&amp;scorecard=1&amp;secret_key=BX%25IJ%24%2F65ieZ%29f6", 2548772)</f>
        <v>2548772</v>
      </c>
      <c r="C1548" s="2">
        <f>HYPERLINK("https://platform.v2.vetology.net/report/v/final/"&amp;2548772, 2548772)</f>
        <v>2548772</v>
      </c>
      <c r="D1548" s="2" t="s">
        <v>4408</v>
      </c>
      <c r="E1548" s="2" t="s">
        <v>4409</v>
      </c>
      <c r="F1548" s="2" t="s">
        <v>4410</v>
      </c>
      <c r="G1548" s="2" t="s">
        <v>464</v>
      </c>
      <c r="H1548" s="2" t="s">
        <v>1505</v>
      </c>
      <c r="I1548" s="2" t="s">
        <v>214</v>
      </c>
      <c r="J1548" s="2" t="s">
        <v>50</v>
      </c>
      <c r="K1548" s="2" t="s">
        <v>38</v>
      </c>
      <c r="L1548" s="2" t="s">
        <v>38</v>
      </c>
      <c r="M1548" s="2" t="s">
        <v>38</v>
      </c>
      <c r="N1548" s="2" t="s">
        <v>38</v>
      </c>
      <c r="O1548" s="2" t="s">
        <v>38</v>
      </c>
      <c r="P1548" s="2" t="s">
        <v>38</v>
      </c>
      <c r="Q1548" s="2" t="s">
        <v>38</v>
      </c>
      <c r="R1548" s="2" t="s">
        <v>38</v>
      </c>
      <c r="S1548" s="2" t="s">
        <v>38</v>
      </c>
      <c r="T1548" s="2" t="s">
        <v>38</v>
      </c>
      <c r="U1548" s="2" t="s">
        <v>38</v>
      </c>
      <c r="V1548" s="2" t="s">
        <v>38</v>
      </c>
      <c r="W1548" s="2" t="s">
        <v>38</v>
      </c>
      <c r="X1548" s="2" t="s">
        <v>38</v>
      </c>
      <c r="Y1548" s="2" t="s">
        <v>38</v>
      </c>
      <c r="Z1548" s="2" t="s">
        <v>38</v>
      </c>
      <c r="AA1548" s="2" t="s">
        <v>38</v>
      </c>
      <c r="AB1548" s="2" t="s">
        <v>39</v>
      </c>
      <c r="AC1548" s="2" t="s">
        <v>39</v>
      </c>
      <c r="AD1548" s="2" t="s">
        <v>38</v>
      </c>
      <c r="AE1548" s="2" t="s">
        <v>38</v>
      </c>
    </row>
    <row r="1549" spans="1:31" ht="409.5">
      <c r="A1549" s="2">
        <v>2548664</v>
      </c>
      <c r="B1549" s="2">
        <f>HYPERLINK("https://platform.v2.vetology.net/cases/2548664/screening-report/18?type=pdf&amp;v=v6&amp;scorecard=1&amp;secret_key=BX%25IJ%24%2F65ieZ%29f6", 2548664)</f>
        <v>2548664</v>
      </c>
      <c r="C1549" s="2">
        <f>HYPERLINK("https://platform.v2.vetology.net/report/v/final/"&amp;2548664, 2548664)</f>
        <v>2548664</v>
      </c>
      <c r="D1549" s="2" t="s">
        <v>4411</v>
      </c>
      <c r="E1549" s="2" t="s">
        <v>4412</v>
      </c>
      <c r="F1549" s="2" t="s">
        <v>4413</v>
      </c>
      <c r="G1549" s="2" t="s">
        <v>268</v>
      </c>
      <c r="H1549" s="2" t="s">
        <v>723</v>
      </c>
      <c r="I1549" s="2" t="s">
        <v>44</v>
      </c>
      <c r="J1549" s="2"/>
      <c r="K1549" s="2" t="s">
        <v>38</v>
      </c>
      <c r="L1549" s="2" t="s">
        <v>39</v>
      </c>
      <c r="M1549" s="2" t="s">
        <v>39</v>
      </c>
      <c r="N1549" s="2" t="s">
        <v>38</v>
      </c>
      <c r="O1549" s="2" t="s">
        <v>38</v>
      </c>
      <c r="P1549" s="2" t="s">
        <v>38</v>
      </c>
      <c r="Q1549" s="2" t="s">
        <v>38</v>
      </c>
      <c r="R1549" s="2" t="s">
        <v>38</v>
      </c>
      <c r="S1549" s="2" t="s">
        <v>38</v>
      </c>
      <c r="T1549" s="2" t="s">
        <v>38</v>
      </c>
      <c r="U1549" s="2" t="s">
        <v>38</v>
      </c>
      <c r="V1549" s="2" t="s">
        <v>38</v>
      </c>
      <c r="W1549" s="2" t="s">
        <v>38</v>
      </c>
      <c r="X1549" s="2" t="s">
        <v>38</v>
      </c>
      <c r="Y1549" s="2" t="s">
        <v>38</v>
      </c>
      <c r="Z1549" s="2" t="s">
        <v>38</v>
      </c>
      <c r="AA1549" s="2" t="s">
        <v>38</v>
      </c>
      <c r="AB1549" s="2" t="s">
        <v>38</v>
      </c>
      <c r="AC1549" s="2" t="s">
        <v>38</v>
      </c>
      <c r="AD1549" s="2" t="s">
        <v>38</v>
      </c>
      <c r="AE1549" s="2" t="s">
        <v>38</v>
      </c>
    </row>
    <row r="1550" spans="1:31" ht="409.5">
      <c r="A1550" s="2">
        <v>2548437</v>
      </c>
      <c r="B1550" s="2">
        <f>HYPERLINK("https://platform.v2.vetology.net/cases/2548437/screening-report/18?type=pdf&amp;v=v6&amp;scorecard=1&amp;secret_key=BX%25IJ%24%2F65ieZ%29f6", 2548437)</f>
        <v>2548437</v>
      </c>
      <c r="C1550" s="2">
        <f>HYPERLINK("https://platform.v2.vetology.net/report/v/final/"&amp;2548437, 2548437)</f>
        <v>2548437</v>
      </c>
      <c r="D1550" s="2" t="s">
        <v>4414</v>
      </c>
      <c r="E1550" s="2" t="s">
        <v>4415</v>
      </c>
      <c r="F1550" s="2" t="s">
        <v>4416</v>
      </c>
      <c r="G1550" s="2" t="s">
        <v>70</v>
      </c>
      <c r="H1550" s="2" t="s">
        <v>136</v>
      </c>
      <c r="I1550" s="2" t="s">
        <v>137</v>
      </c>
      <c r="J1550" s="2" t="s">
        <v>66</v>
      </c>
      <c r="K1550" s="2" t="s">
        <v>38</v>
      </c>
      <c r="L1550" s="2" t="s">
        <v>38</v>
      </c>
      <c r="M1550" s="2" t="s">
        <v>38</v>
      </c>
      <c r="N1550" s="2" t="s">
        <v>38</v>
      </c>
      <c r="O1550" s="2" t="s">
        <v>38</v>
      </c>
      <c r="P1550" s="2" t="s">
        <v>38</v>
      </c>
      <c r="Q1550" s="2" t="s">
        <v>38</v>
      </c>
      <c r="R1550" s="2" t="s">
        <v>38</v>
      </c>
      <c r="S1550" s="2" t="s">
        <v>38</v>
      </c>
      <c r="T1550" s="2" t="s">
        <v>38</v>
      </c>
      <c r="U1550" s="2" t="s">
        <v>38</v>
      </c>
      <c r="V1550" s="2" t="s">
        <v>38</v>
      </c>
      <c r="W1550" s="2" t="s">
        <v>38</v>
      </c>
      <c r="X1550" s="2" t="s">
        <v>38</v>
      </c>
      <c r="Y1550" s="2" t="s">
        <v>38</v>
      </c>
      <c r="Z1550" s="2" t="s">
        <v>38</v>
      </c>
      <c r="AA1550" s="2" t="s">
        <v>38</v>
      </c>
      <c r="AB1550" s="2" t="s">
        <v>38</v>
      </c>
      <c r="AC1550" s="2" t="s">
        <v>38</v>
      </c>
      <c r="AD1550" s="2" t="s">
        <v>38</v>
      </c>
      <c r="AE1550" s="2" t="s">
        <v>38</v>
      </c>
    </row>
    <row r="1551" spans="1:31" ht="409.5">
      <c r="A1551" s="2">
        <v>2548390</v>
      </c>
      <c r="B1551" s="2">
        <f>HYPERLINK("https://platform.v2.vetology.net/cases/2548390/screening-report/18?type=pdf&amp;v=v6&amp;scorecard=1&amp;secret_key=BX%25IJ%24%2F65ieZ%29f6", 2548390)</f>
        <v>2548390</v>
      </c>
      <c r="C1551" s="2">
        <f>HYPERLINK("https://platform.v2.vetology.net/report/v/final/"&amp;2548390, 2548390)</f>
        <v>2548390</v>
      </c>
      <c r="D1551" s="2" t="s">
        <v>4417</v>
      </c>
      <c r="E1551" s="2" t="s">
        <v>4418</v>
      </c>
      <c r="F1551" s="2" t="s">
        <v>4088</v>
      </c>
      <c r="G1551" s="2" t="s">
        <v>464</v>
      </c>
      <c r="H1551" s="2" t="s">
        <v>78</v>
      </c>
      <c r="I1551" s="2" t="s">
        <v>44</v>
      </c>
      <c r="J1551" s="2"/>
      <c r="K1551" s="2" t="s">
        <v>38</v>
      </c>
      <c r="L1551" s="2" t="s">
        <v>39</v>
      </c>
      <c r="M1551" s="2" t="s">
        <v>38</v>
      </c>
      <c r="N1551" s="2" t="s">
        <v>38</v>
      </c>
      <c r="O1551" s="2" t="s">
        <v>38</v>
      </c>
      <c r="P1551" s="2" t="s">
        <v>38</v>
      </c>
      <c r="Q1551" s="2" t="s">
        <v>38</v>
      </c>
      <c r="R1551" s="2" t="s">
        <v>38</v>
      </c>
      <c r="S1551" s="2" t="s">
        <v>38</v>
      </c>
      <c r="T1551" s="2" t="s">
        <v>39</v>
      </c>
      <c r="U1551" s="2" t="s">
        <v>38</v>
      </c>
      <c r="V1551" s="2" t="s">
        <v>38</v>
      </c>
      <c r="W1551" s="2" t="s">
        <v>38</v>
      </c>
      <c r="X1551" s="2" t="s">
        <v>38</v>
      </c>
      <c r="Y1551" s="2" t="s">
        <v>38</v>
      </c>
      <c r="Z1551" s="2" t="s">
        <v>39</v>
      </c>
      <c r="AA1551" s="2" t="s">
        <v>38</v>
      </c>
      <c r="AB1551" s="2" t="s">
        <v>38</v>
      </c>
      <c r="AC1551" s="2" t="s">
        <v>38</v>
      </c>
      <c r="AD1551" s="2" t="s">
        <v>38</v>
      </c>
      <c r="AE1551" s="2" t="s">
        <v>38</v>
      </c>
    </row>
    <row r="1552" spans="1:31" ht="409.5">
      <c r="A1552" s="2">
        <v>2548198</v>
      </c>
      <c r="B1552" s="2">
        <f>HYPERLINK("https://platform.v2.vetology.net/cases/2548198/screening-report/18?type=pdf&amp;v=v6&amp;scorecard=1&amp;secret_key=BX%25IJ%24%2F65ieZ%29f6", 2548198)</f>
        <v>2548198</v>
      </c>
      <c r="C1552" s="2">
        <f>HYPERLINK("https://platform.v2.vetology.net/report/v/final/"&amp;2548198, 2548198)</f>
        <v>2548198</v>
      </c>
      <c r="D1552" s="2" t="s">
        <v>4419</v>
      </c>
      <c r="E1552" s="2" t="s">
        <v>4420</v>
      </c>
      <c r="F1552" s="2" t="s">
        <v>4421</v>
      </c>
      <c r="G1552" s="2" t="s">
        <v>58</v>
      </c>
      <c r="H1552" s="2" t="s">
        <v>4422</v>
      </c>
      <c r="I1552" s="2" t="s">
        <v>584</v>
      </c>
      <c r="J1552" s="2" t="s">
        <v>585</v>
      </c>
      <c r="K1552" s="2" t="s">
        <v>39</v>
      </c>
      <c r="L1552" s="2" t="s">
        <v>39</v>
      </c>
      <c r="M1552" s="2" t="s">
        <v>39</v>
      </c>
      <c r="N1552" s="2" t="s">
        <v>39</v>
      </c>
      <c r="O1552" s="2" t="s">
        <v>39</v>
      </c>
      <c r="P1552" s="2" t="s">
        <v>39</v>
      </c>
      <c r="Q1552" s="2" t="s">
        <v>39</v>
      </c>
      <c r="R1552" s="2" t="s">
        <v>39</v>
      </c>
      <c r="S1552" s="2" t="s">
        <v>39</v>
      </c>
      <c r="T1552" s="2" t="s">
        <v>39</v>
      </c>
      <c r="U1552" s="2" t="s">
        <v>39</v>
      </c>
      <c r="V1552" s="2" t="s">
        <v>39</v>
      </c>
      <c r="W1552" s="2" t="s">
        <v>39</v>
      </c>
      <c r="X1552" s="2" t="s">
        <v>39</v>
      </c>
      <c r="Y1552" s="2" t="s">
        <v>39</v>
      </c>
      <c r="Z1552" s="2" t="s">
        <v>39</v>
      </c>
      <c r="AA1552" s="2" t="s">
        <v>39</v>
      </c>
      <c r="AB1552" s="2" t="s">
        <v>39</v>
      </c>
      <c r="AC1552" s="2" t="s">
        <v>39</v>
      </c>
      <c r="AD1552" s="2" t="s">
        <v>38</v>
      </c>
      <c r="AE1552" s="2" t="s">
        <v>38</v>
      </c>
    </row>
    <row r="1553" spans="1:31" ht="409.5">
      <c r="A1553" s="2">
        <v>2548064</v>
      </c>
      <c r="B1553" s="2">
        <f>HYPERLINK("https://platform.v2.vetology.net/cases/2548064/screening-report/18?type=pdf&amp;v=v6&amp;scorecard=1&amp;secret_key=BX%25IJ%24%2F65ieZ%29f6", 2548064)</f>
        <v>2548064</v>
      </c>
      <c r="C1553" s="2">
        <f>HYPERLINK("https://platform.v2.vetology.net/report/v/final/"&amp;2548064, 2548064)</f>
        <v>2548064</v>
      </c>
      <c r="D1553" s="2" t="s">
        <v>4423</v>
      </c>
      <c r="E1553" s="2" t="s">
        <v>4424</v>
      </c>
      <c r="F1553" s="2" t="s">
        <v>4425</v>
      </c>
      <c r="G1553" s="2" t="s">
        <v>464</v>
      </c>
      <c r="H1553" s="2" t="s">
        <v>1575</v>
      </c>
      <c r="I1553" s="2" t="s">
        <v>1468</v>
      </c>
      <c r="J1553" s="2" t="s">
        <v>1469</v>
      </c>
      <c r="K1553" s="2" t="s">
        <v>38</v>
      </c>
      <c r="L1553" s="2" t="s">
        <v>39</v>
      </c>
      <c r="M1553" s="2" t="s">
        <v>38</v>
      </c>
      <c r="N1553" s="2" t="s">
        <v>38</v>
      </c>
      <c r="O1553" s="2" t="s">
        <v>38</v>
      </c>
      <c r="P1553" s="2" t="s">
        <v>38</v>
      </c>
      <c r="Q1553" s="2" t="s">
        <v>38</v>
      </c>
      <c r="R1553" s="2" t="s">
        <v>38</v>
      </c>
      <c r="S1553" s="2" t="s">
        <v>38</v>
      </c>
      <c r="T1553" s="2" t="s">
        <v>38</v>
      </c>
      <c r="U1553" s="2" t="s">
        <v>38</v>
      </c>
      <c r="V1553" s="2" t="s">
        <v>38</v>
      </c>
      <c r="W1553" s="2" t="s">
        <v>38</v>
      </c>
      <c r="X1553" s="2" t="s">
        <v>38</v>
      </c>
      <c r="Y1553" s="2" t="s">
        <v>38</v>
      </c>
      <c r="Z1553" s="2" t="s">
        <v>38</v>
      </c>
      <c r="AA1553" s="2" t="s">
        <v>38</v>
      </c>
      <c r="AB1553" s="2" t="s">
        <v>38</v>
      </c>
      <c r="AC1553" s="2" t="s">
        <v>38</v>
      </c>
      <c r="AD1553" s="2" t="s">
        <v>38</v>
      </c>
      <c r="AE1553" s="2" t="s">
        <v>38</v>
      </c>
    </row>
    <row r="1554" spans="1:31" ht="409.5">
      <c r="A1554" s="2">
        <v>2547787</v>
      </c>
      <c r="B1554" s="2">
        <f>HYPERLINK("https://platform.v2.vetology.net/cases/2547787/screening-report/18?type=pdf&amp;v=v6&amp;scorecard=1&amp;secret_key=BX%25IJ%24%2F65ieZ%29f6", 2547787)</f>
        <v>2547787</v>
      </c>
      <c r="C1554" s="2">
        <f>HYPERLINK("https://platform.v2.vetology.net/report/v/final/"&amp;2547787, 2547787)</f>
        <v>2547787</v>
      </c>
      <c r="D1554" s="2" t="s">
        <v>4426</v>
      </c>
      <c r="E1554" s="2" t="s">
        <v>4427</v>
      </c>
      <c r="F1554" s="2" t="s">
        <v>4428</v>
      </c>
      <c r="G1554" s="2" t="s">
        <v>464</v>
      </c>
      <c r="H1554" s="2" t="s">
        <v>790</v>
      </c>
      <c r="I1554" s="2" t="s">
        <v>145</v>
      </c>
      <c r="J1554" s="2" t="s">
        <v>146</v>
      </c>
      <c r="K1554" s="2" t="s">
        <v>38</v>
      </c>
      <c r="L1554" s="2" t="s">
        <v>38</v>
      </c>
      <c r="M1554" s="2" t="s">
        <v>38</v>
      </c>
      <c r="N1554" s="2" t="s">
        <v>38</v>
      </c>
      <c r="O1554" s="2" t="s">
        <v>38</v>
      </c>
      <c r="P1554" s="2" t="s">
        <v>39</v>
      </c>
      <c r="Q1554" s="2" t="s">
        <v>38</v>
      </c>
      <c r="R1554" s="2" t="s">
        <v>38</v>
      </c>
      <c r="S1554" s="2" t="s">
        <v>38</v>
      </c>
      <c r="T1554" s="2" t="s">
        <v>39</v>
      </c>
      <c r="U1554" s="2" t="s">
        <v>38</v>
      </c>
      <c r="V1554" s="2" t="s">
        <v>38</v>
      </c>
      <c r="W1554" s="2" t="s">
        <v>38</v>
      </c>
      <c r="X1554" s="2" t="s">
        <v>39</v>
      </c>
      <c r="Y1554" s="2" t="s">
        <v>38</v>
      </c>
      <c r="Z1554" s="2" t="s">
        <v>38</v>
      </c>
      <c r="AA1554" s="2" t="s">
        <v>38</v>
      </c>
      <c r="AB1554" s="2" t="s">
        <v>38</v>
      </c>
      <c r="AC1554" s="2" t="s">
        <v>38</v>
      </c>
      <c r="AD1554" s="2" t="s">
        <v>38</v>
      </c>
      <c r="AE1554" s="2" t="s">
        <v>39</v>
      </c>
    </row>
    <row r="1555" spans="1:31" ht="409.5">
      <c r="A1555" s="2">
        <v>2547668</v>
      </c>
      <c r="B1555" s="2">
        <f>HYPERLINK("https://platform.v2.vetology.net/cases/2547668/screening-report/18?type=pdf&amp;v=v6&amp;scorecard=1&amp;secret_key=BX%25IJ%24%2F65ieZ%29f6", 2547668)</f>
        <v>2547668</v>
      </c>
      <c r="C1555" s="2">
        <f>HYPERLINK("https://platform.v2.vetology.net/report/v/final/"&amp;2547668, 2547668)</f>
        <v>2547668</v>
      </c>
      <c r="D1555" s="2" t="s">
        <v>4429</v>
      </c>
      <c r="E1555" s="2" t="s">
        <v>4430</v>
      </c>
      <c r="F1555" s="2" t="s">
        <v>4431</v>
      </c>
      <c r="G1555" s="2" t="s">
        <v>464</v>
      </c>
      <c r="H1555" s="2" t="s">
        <v>129</v>
      </c>
      <c r="I1555" s="2" t="s">
        <v>44</v>
      </c>
      <c r="J1555" s="2"/>
      <c r="K1555" s="2" t="s">
        <v>38</v>
      </c>
      <c r="L1555" s="2" t="s">
        <v>38</v>
      </c>
      <c r="M1555" s="2" t="s">
        <v>38</v>
      </c>
      <c r="N1555" s="2" t="s">
        <v>38</v>
      </c>
      <c r="O1555" s="2" t="s">
        <v>38</v>
      </c>
      <c r="P1555" s="2" t="s">
        <v>38</v>
      </c>
      <c r="Q1555" s="2" t="s">
        <v>38</v>
      </c>
      <c r="R1555" s="2" t="s">
        <v>38</v>
      </c>
      <c r="S1555" s="2" t="s">
        <v>38</v>
      </c>
      <c r="T1555" s="2" t="s">
        <v>38</v>
      </c>
      <c r="U1555" s="2" t="s">
        <v>38</v>
      </c>
      <c r="V1555" s="2" t="s">
        <v>38</v>
      </c>
      <c r="W1555" s="2" t="s">
        <v>38</v>
      </c>
      <c r="X1555" s="2" t="s">
        <v>38</v>
      </c>
      <c r="Y1555" s="2" t="s">
        <v>38</v>
      </c>
      <c r="Z1555" s="2" t="s">
        <v>38</v>
      </c>
      <c r="AA1555" s="2" t="s">
        <v>38</v>
      </c>
      <c r="AB1555" s="2" t="s">
        <v>38</v>
      </c>
      <c r="AC1555" s="2" t="s">
        <v>38</v>
      </c>
      <c r="AD1555" s="2" t="s">
        <v>38</v>
      </c>
      <c r="AE1555" s="2" t="s">
        <v>38</v>
      </c>
    </row>
    <row r="1556" spans="1:31" ht="409.5">
      <c r="A1556" s="2">
        <v>2547660</v>
      </c>
      <c r="B1556" s="2">
        <f>HYPERLINK("https://platform.v2.vetology.net/cases/2547660/screening-report/18?type=pdf&amp;v=v6&amp;scorecard=1&amp;secret_key=BX%25IJ%24%2F65ieZ%29f6", 2547660)</f>
        <v>2547660</v>
      </c>
      <c r="C1556" s="2">
        <f>HYPERLINK("https://platform.v2.vetology.net/report/v/final/"&amp;2547660, 2547660)</f>
        <v>2547660</v>
      </c>
      <c r="D1556" s="2" t="s">
        <v>4432</v>
      </c>
      <c r="E1556" s="2" t="s">
        <v>4433</v>
      </c>
      <c r="F1556" s="2" t="s">
        <v>4434</v>
      </c>
      <c r="G1556" s="2" t="s">
        <v>63</v>
      </c>
      <c r="H1556" s="2" t="s">
        <v>607</v>
      </c>
      <c r="I1556" s="2" t="s">
        <v>137</v>
      </c>
      <c r="J1556" s="2" t="s">
        <v>66</v>
      </c>
      <c r="K1556" s="2" t="s">
        <v>38</v>
      </c>
      <c r="L1556" s="2" t="s">
        <v>38</v>
      </c>
      <c r="M1556" s="2" t="s">
        <v>39</v>
      </c>
      <c r="N1556" s="2" t="s">
        <v>38</v>
      </c>
      <c r="O1556" s="2" t="s">
        <v>38</v>
      </c>
      <c r="P1556" s="2" t="s">
        <v>39</v>
      </c>
      <c r="Q1556" s="2" t="s">
        <v>38</v>
      </c>
      <c r="R1556" s="2" t="s">
        <v>38</v>
      </c>
      <c r="S1556" s="2" t="s">
        <v>38</v>
      </c>
      <c r="T1556" s="2" t="s">
        <v>38</v>
      </c>
      <c r="U1556" s="2" t="s">
        <v>38</v>
      </c>
      <c r="V1556" s="2" t="s">
        <v>38</v>
      </c>
      <c r="W1556" s="2" t="s">
        <v>38</v>
      </c>
      <c r="X1556" s="2" t="s">
        <v>39</v>
      </c>
      <c r="Y1556" s="2" t="s">
        <v>38</v>
      </c>
      <c r="Z1556" s="2" t="s">
        <v>38</v>
      </c>
      <c r="AA1556" s="2" t="s">
        <v>38</v>
      </c>
      <c r="AB1556" s="2" t="s">
        <v>38</v>
      </c>
      <c r="AC1556" s="2" t="s">
        <v>38</v>
      </c>
      <c r="AD1556" s="2" t="s">
        <v>38</v>
      </c>
      <c r="AE1556" s="2" t="s">
        <v>38</v>
      </c>
    </row>
    <row r="1557" spans="1:31" ht="409.5">
      <c r="A1557" s="2">
        <v>2547599</v>
      </c>
      <c r="B1557" s="2">
        <f>HYPERLINK("https://platform.v2.vetology.net/cases/2547599/screening-report/18?type=pdf&amp;v=v6&amp;scorecard=1&amp;secret_key=BX%25IJ%24%2F65ieZ%29f6", 2547599)</f>
        <v>2547599</v>
      </c>
      <c r="C1557" s="2">
        <f>HYPERLINK("https://platform.v2.vetology.net/report/v/final/"&amp;2547599, 2547599)</f>
        <v>2547599</v>
      </c>
      <c r="D1557" s="2" t="s">
        <v>982</v>
      </c>
      <c r="E1557" s="2" t="s">
        <v>911</v>
      </c>
      <c r="F1557" s="2"/>
      <c r="G1557" s="2" t="s">
        <v>150</v>
      </c>
      <c r="H1557" s="2" t="s">
        <v>166</v>
      </c>
      <c r="I1557" s="2" t="s">
        <v>167</v>
      </c>
      <c r="J1557" s="2" t="s">
        <v>168</v>
      </c>
      <c r="K1557" s="2" t="s">
        <v>38</v>
      </c>
      <c r="L1557" s="2" t="s">
        <v>39</v>
      </c>
      <c r="M1557" s="2" t="s">
        <v>38</v>
      </c>
      <c r="N1557" s="2" t="s">
        <v>38</v>
      </c>
      <c r="O1557" s="2" t="s">
        <v>38</v>
      </c>
      <c r="P1557" s="2" t="s">
        <v>38</v>
      </c>
      <c r="Q1557" s="2" t="s">
        <v>38</v>
      </c>
      <c r="R1557" s="2" t="s">
        <v>38</v>
      </c>
      <c r="S1557" s="2" t="s">
        <v>39</v>
      </c>
      <c r="T1557" s="2" t="s">
        <v>39</v>
      </c>
      <c r="U1557" s="2" t="s">
        <v>39</v>
      </c>
      <c r="V1557" s="2" t="s">
        <v>38</v>
      </c>
      <c r="W1557" s="2" t="s">
        <v>38</v>
      </c>
      <c r="X1557" s="2" t="s">
        <v>39</v>
      </c>
      <c r="Y1557" s="2" t="s">
        <v>38</v>
      </c>
      <c r="Z1557" s="2" t="s">
        <v>39</v>
      </c>
      <c r="AA1557" s="2" t="s">
        <v>38</v>
      </c>
      <c r="AB1557" s="2" t="s">
        <v>39</v>
      </c>
      <c r="AC1557" s="2" t="s">
        <v>39</v>
      </c>
      <c r="AD1557" s="2" t="s">
        <v>38</v>
      </c>
      <c r="AE1557" s="2" t="s">
        <v>38</v>
      </c>
    </row>
    <row r="1558" spans="1:31" ht="409.5">
      <c r="A1558" s="2">
        <v>2547561</v>
      </c>
      <c r="B1558" s="2">
        <f>HYPERLINK("https://platform.v2.vetology.net/cases/2547561/screening-report/18?type=pdf&amp;v=v6&amp;scorecard=1&amp;secret_key=BX%25IJ%24%2F65ieZ%29f6", 2547561)</f>
        <v>2547561</v>
      </c>
      <c r="C1558" s="2">
        <f>HYPERLINK("https://platform.v2.vetology.net/report/v/final/"&amp;2547561, 2547561)</f>
        <v>2547561</v>
      </c>
      <c r="D1558" s="2" t="s">
        <v>4435</v>
      </c>
      <c r="E1558" s="2" t="s">
        <v>4436</v>
      </c>
      <c r="F1558" s="2" t="s">
        <v>81</v>
      </c>
      <c r="G1558" s="2" t="s">
        <v>268</v>
      </c>
      <c r="H1558" s="2" t="s">
        <v>786</v>
      </c>
      <c r="I1558" s="2" t="s">
        <v>36</v>
      </c>
      <c r="J1558" s="2" t="s">
        <v>37</v>
      </c>
      <c r="K1558" s="2" t="s">
        <v>38</v>
      </c>
      <c r="L1558" s="2" t="s">
        <v>38</v>
      </c>
      <c r="M1558" s="2" t="s">
        <v>38</v>
      </c>
      <c r="N1558" s="2" t="s">
        <v>38</v>
      </c>
      <c r="O1558" s="2" t="s">
        <v>38</v>
      </c>
      <c r="P1558" s="2" t="s">
        <v>38</v>
      </c>
      <c r="Q1558" s="2" t="s">
        <v>38</v>
      </c>
      <c r="R1558" s="2" t="s">
        <v>38</v>
      </c>
      <c r="S1558" s="2" t="s">
        <v>38</v>
      </c>
      <c r="T1558" s="2" t="s">
        <v>39</v>
      </c>
      <c r="U1558" s="2" t="s">
        <v>38</v>
      </c>
      <c r="V1558" s="2" t="s">
        <v>38</v>
      </c>
      <c r="W1558" s="2" t="s">
        <v>38</v>
      </c>
      <c r="X1558" s="2" t="s">
        <v>38</v>
      </c>
      <c r="Y1558" s="2" t="s">
        <v>38</v>
      </c>
      <c r="Z1558" s="2" t="s">
        <v>38</v>
      </c>
      <c r="AA1558" s="2" t="s">
        <v>38</v>
      </c>
      <c r="AB1558" s="2" t="s">
        <v>38</v>
      </c>
      <c r="AC1558" s="2" t="s">
        <v>38</v>
      </c>
      <c r="AD1558" s="2" t="s">
        <v>38</v>
      </c>
      <c r="AE1558" s="2" t="s">
        <v>38</v>
      </c>
    </row>
    <row r="1559" spans="1:31" ht="409.5">
      <c r="A1559" s="2">
        <v>2547494</v>
      </c>
      <c r="B1559" s="2">
        <f>HYPERLINK("https://platform.v2.vetology.net/cases/2547494/screening-report/18?type=pdf&amp;v=v6&amp;scorecard=1&amp;secret_key=BX%25IJ%24%2F65ieZ%29f6", 2547494)</f>
        <v>2547494</v>
      </c>
      <c r="C1559" s="2">
        <f>HYPERLINK("https://platform.v2.vetology.net/report/v/final/"&amp;2547494, 2547494)</f>
        <v>2547494</v>
      </c>
      <c r="D1559" s="2" t="s">
        <v>3950</v>
      </c>
      <c r="E1559" s="2" t="s">
        <v>387</v>
      </c>
      <c r="F1559" s="2" t="s">
        <v>149</v>
      </c>
      <c r="G1559" s="2" t="s">
        <v>150</v>
      </c>
      <c r="H1559" s="2" t="s">
        <v>244</v>
      </c>
      <c r="I1559" s="2" t="s">
        <v>245</v>
      </c>
      <c r="J1559" s="2" t="s">
        <v>246</v>
      </c>
      <c r="K1559" s="2" t="s">
        <v>38</v>
      </c>
      <c r="L1559" s="2" t="s">
        <v>39</v>
      </c>
      <c r="M1559" s="2" t="s">
        <v>39</v>
      </c>
      <c r="N1559" s="2" t="s">
        <v>39</v>
      </c>
      <c r="O1559" s="2" t="s">
        <v>38</v>
      </c>
      <c r="P1559" s="2" t="s">
        <v>39</v>
      </c>
      <c r="Q1559" s="2" t="s">
        <v>38</v>
      </c>
      <c r="R1559" s="2" t="s">
        <v>38</v>
      </c>
      <c r="S1559" s="2" t="s">
        <v>38</v>
      </c>
      <c r="T1559" s="2" t="s">
        <v>38</v>
      </c>
      <c r="U1559" s="2" t="s">
        <v>38</v>
      </c>
      <c r="V1559" s="2" t="s">
        <v>38</v>
      </c>
      <c r="W1559" s="2" t="s">
        <v>38</v>
      </c>
      <c r="X1559" s="2" t="s">
        <v>38</v>
      </c>
      <c r="Y1559" s="2" t="s">
        <v>38</v>
      </c>
      <c r="Z1559" s="2" t="s">
        <v>38</v>
      </c>
      <c r="AA1559" s="2" t="s">
        <v>38</v>
      </c>
      <c r="AB1559" s="2" t="s">
        <v>38</v>
      </c>
      <c r="AC1559" s="2" t="s">
        <v>38</v>
      </c>
      <c r="AD1559" s="2" t="s">
        <v>38</v>
      </c>
      <c r="AE1559" s="2" t="s">
        <v>38</v>
      </c>
    </row>
    <row r="1560" spans="1:31" ht="409.5">
      <c r="A1560" s="2">
        <v>2547004</v>
      </c>
      <c r="B1560" s="2">
        <f>HYPERLINK("https://platform.v2.vetology.net/cases/2547004/screening-report/18?type=pdf&amp;v=v6&amp;scorecard=1&amp;secret_key=BX%25IJ%24%2F65ieZ%29f6", 2547004)</f>
        <v>2547004</v>
      </c>
      <c r="C1560" s="2">
        <f>HYPERLINK("https://platform.v2.vetology.net/report/v/final/"&amp;2547004, 2547004)</f>
        <v>2547004</v>
      </c>
      <c r="D1560" s="2" t="s">
        <v>4437</v>
      </c>
      <c r="E1560" s="2" t="s">
        <v>4438</v>
      </c>
      <c r="F1560" s="2" t="s">
        <v>4439</v>
      </c>
      <c r="G1560" s="2" t="s">
        <v>212</v>
      </c>
      <c r="H1560" s="2" t="s">
        <v>59</v>
      </c>
      <c r="I1560" s="2" t="s">
        <v>49</v>
      </c>
      <c r="J1560" s="2" t="s">
        <v>50</v>
      </c>
      <c r="K1560" s="2" t="s">
        <v>38</v>
      </c>
      <c r="L1560" s="2" t="s">
        <v>38</v>
      </c>
      <c r="M1560" s="2" t="s">
        <v>39</v>
      </c>
      <c r="N1560" s="2" t="s">
        <v>38</v>
      </c>
      <c r="O1560" s="2" t="s">
        <v>38</v>
      </c>
      <c r="P1560" s="2" t="s">
        <v>38</v>
      </c>
      <c r="Q1560" s="2" t="s">
        <v>38</v>
      </c>
      <c r="R1560" s="2" t="s">
        <v>38</v>
      </c>
      <c r="S1560" s="2" t="s">
        <v>38</v>
      </c>
      <c r="T1560" s="2" t="s">
        <v>38</v>
      </c>
      <c r="U1560" s="2" t="s">
        <v>38</v>
      </c>
      <c r="V1560" s="2" t="s">
        <v>38</v>
      </c>
      <c r="W1560" s="2" t="s">
        <v>38</v>
      </c>
      <c r="X1560" s="2" t="s">
        <v>38</v>
      </c>
      <c r="Y1560" s="2" t="s">
        <v>38</v>
      </c>
      <c r="Z1560" s="2" t="s">
        <v>38</v>
      </c>
      <c r="AA1560" s="2" t="s">
        <v>38</v>
      </c>
      <c r="AB1560" s="2" t="s">
        <v>39</v>
      </c>
      <c r="AC1560" s="2" t="s">
        <v>38</v>
      </c>
      <c r="AD1560" s="2" t="s">
        <v>38</v>
      </c>
      <c r="AE1560" s="2" t="s">
        <v>38</v>
      </c>
    </row>
    <row r="1561" spans="1:31" ht="409.5">
      <c r="A1561" s="2">
        <v>2546782</v>
      </c>
      <c r="B1561" s="2">
        <f>HYPERLINK("https://platform.v2.vetology.net/cases/2546782/screening-report/18?type=pdf&amp;v=v6&amp;scorecard=1&amp;secret_key=BX%25IJ%24%2F65ieZ%29f6", 2546782)</f>
        <v>2546782</v>
      </c>
      <c r="C1561" s="2">
        <f>HYPERLINK("https://platform.v2.vetology.net/report/v/final/"&amp;2546782, 2546782)</f>
        <v>2546782</v>
      </c>
      <c r="D1561" s="2" t="s">
        <v>4440</v>
      </c>
      <c r="E1561" s="2" t="s">
        <v>4441</v>
      </c>
      <c r="F1561" s="2" t="s">
        <v>4442</v>
      </c>
      <c r="G1561" s="2" t="s">
        <v>63</v>
      </c>
      <c r="H1561" s="2" t="s">
        <v>129</v>
      </c>
      <c r="I1561" s="2" t="s">
        <v>44</v>
      </c>
      <c r="J1561" s="2"/>
      <c r="K1561" s="2" t="s">
        <v>38</v>
      </c>
      <c r="L1561" s="2" t="s">
        <v>38</v>
      </c>
      <c r="M1561" s="2" t="s">
        <v>39</v>
      </c>
      <c r="N1561" s="2" t="s">
        <v>38</v>
      </c>
      <c r="O1561" s="2" t="s">
        <v>38</v>
      </c>
      <c r="P1561" s="2" t="s">
        <v>39</v>
      </c>
      <c r="Q1561" s="2" t="s">
        <v>38</v>
      </c>
      <c r="R1561" s="2" t="s">
        <v>38</v>
      </c>
      <c r="S1561" s="2" t="s">
        <v>39</v>
      </c>
      <c r="T1561" s="2" t="s">
        <v>39</v>
      </c>
      <c r="U1561" s="2" t="s">
        <v>39</v>
      </c>
      <c r="V1561" s="2" t="s">
        <v>38</v>
      </c>
      <c r="W1561" s="2" t="s">
        <v>38</v>
      </c>
      <c r="X1561" s="2" t="s">
        <v>39</v>
      </c>
      <c r="Y1561" s="2" t="s">
        <v>38</v>
      </c>
      <c r="Z1561" s="2" t="s">
        <v>38</v>
      </c>
      <c r="AA1561" s="2" t="s">
        <v>38</v>
      </c>
      <c r="AB1561" s="2" t="s">
        <v>39</v>
      </c>
      <c r="AC1561" s="2" t="s">
        <v>39</v>
      </c>
      <c r="AD1561" s="2" t="s">
        <v>38</v>
      </c>
      <c r="AE1561" s="2" t="s">
        <v>39</v>
      </c>
    </row>
    <row r="1562" spans="1:31" ht="409.5">
      <c r="A1562" s="2">
        <v>2546635</v>
      </c>
      <c r="B1562" s="2">
        <f>HYPERLINK("https://platform.v2.vetology.net/cases/2546635/screening-report/18?type=pdf&amp;v=v6&amp;scorecard=1&amp;secret_key=BX%25IJ%24%2F65ieZ%29f6", 2546635)</f>
        <v>2546635</v>
      </c>
      <c r="C1562" s="2">
        <f>HYPERLINK("https://platform.v2.vetology.net/report/v/final/"&amp;2546635, 2546635)</f>
        <v>2546635</v>
      </c>
      <c r="D1562" s="2" t="s">
        <v>4443</v>
      </c>
      <c r="E1562" s="2" t="s">
        <v>4444</v>
      </c>
      <c r="F1562" s="2" t="s">
        <v>81</v>
      </c>
      <c r="G1562" s="2" t="s">
        <v>268</v>
      </c>
      <c r="H1562" s="2" t="s">
        <v>4445</v>
      </c>
      <c r="I1562" s="2" t="s">
        <v>173</v>
      </c>
      <c r="J1562" s="2" t="s">
        <v>174</v>
      </c>
      <c r="K1562" s="2" t="s">
        <v>38</v>
      </c>
      <c r="L1562" s="2" t="s">
        <v>39</v>
      </c>
      <c r="M1562" s="2" t="s">
        <v>38</v>
      </c>
      <c r="N1562" s="2" t="s">
        <v>38</v>
      </c>
      <c r="O1562" s="2" t="s">
        <v>38</v>
      </c>
      <c r="P1562" s="2" t="s">
        <v>38</v>
      </c>
      <c r="Q1562" s="2" t="s">
        <v>38</v>
      </c>
      <c r="R1562" s="2" t="s">
        <v>38</v>
      </c>
      <c r="S1562" s="2" t="s">
        <v>39</v>
      </c>
      <c r="T1562" s="2" t="s">
        <v>39</v>
      </c>
      <c r="U1562" s="2" t="s">
        <v>38</v>
      </c>
      <c r="V1562" s="2" t="s">
        <v>39</v>
      </c>
      <c r="W1562" s="2" t="s">
        <v>38</v>
      </c>
      <c r="X1562" s="2" t="s">
        <v>39</v>
      </c>
      <c r="Y1562" s="2" t="s">
        <v>38</v>
      </c>
      <c r="Z1562" s="2" t="s">
        <v>39</v>
      </c>
      <c r="AA1562" s="2" t="s">
        <v>38</v>
      </c>
      <c r="AB1562" s="2" t="s">
        <v>39</v>
      </c>
      <c r="AC1562" s="2" t="s">
        <v>39</v>
      </c>
      <c r="AD1562" s="2" t="s">
        <v>38</v>
      </c>
      <c r="AE1562" s="2" t="s">
        <v>38</v>
      </c>
    </row>
    <row r="1563" spans="1:31" ht="409.5">
      <c r="A1563" s="2">
        <v>2546409</v>
      </c>
      <c r="B1563" s="2">
        <f>HYPERLINK("https://platform.v2.vetology.net/cases/2546409/screening-report/18?type=pdf&amp;v=v6&amp;scorecard=1&amp;secret_key=BX%25IJ%24%2F65ieZ%29f6", 2546409)</f>
        <v>2546409</v>
      </c>
      <c r="C1563" s="2">
        <f>HYPERLINK("https://platform.v2.vetology.net/report/v/final/"&amp;2546409, 2546409)</f>
        <v>2546409</v>
      </c>
      <c r="D1563" s="2" t="s">
        <v>4446</v>
      </c>
      <c r="E1563" s="2" t="s">
        <v>4447</v>
      </c>
      <c r="F1563" s="2" t="s">
        <v>81</v>
      </c>
      <c r="G1563" s="2" t="s">
        <v>268</v>
      </c>
      <c r="H1563" s="2" t="s">
        <v>442</v>
      </c>
      <c r="I1563" s="2" t="s">
        <v>36</v>
      </c>
      <c r="J1563" s="2" t="s">
        <v>37</v>
      </c>
      <c r="K1563" s="2" t="s">
        <v>38</v>
      </c>
      <c r="L1563" s="2" t="s">
        <v>38</v>
      </c>
      <c r="M1563" s="2" t="s">
        <v>39</v>
      </c>
      <c r="N1563" s="2" t="s">
        <v>38</v>
      </c>
      <c r="O1563" s="2" t="s">
        <v>38</v>
      </c>
      <c r="P1563" s="2" t="s">
        <v>38</v>
      </c>
      <c r="Q1563" s="2" t="s">
        <v>38</v>
      </c>
      <c r="R1563" s="2" t="s">
        <v>38</v>
      </c>
      <c r="S1563" s="2" t="s">
        <v>38</v>
      </c>
      <c r="T1563" s="2" t="s">
        <v>38</v>
      </c>
      <c r="U1563" s="2" t="s">
        <v>38</v>
      </c>
      <c r="V1563" s="2" t="s">
        <v>38</v>
      </c>
      <c r="W1563" s="2" t="s">
        <v>38</v>
      </c>
      <c r="X1563" s="2" t="s">
        <v>38</v>
      </c>
      <c r="Y1563" s="2" t="s">
        <v>38</v>
      </c>
      <c r="Z1563" s="2" t="s">
        <v>38</v>
      </c>
      <c r="AA1563" s="2" t="s">
        <v>38</v>
      </c>
      <c r="AB1563" s="2" t="s">
        <v>39</v>
      </c>
      <c r="AC1563" s="2" t="s">
        <v>38</v>
      </c>
      <c r="AD1563" s="2" t="s">
        <v>38</v>
      </c>
      <c r="AE1563" s="2" t="s">
        <v>38</v>
      </c>
    </row>
    <row r="1564" spans="1:31" ht="409.5">
      <c r="A1564" s="2">
        <v>2546307</v>
      </c>
      <c r="B1564" s="2">
        <f>HYPERLINK("https://platform.v2.vetology.net/cases/2546307/screening-report/18?type=pdf&amp;v=v6&amp;scorecard=1&amp;secret_key=BX%25IJ%24%2F65ieZ%29f6", 2546307)</f>
        <v>2546307</v>
      </c>
      <c r="C1564" s="2">
        <f>HYPERLINK("https://platform.v2.vetology.net/report/v/final/"&amp;2546307, 2546307)</f>
        <v>2546307</v>
      </c>
      <c r="D1564" s="2" t="s">
        <v>4448</v>
      </c>
      <c r="E1564" s="2" t="s">
        <v>4449</v>
      </c>
      <c r="F1564" s="2" t="s">
        <v>4450</v>
      </c>
      <c r="G1564" s="2" t="s">
        <v>93</v>
      </c>
      <c r="H1564" s="2" t="s">
        <v>4451</v>
      </c>
      <c r="I1564" s="2" t="s">
        <v>137</v>
      </c>
      <c r="J1564" s="2" t="s">
        <v>66</v>
      </c>
      <c r="K1564" s="2" t="s">
        <v>38</v>
      </c>
      <c r="L1564" s="2" t="s">
        <v>39</v>
      </c>
      <c r="M1564" s="2" t="s">
        <v>39</v>
      </c>
      <c r="N1564" s="2" t="s">
        <v>38</v>
      </c>
      <c r="O1564" s="2" t="s">
        <v>39</v>
      </c>
      <c r="P1564" s="2" t="s">
        <v>38</v>
      </c>
      <c r="Q1564" s="2" t="s">
        <v>38</v>
      </c>
      <c r="R1564" s="2" t="s">
        <v>38</v>
      </c>
      <c r="S1564" s="2" t="s">
        <v>38</v>
      </c>
      <c r="T1564" s="2" t="s">
        <v>38</v>
      </c>
      <c r="U1564" s="2" t="s">
        <v>38</v>
      </c>
      <c r="V1564" s="2" t="s">
        <v>38</v>
      </c>
      <c r="W1564" s="2" t="s">
        <v>38</v>
      </c>
      <c r="X1564" s="2" t="s">
        <v>38</v>
      </c>
      <c r="Y1564" s="2" t="s">
        <v>38</v>
      </c>
      <c r="Z1564" s="2" t="s">
        <v>38</v>
      </c>
      <c r="AA1564" s="2" t="s">
        <v>38</v>
      </c>
      <c r="AB1564" s="2" t="s">
        <v>39</v>
      </c>
      <c r="AC1564" s="2" t="s">
        <v>39</v>
      </c>
      <c r="AD1564" s="2" t="s">
        <v>38</v>
      </c>
      <c r="AE1564" s="2" t="s">
        <v>38</v>
      </c>
    </row>
    <row r="1565" spans="1:31" ht="409.5">
      <c r="A1565" s="2">
        <v>2546259</v>
      </c>
      <c r="B1565" s="2">
        <f>HYPERLINK("https://platform.v2.vetology.net/cases/2546259/screening-report/18?type=pdf&amp;v=v6&amp;scorecard=1&amp;secret_key=BX%25IJ%24%2F65ieZ%29f6", 2546259)</f>
        <v>2546259</v>
      </c>
      <c r="C1565" s="2">
        <f>HYPERLINK("https://platform.v2.vetology.net/report/v/final/"&amp;2546259, 2546259)</f>
        <v>2546259</v>
      </c>
      <c r="D1565" s="2" t="s">
        <v>4452</v>
      </c>
      <c r="E1565" s="2" t="s">
        <v>4453</v>
      </c>
      <c r="F1565" s="2" t="s">
        <v>81</v>
      </c>
      <c r="G1565" s="2" t="s">
        <v>82</v>
      </c>
      <c r="H1565" s="2" t="s">
        <v>136</v>
      </c>
      <c r="I1565" s="2" t="s">
        <v>137</v>
      </c>
      <c r="J1565" s="2" t="s">
        <v>66</v>
      </c>
      <c r="K1565" s="2" t="s">
        <v>38</v>
      </c>
      <c r="L1565" s="2" t="s">
        <v>39</v>
      </c>
      <c r="M1565" s="2" t="s">
        <v>39</v>
      </c>
      <c r="N1565" s="2" t="s">
        <v>38</v>
      </c>
      <c r="O1565" s="2" t="s">
        <v>38</v>
      </c>
      <c r="P1565" s="2" t="s">
        <v>39</v>
      </c>
      <c r="Q1565" s="2" t="s">
        <v>38</v>
      </c>
      <c r="R1565" s="2" t="s">
        <v>38</v>
      </c>
      <c r="S1565" s="2" t="s">
        <v>38</v>
      </c>
      <c r="T1565" s="2" t="s">
        <v>38</v>
      </c>
      <c r="U1565" s="2" t="s">
        <v>38</v>
      </c>
      <c r="V1565" s="2" t="s">
        <v>38</v>
      </c>
      <c r="W1565" s="2" t="s">
        <v>38</v>
      </c>
      <c r="X1565" s="2" t="s">
        <v>38</v>
      </c>
      <c r="Y1565" s="2" t="s">
        <v>38</v>
      </c>
      <c r="Z1565" s="2" t="s">
        <v>38</v>
      </c>
      <c r="AA1565" s="2" t="s">
        <v>38</v>
      </c>
      <c r="AB1565" s="2" t="s">
        <v>38</v>
      </c>
      <c r="AC1565" s="2" t="s">
        <v>39</v>
      </c>
      <c r="AD1565" s="2" t="s">
        <v>38</v>
      </c>
      <c r="AE1565" s="2" t="s">
        <v>38</v>
      </c>
    </row>
    <row r="1566" spans="1:31" ht="409.5">
      <c r="A1566" s="2">
        <v>2546162</v>
      </c>
      <c r="B1566" s="2">
        <f>HYPERLINK("https://platform.v2.vetology.net/cases/2546162/screening-report/18?type=pdf&amp;v=v6&amp;scorecard=1&amp;secret_key=BX%25IJ%24%2F65ieZ%29f6", 2546162)</f>
        <v>2546162</v>
      </c>
      <c r="C1566" s="2">
        <f>HYPERLINK("https://platform.v2.vetology.net/report/v/final/"&amp;2546162, 2546162)</f>
        <v>2546162</v>
      </c>
      <c r="D1566" s="2" t="s">
        <v>4454</v>
      </c>
      <c r="E1566" s="2" t="s">
        <v>4455</v>
      </c>
      <c r="F1566" s="2" t="s">
        <v>81</v>
      </c>
      <c r="G1566" s="2" t="s">
        <v>268</v>
      </c>
      <c r="H1566" s="2" t="s">
        <v>213</v>
      </c>
      <c r="I1566" s="2" t="s">
        <v>214</v>
      </c>
      <c r="J1566" s="2" t="s">
        <v>50</v>
      </c>
      <c r="K1566" s="2" t="s">
        <v>38</v>
      </c>
      <c r="L1566" s="2" t="s">
        <v>38</v>
      </c>
      <c r="M1566" s="2" t="s">
        <v>39</v>
      </c>
      <c r="N1566" s="2" t="s">
        <v>38</v>
      </c>
      <c r="O1566" s="2" t="s">
        <v>38</v>
      </c>
      <c r="P1566" s="2" t="s">
        <v>38</v>
      </c>
      <c r="Q1566" s="2" t="s">
        <v>38</v>
      </c>
      <c r="R1566" s="2" t="s">
        <v>38</v>
      </c>
      <c r="S1566" s="2" t="s">
        <v>38</v>
      </c>
      <c r="T1566" s="2" t="s">
        <v>39</v>
      </c>
      <c r="U1566" s="2" t="s">
        <v>38</v>
      </c>
      <c r="V1566" s="2" t="s">
        <v>39</v>
      </c>
      <c r="W1566" s="2" t="s">
        <v>38</v>
      </c>
      <c r="X1566" s="2" t="s">
        <v>39</v>
      </c>
      <c r="Y1566" s="2" t="s">
        <v>38</v>
      </c>
      <c r="Z1566" s="2" t="s">
        <v>38</v>
      </c>
      <c r="AA1566" s="2" t="s">
        <v>38</v>
      </c>
      <c r="AB1566" s="2" t="s">
        <v>39</v>
      </c>
      <c r="AC1566" s="2" t="s">
        <v>38</v>
      </c>
      <c r="AD1566" s="2" t="s">
        <v>38</v>
      </c>
      <c r="AE1566" s="2" t="s">
        <v>38</v>
      </c>
    </row>
    <row r="1567" spans="1:31" ht="409.5">
      <c r="A1567" s="2">
        <v>2545935</v>
      </c>
      <c r="B1567" s="2">
        <f>HYPERLINK("https://platform.v2.vetology.net/cases/2545935/screening-report/18?type=pdf&amp;v=v6&amp;scorecard=1&amp;secret_key=BX%25IJ%24%2F65ieZ%29f6", 2545935)</f>
        <v>2545935</v>
      </c>
      <c r="C1567" s="2">
        <f>HYPERLINK("https://platform.v2.vetology.net/report/v/final/"&amp;2545935, 2545935)</f>
        <v>2545935</v>
      </c>
      <c r="D1567" s="2" t="s">
        <v>4456</v>
      </c>
      <c r="E1567" s="2" t="s">
        <v>4044</v>
      </c>
      <c r="F1567" s="2" t="s">
        <v>4457</v>
      </c>
      <c r="G1567" s="2" t="s">
        <v>82</v>
      </c>
      <c r="H1567" s="2" t="s">
        <v>78</v>
      </c>
      <c r="I1567" s="2" t="s">
        <v>44</v>
      </c>
      <c r="J1567" s="2"/>
      <c r="K1567" s="2" t="s">
        <v>38</v>
      </c>
      <c r="L1567" s="2" t="s">
        <v>38</v>
      </c>
      <c r="M1567" s="2" t="s">
        <v>39</v>
      </c>
      <c r="N1567" s="2" t="s">
        <v>38</v>
      </c>
      <c r="O1567" s="2" t="s">
        <v>38</v>
      </c>
      <c r="P1567" s="2" t="s">
        <v>38</v>
      </c>
      <c r="Q1567" s="2" t="s">
        <v>38</v>
      </c>
      <c r="R1567" s="2" t="s">
        <v>38</v>
      </c>
      <c r="S1567" s="2" t="s">
        <v>38</v>
      </c>
      <c r="T1567" s="2" t="s">
        <v>38</v>
      </c>
      <c r="U1567" s="2" t="s">
        <v>38</v>
      </c>
      <c r="V1567" s="2" t="s">
        <v>38</v>
      </c>
      <c r="W1567" s="2" t="s">
        <v>38</v>
      </c>
      <c r="X1567" s="2" t="s">
        <v>38</v>
      </c>
      <c r="Y1567" s="2" t="s">
        <v>38</v>
      </c>
      <c r="Z1567" s="2" t="s">
        <v>38</v>
      </c>
      <c r="AA1567" s="2" t="s">
        <v>38</v>
      </c>
      <c r="AB1567" s="2" t="s">
        <v>38</v>
      </c>
      <c r="AC1567" s="2" t="s">
        <v>38</v>
      </c>
      <c r="AD1567" s="2" t="s">
        <v>38</v>
      </c>
      <c r="AE1567" s="2" t="s">
        <v>38</v>
      </c>
    </row>
    <row r="1568" spans="1:31" ht="409.5">
      <c r="A1568" s="2">
        <v>2545850</v>
      </c>
      <c r="B1568" s="2">
        <f>HYPERLINK("https://platform.v2.vetology.net/cases/2545850/screening-report/18?type=pdf&amp;v=v6&amp;scorecard=1&amp;secret_key=BX%25IJ%24%2F65ieZ%29f6", 2545850)</f>
        <v>2545850</v>
      </c>
      <c r="C1568" s="2">
        <f>HYPERLINK("https://platform.v2.vetology.net/report/v/final/"&amp;2545850, 2545850)</f>
        <v>2545850</v>
      </c>
      <c r="D1568" s="2" t="s">
        <v>4458</v>
      </c>
      <c r="E1568" s="2" t="s">
        <v>4459</v>
      </c>
      <c r="F1568" s="2" t="s">
        <v>4460</v>
      </c>
      <c r="G1568" s="2" t="s">
        <v>150</v>
      </c>
      <c r="H1568" s="2" t="s">
        <v>4461</v>
      </c>
      <c r="I1568" s="2" t="s">
        <v>584</v>
      </c>
      <c r="J1568" s="2" t="s">
        <v>585</v>
      </c>
      <c r="K1568" s="2" t="s">
        <v>38</v>
      </c>
      <c r="L1568" s="2" t="s">
        <v>39</v>
      </c>
      <c r="M1568" s="2" t="s">
        <v>39</v>
      </c>
      <c r="N1568" s="2" t="s">
        <v>39</v>
      </c>
      <c r="O1568" s="2" t="s">
        <v>39</v>
      </c>
      <c r="P1568" s="2" t="s">
        <v>39</v>
      </c>
      <c r="Q1568" s="2" t="s">
        <v>39</v>
      </c>
      <c r="R1568" s="2" t="s">
        <v>39</v>
      </c>
      <c r="S1568" s="2" t="s">
        <v>39</v>
      </c>
      <c r="T1568" s="2" t="s">
        <v>38</v>
      </c>
      <c r="U1568" s="2" t="s">
        <v>39</v>
      </c>
      <c r="V1568" s="2" t="s">
        <v>38</v>
      </c>
      <c r="W1568" s="2" t="s">
        <v>39</v>
      </c>
      <c r="X1568" s="2" t="s">
        <v>38</v>
      </c>
      <c r="Y1568" s="2" t="s">
        <v>39</v>
      </c>
      <c r="Z1568" s="2" t="s">
        <v>39</v>
      </c>
      <c r="AA1568" s="2" t="s">
        <v>39</v>
      </c>
      <c r="AB1568" s="2" t="s">
        <v>39</v>
      </c>
      <c r="AC1568" s="2" t="s">
        <v>39</v>
      </c>
      <c r="AD1568" s="2" t="s">
        <v>39</v>
      </c>
      <c r="AE1568" s="2" t="s">
        <v>38</v>
      </c>
    </row>
    <row r="1569" spans="1:31" ht="409.5">
      <c r="A1569" s="2">
        <v>2545663</v>
      </c>
      <c r="B1569" s="2">
        <f>HYPERLINK("https://platform.v2.vetology.net/cases/2545663/screening-report/18?type=pdf&amp;v=v6&amp;scorecard=1&amp;secret_key=BX%25IJ%24%2F65ieZ%29f6", 2545663)</f>
        <v>2545663</v>
      </c>
      <c r="C1569" s="2">
        <f>HYPERLINK("https://platform.v2.vetology.net/report/v/final/"&amp;2545663, 2545663)</f>
        <v>2545663</v>
      </c>
      <c r="D1569" s="2" t="s">
        <v>4462</v>
      </c>
      <c r="E1569" s="2" t="s">
        <v>4463</v>
      </c>
      <c r="F1569" s="2" t="s">
        <v>4464</v>
      </c>
      <c r="G1569" s="2" t="s">
        <v>135</v>
      </c>
      <c r="H1569" s="2" t="s">
        <v>54</v>
      </c>
      <c r="I1569" s="2" t="s">
        <v>44</v>
      </c>
      <c r="J1569" s="2"/>
      <c r="K1569" s="2" t="s">
        <v>38</v>
      </c>
      <c r="L1569" s="2" t="s">
        <v>39</v>
      </c>
      <c r="M1569" s="2" t="s">
        <v>39</v>
      </c>
      <c r="N1569" s="2" t="s">
        <v>38</v>
      </c>
      <c r="O1569" s="2" t="s">
        <v>38</v>
      </c>
      <c r="P1569" s="2" t="s">
        <v>39</v>
      </c>
      <c r="Q1569" s="2" t="s">
        <v>38</v>
      </c>
      <c r="R1569" s="2" t="s">
        <v>38</v>
      </c>
      <c r="S1569" s="2" t="s">
        <v>39</v>
      </c>
      <c r="T1569" s="2" t="s">
        <v>39</v>
      </c>
      <c r="U1569" s="2" t="s">
        <v>38</v>
      </c>
      <c r="V1569" s="2" t="s">
        <v>39</v>
      </c>
      <c r="W1569" s="2" t="s">
        <v>38</v>
      </c>
      <c r="X1569" s="2" t="s">
        <v>39</v>
      </c>
      <c r="Y1569" s="2" t="s">
        <v>38</v>
      </c>
      <c r="Z1569" s="2" t="s">
        <v>38</v>
      </c>
      <c r="AA1569" s="2" t="s">
        <v>38</v>
      </c>
      <c r="AB1569" s="2" t="s">
        <v>39</v>
      </c>
      <c r="AC1569" s="2" t="s">
        <v>39</v>
      </c>
      <c r="AD1569" s="2" t="s">
        <v>38</v>
      </c>
      <c r="AE1569" s="2" t="s">
        <v>38</v>
      </c>
    </row>
    <row r="1570" spans="1:31" ht="409.5">
      <c r="A1570" s="2">
        <v>2545588</v>
      </c>
      <c r="B1570" s="2">
        <f>HYPERLINK("https://platform.v2.vetology.net/cases/2545588/screening-report/18?type=pdf&amp;v=v6&amp;scorecard=1&amp;secret_key=BX%25IJ%24%2F65ieZ%29f6", 2545588)</f>
        <v>2545588</v>
      </c>
      <c r="C1570" s="2">
        <f>HYPERLINK("https://platform.v2.vetology.net/report/v/final/"&amp;2545588, 2545588)</f>
        <v>2545588</v>
      </c>
      <c r="D1570" s="2" t="s">
        <v>4465</v>
      </c>
      <c r="E1570" s="2" t="s">
        <v>4466</v>
      </c>
      <c r="F1570" s="2" t="s">
        <v>2976</v>
      </c>
      <c r="G1570" s="2" t="s">
        <v>150</v>
      </c>
      <c r="H1570" s="2" t="s">
        <v>413</v>
      </c>
      <c r="I1570" s="2" t="s">
        <v>214</v>
      </c>
      <c r="J1570" s="2" t="s">
        <v>50</v>
      </c>
      <c r="K1570" s="2" t="s">
        <v>38</v>
      </c>
      <c r="L1570" s="2" t="s">
        <v>39</v>
      </c>
      <c r="M1570" s="2" t="s">
        <v>39</v>
      </c>
      <c r="N1570" s="2" t="s">
        <v>38</v>
      </c>
      <c r="O1570" s="2" t="s">
        <v>38</v>
      </c>
      <c r="P1570" s="2" t="s">
        <v>38</v>
      </c>
      <c r="Q1570" s="2" t="s">
        <v>38</v>
      </c>
      <c r="R1570" s="2" t="s">
        <v>38</v>
      </c>
      <c r="S1570" s="2" t="s">
        <v>38</v>
      </c>
      <c r="T1570" s="2" t="s">
        <v>38</v>
      </c>
      <c r="U1570" s="2" t="s">
        <v>38</v>
      </c>
      <c r="V1570" s="2" t="s">
        <v>38</v>
      </c>
      <c r="W1570" s="2" t="s">
        <v>38</v>
      </c>
      <c r="X1570" s="2" t="s">
        <v>38</v>
      </c>
      <c r="Y1570" s="2" t="s">
        <v>38</v>
      </c>
      <c r="Z1570" s="2" t="s">
        <v>38</v>
      </c>
      <c r="AA1570" s="2" t="s">
        <v>38</v>
      </c>
      <c r="AB1570" s="2" t="s">
        <v>39</v>
      </c>
      <c r="AC1570" s="2" t="s">
        <v>38</v>
      </c>
      <c r="AD1570" s="2" t="s">
        <v>38</v>
      </c>
      <c r="AE1570" s="2" t="s">
        <v>39</v>
      </c>
    </row>
    <row r="1571" spans="1:31" ht="409.5">
      <c r="A1571" s="2">
        <v>2545502</v>
      </c>
      <c r="B1571" s="2">
        <f>HYPERLINK("https://platform.v2.vetology.net/cases/2545502/screening-report/18?type=pdf&amp;v=v6&amp;scorecard=1&amp;secret_key=BX%25IJ%24%2F65ieZ%29f6", 2545502)</f>
        <v>2545502</v>
      </c>
      <c r="C1571" s="2">
        <f>HYPERLINK("https://platform.v2.vetology.net/report/v/final/"&amp;2545502, 2545502)</f>
        <v>2545502</v>
      </c>
      <c r="D1571" s="2" t="s">
        <v>4467</v>
      </c>
      <c r="E1571" s="2" t="s">
        <v>4468</v>
      </c>
      <c r="F1571" s="2" t="s">
        <v>81</v>
      </c>
      <c r="G1571" s="2" t="s">
        <v>82</v>
      </c>
      <c r="H1571" s="2" t="s">
        <v>54</v>
      </c>
      <c r="I1571" s="2" t="s">
        <v>44</v>
      </c>
      <c r="J1571" s="2"/>
      <c r="K1571" s="2" t="s">
        <v>38</v>
      </c>
      <c r="L1571" s="2" t="s">
        <v>39</v>
      </c>
      <c r="M1571" s="2" t="s">
        <v>39</v>
      </c>
      <c r="N1571" s="2" t="s">
        <v>38</v>
      </c>
      <c r="O1571" s="2" t="s">
        <v>38</v>
      </c>
      <c r="P1571" s="2" t="s">
        <v>39</v>
      </c>
      <c r="Q1571" s="2" t="s">
        <v>38</v>
      </c>
      <c r="R1571" s="2" t="s">
        <v>38</v>
      </c>
      <c r="S1571" s="2" t="s">
        <v>38</v>
      </c>
      <c r="T1571" s="2" t="s">
        <v>38</v>
      </c>
      <c r="U1571" s="2" t="s">
        <v>38</v>
      </c>
      <c r="V1571" s="2" t="s">
        <v>38</v>
      </c>
      <c r="W1571" s="2" t="s">
        <v>38</v>
      </c>
      <c r="X1571" s="2" t="s">
        <v>38</v>
      </c>
      <c r="Y1571" s="2" t="s">
        <v>38</v>
      </c>
      <c r="Z1571" s="2" t="s">
        <v>38</v>
      </c>
      <c r="AA1571" s="2" t="s">
        <v>38</v>
      </c>
      <c r="AB1571" s="2" t="s">
        <v>38</v>
      </c>
      <c r="AC1571" s="2" t="s">
        <v>38</v>
      </c>
      <c r="AD1571" s="2" t="s">
        <v>38</v>
      </c>
      <c r="AE1571" s="2" t="s">
        <v>38</v>
      </c>
    </row>
    <row r="1572" spans="1:31" ht="409.5">
      <c r="A1572" s="2">
        <v>2544971</v>
      </c>
      <c r="B1572" s="2">
        <f>HYPERLINK("https://platform.v2.vetology.net/cases/2544971/screening-report/18?type=pdf&amp;v=v6&amp;scorecard=1&amp;secret_key=BX%25IJ%24%2F65ieZ%29f6", 2544971)</f>
        <v>2544971</v>
      </c>
      <c r="C1572" s="2">
        <f>HYPERLINK("https://platform.v2.vetology.net/report/v/final/"&amp;2544971, 2544971)</f>
        <v>2544971</v>
      </c>
      <c r="D1572" s="2" t="s">
        <v>795</v>
      </c>
      <c r="E1572" s="2" t="s">
        <v>1998</v>
      </c>
      <c r="F1572" s="2" t="s">
        <v>4469</v>
      </c>
      <c r="G1572" s="2" t="s">
        <v>135</v>
      </c>
      <c r="H1572" s="2" t="s">
        <v>4470</v>
      </c>
      <c r="I1572" s="2" t="s">
        <v>503</v>
      </c>
      <c r="J1572" s="2" t="s">
        <v>66</v>
      </c>
      <c r="K1572" s="2" t="s">
        <v>38</v>
      </c>
      <c r="L1572" s="2" t="s">
        <v>38</v>
      </c>
      <c r="M1572" s="2" t="s">
        <v>38</v>
      </c>
      <c r="N1572" s="2" t="s">
        <v>39</v>
      </c>
      <c r="O1572" s="2" t="s">
        <v>38</v>
      </c>
      <c r="P1572" s="2" t="s">
        <v>39</v>
      </c>
      <c r="Q1572" s="2" t="s">
        <v>38</v>
      </c>
      <c r="R1572" s="2" t="s">
        <v>38</v>
      </c>
      <c r="S1572" s="2" t="s">
        <v>38</v>
      </c>
      <c r="T1572" s="2" t="s">
        <v>39</v>
      </c>
      <c r="U1572" s="2" t="s">
        <v>39</v>
      </c>
      <c r="V1572" s="2" t="s">
        <v>39</v>
      </c>
      <c r="W1572" s="2" t="s">
        <v>38</v>
      </c>
      <c r="X1572" s="2" t="s">
        <v>38</v>
      </c>
      <c r="Y1572" s="2" t="s">
        <v>38</v>
      </c>
      <c r="Z1572" s="2" t="s">
        <v>39</v>
      </c>
      <c r="AA1572" s="2" t="s">
        <v>38</v>
      </c>
      <c r="AB1572" s="2" t="s">
        <v>39</v>
      </c>
      <c r="AC1572" s="2" t="s">
        <v>39</v>
      </c>
      <c r="AD1572" s="2" t="s">
        <v>38</v>
      </c>
      <c r="AE1572" s="2" t="s">
        <v>39</v>
      </c>
    </row>
    <row r="1573" spans="1:31" ht="409.5">
      <c r="A1573" s="2">
        <v>2544859</v>
      </c>
      <c r="B1573" s="2">
        <f>HYPERLINK("https://platform.v2.vetology.net/cases/2544859/screening-report/18?type=pdf&amp;v=v6&amp;scorecard=1&amp;secret_key=BX%25IJ%24%2F65ieZ%29f6", 2544859)</f>
        <v>2544859</v>
      </c>
      <c r="C1573" s="2">
        <f>HYPERLINK("https://platform.v2.vetology.net/report/v/final/"&amp;2544859, 2544859)</f>
        <v>2544859</v>
      </c>
      <c r="D1573" s="2" t="s">
        <v>4471</v>
      </c>
      <c r="E1573" s="2" t="s">
        <v>4472</v>
      </c>
      <c r="F1573" s="2" t="s">
        <v>81</v>
      </c>
      <c r="G1573" s="2" t="s">
        <v>268</v>
      </c>
      <c r="H1573" s="2" t="s">
        <v>1101</v>
      </c>
      <c r="I1573" s="2" t="s">
        <v>1102</v>
      </c>
      <c r="J1573" s="2" t="s">
        <v>307</v>
      </c>
      <c r="K1573" s="2" t="s">
        <v>38</v>
      </c>
      <c r="L1573" s="2" t="s">
        <v>39</v>
      </c>
      <c r="M1573" s="2" t="s">
        <v>39</v>
      </c>
      <c r="N1573" s="2" t="s">
        <v>39</v>
      </c>
      <c r="O1573" s="2" t="s">
        <v>38</v>
      </c>
      <c r="P1573" s="2" t="s">
        <v>39</v>
      </c>
      <c r="Q1573" s="2" t="s">
        <v>38</v>
      </c>
      <c r="R1573" s="2" t="s">
        <v>38</v>
      </c>
      <c r="S1573" s="2" t="s">
        <v>38</v>
      </c>
      <c r="T1573" s="2" t="s">
        <v>38</v>
      </c>
      <c r="U1573" s="2" t="s">
        <v>38</v>
      </c>
      <c r="V1573" s="2" t="s">
        <v>38</v>
      </c>
      <c r="W1573" s="2" t="s">
        <v>38</v>
      </c>
      <c r="X1573" s="2" t="s">
        <v>38</v>
      </c>
      <c r="Y1573" s="2" t="s">
        <v>38</v>
      </c>
      <c r="Z1573" s="2" t="s">
        <v>39</v>
      </c>
      <c r="AA1573" s="2" t="s">
        <v>38</v>
      </c>
      <c r="AB1573" s="2" t="s">
        <v>39</v>
      </c>
      <c r="AC1573" s="2" t="s">
        <v>39</v>
      </c>
      <c r="AD1573" s="2" t="s">
        <v>38</v>
      </c>
      <c r="AE1573" s="2" t="s">
        <v>38</v>
      </c>
    </row>
    <row r="1574" spans="1:31" ht="409.5">
      <c r="A1574" s="2">
        <v>2544674</v>
      </c>
      <c r="B1574" s="2">
        <f>HYPERLINK("https://platform.v2.vetology.net/cases/2544674/screening-report/18?type=pdf&amp;v=v6&amp;scorecard=1&amp;secret_key=BX%25IJ%24%2F65ieZ%29f6", 2544674)</f>
        <v>2544674</v>
      </c>
      <c r="C1574" s="2">
        <f>HYPERLINK("https://platform.v2.vetology.net/report/v/final/"&amp;2544674, 2544674)</f>
        <v>2544674</v>
      </c>
      <c r="D1574" s="2" t="s">
        <v>4473</v>
      </c>
      <c r="E1574" s="2" t="s">
        <v>4474</v>
      </c>
      <c r="F1574" s="2" t="s">
        <v>4475</v>
      </c>
      <c r="G1574" s="2" t="s">
        <v>268</v>
      </c>
      <c r="H1574" s="2" t="s">
        <v>54</v>
      </c>
      <c r="I1574" s="2" t="s">
        <v>44</v>
      </c>
      <c r="J1574" s="2" t="s">
        <v>106</v>
      </c>
      <c r="K1574" s="2" t="s">
        <v>38</v>
      </c>
      <c r="L1574" s="2" t="s">
        <v>39</v>
      </c>
      <c r="M1574" s="2" t="s">
        <v>39</v>
      </c>
      <c r="N1574" s="2" t="s">
        <v>38</v>
      </c>
      <c r="O1574" s="2" t="s">
        <v>38</v>
      </c>
      <c r="P1574" s="2" t="s">
        <v>38</v>
      </c>
      <c r="Q1574" s="2" t="s">
        <v>38</v>
      </c>
      <c r="R1574" s="2" t="s">
        <v>38</v>
      </c>
      <c r="S1574" s="2" t="s">
        <v>38</v>
      </c>
      <c r="T1574" s="2" t="s">
        <v>38</v>
      </c>
      <c r="U1574" s="2" t="s">
        <v>38</v>
      </c>
      <c r="V1574" s="2" t="s">
        <v>38</v>
      </c>
      <c r="W1574" s="2" t="s">
        <v>38</v>
      </c>
      <c r="X1574" s="2" t="s">
        <v>39</v>
      </c>
      <c r="Y1574" s="2" t="s">
        <v>38</v>
      </c>
      <c r="Z1574" s="2" t="s">
        <v>38</v>
      </c>
      <c r="AA1574" s="2" t="s">
        <v>38</v>
      </c>
      <c r="AB1574" s="2" t="s">
        <v>38</v>
      </c>
      <c r="AC1574" s="2" t="s">
        <v>38</v>
      </c>
      <c r="AD1574" s="2" t="s">
        <v>38</v>
      </c>
      <c r="AE1574" s="2" t="s">
        <v>38</v>
      </c>
    </row>
    <row r="1575" spans="1:31" ht="409.5">
      <c r="A1575" s="2">
        <v>2544569</v>
      </c>
      <c r="B1575" s="2">
        <f>HYPERLINK("https://platform.v2.vetology.net/cases/2544569/screening-report/18?type=pdf&amp;v=v6&amp;scorecard=1&amp;secret_key=BX%25IJ%24%2F65ieZ%29f6", 2544569)</f>
        <v>2544569</v>
      </c>
      <c r="C1575" s="2">
        <f>HYPERLINK("https://platform.v2.vetology.net/report/v/final/"&amp;2544569, 2544569)</f>
        <v>2544569</v>
      </c>
      <c r="D1575" s="2" t="s">
        <v>4476</v>
      </c>
      <c r="E1575" s="2" t="s">
        <v>4477</v>
      </c>
      <c r="F1575" s="2" t="s">
        <v>4478</v>
      </c>
      <c r="G1575" s="2" t="s">
        <v>268</v>
      </c>
      <c r="H1575" s="2" t="s">
        <v>1638</v>
      </c>
      <c r="I1575" s="2" t="s">
        <v>36</v>
      </c>
      <c r="J1575" s="2" t="s">
        <v>37</v>
      </c>
      <c r="K1575" s="2" t="s">
        <v>38</v>
      </c>
      <c r="L1575" s="2" t="s">
        <v>38</v>
      </c>
      <c r="M1575" s="2" t="s">
        <v>38</v>
      </c>
      <c r="N1575" s="2" t="s">
        <v>38</v>
      </c>
      <c r="O1575" s="2" t="s">
        <v>38</v>
      </c>
      <c r="P1575" s="2" t="s">
        <v>38</v>
      </c>
      <c r="Q1575" s="2" t="s">
        <v>38</v>
      </c>
      <c r="R1575" s="2" t="s">
        <v>38</v>
      </c>
      <c r="S1575" s="2" t="s">
        <v>38</v>
      </c>
      <c r="T1575" s="2" t="s">
        <v>38</v>
      </c>
      <c r="U1575" s="2" t="s">
        <v>38</v>
      </c>
      <c r="V1575" s="2" t="s">
        <v>38</v>
      </c>
      <c r="W1575" s="2" t="s">
        <v>38</v>
      </c>
      <c r="X1575" s="2" t="s">
        <v>38</v>
      </c>
      <c r="Y1575" s="2" t="s">
        <v>38</v>
      </c>
      <c r="Z1575" s="2" t="s">
        <v>38</v>
      </c>
      <c r="AA1575" s="2" t="s">
        <v>38</v>
      </c>
      <c r="AB1575" s="2" t="s">
        <v>38</v>
      </c>
      <c r="AC1575" s="2" t="s">
        <v>38</v>
      </c>
      <c r="AD1575" s="2" t="s">
        <v>38</v>
      </c>
      <c r="AE1575" s="2" t="s">
        <v>38</v>
      </c>
    </row>
    <row r="1576" spans="1:31" ht="409.5">
      <c r="A1576" s="2">
        <v>2544530</v>
      </c>
      <c r="B1576" s="2">
        <f>HYPERLINK("https://platform.v2.vetology.net/cases/2544530/screening-report/18?type=pdf&amp;v=v6&amp;scorecard=1&amp;secret_key=BX%25IJ%24%2F65ieZ%29f6", 2544530)</f>
        <v>2544530</v>
      </c>
      <c r="C1576" s="2">
        <f>HYPERLINK("https://platform.v2.vetology.net/report/v/final/"&amp;2544530, 2544530)</f>
        <v>2544530</v>
      </c>
      <c r="D1576" s="2" t="s">
        <v>4479</v>
      </c>
      <c r="E1576" s="2" t="s">
        <v>4480</v>
      </c>
      <c r="F1576" s="2" t="s">
        <v>81</v>
      </c>
      <c r="G1576" s="2" t="s">
        <v>268</v>
      </c>
      <c r="H1576" s="2" t="s">
        <v>1301</v>
      </c>
      <c r="I1576" s="2" t="s">
        <v>1118</v>
      </c>
      <c r="J1576" s="2" t="s">
        <v>1119</v>
      </c>
      <c r="K1576" s="2" t="s">
        <v>38</v>
      </c>
      <c r="L1576" s="2" t="s">
        <v>39</v>
      </c>
      <c r="M1576" s="2" t="s">
        <v>39</v>
      </c>
      <c r="N1576" s="2" t="s">
        <v>38</v>
      </c>
      <c r="O1576" s="2" t="s">
        <v>38</v>
      </c>
      <c r="P1576" s="2" t="s">
        <v>38</v>
      </c>
      <c r="Q1576" s="2" t="s">
        <v>38</v>
      </c>
      <c r="R1576" s="2" t="s">
        <v>38</v>
      </c>
      <c r="S1576" s="2" t="s">
        <v>39</v>
      </c>
      <c r="T1576" s="2" t="s">
        <v>38</v>
      </c>
      <c r="U1576" s="2" t="s">
        <v>38</v>
      </c>
      <c r="V1576" s="2" t="s">
        <v>38</v>
      </c>
      <c r="W1576" s="2" t="s">
        <v>38</v>
      </c>
      <c r="X1576" s="2" t="s">
        <v>38</v>
      </c>
      <c r="Y1576" s="2" t="s">
        <v>38</v>
      </c>
      <c r="Z1576" s="2" t="s">
        <v>38</v>
      </c>
      <c r="AA1576" s="2" t="s">
        <v>38</v>
      </c>
      <c r="AB1576" s="2" t="s">
        <v>38</v>
      </c>
      <c r="AC1576" s="2" t="s">
        <v>38</v>
      </c>
      <c r="AD1576" s="2" t="s">
        <v>38</v>
      </c>
      <c r="AE1576" s="2" t="s">
        <v>38</v>
      </c>
    </row>
    <row r="1577" spans="1:31" ht="409.5">
      <c r="A1577" s="2">
        <v>2544459</v>
      </c>
      <c r="B1577" s="2">
        <f>HYPERLINK("https://platform.v2.vetology.net/cases/2544459/screening-report/18?type=pdf&amp;v=v6&amp;scorecard=1&amp;secret_key=BX%25IJ%24%2F65ieZ%29f6", 2544459)</f>
        <v>2544459</v>
      </c>
      <c r="C1577" s="2">
        <f>HYPERLINK("https://platform.v2.vetology.net/report/v/final/"&amp;2544459, 2544459)</f>
        <v>2544459</v>
      </c>
      <c r="D1577" s="2" t="s">
        <v>4481</v>
      </c>
      <c r="E1577" s="2" t="s">
        <v>4482</v>
      </c>
      <c r="F1577" s="2" t="s">
        <v>4483</v>
      </c>
      <c r="G1577" s="2" t="s">
        <v>58</v>
      </c>
      <c r="H1577" s="2" t="s">
        <v>901</v>
      </c>
      <c r="I1577" s="2" t="s">
        <v>689</v>
      </c>
      <c r="J1577" s="2" t="s">
        <v>690</v>
      </c>
      <c r="K1577" s="2" t="s">
        <v>38</v>
      </c>
      <c r="L1577" s="2" t="s">
        <v>38</v>
      </c>
      <c r="M1577" s="2" t="s">
        <v>39</v>
      </c>
      <c r="N1577" s="2" t="s">
        <v>38</v>
      </c>
      <c r="O1577" s="2" t="s">
        <v>38</v>
      </c>
      <c r="P1577" s="2" t="s">
        <v>39</v>
      </c>
      <c r="Q1577" s="2" t="s">
        <v>38</v>
      </c>
      <c r="R1577" s="2" t="s">
        <v>38</v>
      </c>
      <c r="S1577" s="2" t="s">
        <v>38</v>
      </c>
      <c r="T1577" s="2" t="s">
        <v>39</v>
      </c>
      <c r="U1577" s="2" t="s">
        <v>38</v>
      </c>
      <c r="V1577" s="2" t="s">
        <v>39</v>
      </c>
      <c r="W1577" s="2" t="s">
        <v>38</v>
      </c>
      <c r="X1577" s="2" t="s">
        <v>39</v>
      </c>
      <c r="Y1577" s="2" t="s">
        <v>38</v>
      </c>
      <c r="Z1577" s="2" t="s">
        <v>38</v>
      </c>
      <c r="AA1577" s="2" t="s">
        <v>38</v>
      </c>
      <c r="AB1577" s="2" t="s">
        <v>38</v>
      </c>
      <c r="AC1577" s="2" t="s">
        <v>38</v>
      </c>
      <c r="AD1577" s="2" t="s">
        <v>38</v>
      </c>
      <c r="AE1577" s="2" t="s">
        <v>38</v>
      </c>
    </row>
    <row r="1578" spans="1:31" ht="409.5">
      <c r="A1578" s="2">
        <v>2544368</v>
      </c>
      <c r="B1578" s="2">
        <f>HYPERLINK("https://platform.v2.vetology.net/cases/2544368/screening-report/18?type=pdf&amp;v=v6&amp;scorecard=1&amp;secret_key=BX%25IJ%24%2F65ieZ%29f6", 2544368)</f>
        <v>2544368</v>
      </c>
      <c r="C1578" s="2">
        <f>HYPERLINK("https://platform.v2.vetology.net/report/v/final/"&amp;2544368, 2544368)</f>
        <v>2544368</v>
      </c>
      <c r="D1578" s="2" t="s">
        <v>4484</v>
      </c>
      <c r="E1578" s="2" t="s">
        <v>4485</v>
      </c>
      <c r="F1578" s="2" t="s">
        <v>4486</v>
      </c>
      <c r="G1578" s="2" t="s">
        <v>93</v>
      </c>
      <c r="H1578" s="2" t="s">
        <v>1180</v>
      </c>
      <c r="I1578" s="2" t="s">
        <v>158</v>
      </c>
      <c r="J1578" s="2" t="s">
        <v>50</v>
      </c>
      <c r="K1578" s="2" t="s">
        <v>38</v>
      </c>
      <c r="L1578" s="2" t="s">
        <v>39</v>
      </c>
      <c r="M1578" s="2" t="s">
        <v>38</v>
      </c>
      <c r="N1578" s="2" t="s">
        <v>38</v>
      </c>
      <c r="O1578" s="2" t="s">
        <v>38</v>
      </c>
      <c r="P1578" s="2" t="s">
        <v>39</v>
      </c>
      <c r="Q1578" s="2" t="s">
        <v>38</v>
      </c>
      <c r="R1578" s="2" t="s">
        <v>38</v>
      </c>
      <c r="S1578" s="2" t="s">
        <v>38</v>
      </c>
      <c r="T1578" s="2" t="s">
        <v>39</v>
      </c>
      <c r="U1578" s="2" t="s">
        <v>38</v>
      </c>
      <c r="V1578" s="2" t="s">
        <v>38</v>
      </c>
      <c r="W1578" s="2" t="s">
        <v>38</v>
      </c>
      <c r="X1578" s="2" t="s">
        <v>38</v>
      </c>
      <c r="Y1578" s="2" t="s">
        <v>38</v>
      </c>
      <c r="Z1578" s="2" t="s">
        <v>38</v>
      </c>
      <c r="AA1578" s="2" t="s">
        <v>38</v>
      </c>
      <c r="AB1578" s="2" t="s">
        <v>38</v>
      </c>
      <c r="AC1578" s="2" t="s">
        <v>39</v>
      </c>
      <c r="AD1578" s="2" t="s">
        <v>38</v>
      </c>
      <c r="AE1578" s="2" t="s">
        <v>38</v>
      </c>
    </row>
    <row r="1579" spans="1:31" ht="409.5">
      <c r="A1579" s="2">
        <v>2544349</v>
      </c>
      <c r="B1579" s="2">
        <f>HYPERLINK("https://platform.v2.vetology.net/cases/2544349/screening-report/18?type=pdf&amp;v=v6&amp;scorecard=1&amp;secret_key=BX%25IJ%24%2F65ieZ%29f6", 2544349)</f>
        <v>2544349</v>
      </c>
      <c r="C1579" s="2">
        <f>HYPERLINK("https://platform.v2.vetology.net/report/v/final/"&amp;2544349, 2544349)</f>
        <v>2544349</v>
      </c>
      <c r="D1579" s="2" t="s">
        <v>4487</v>
      </c>
      <c r="E1579" s="2" t="s">
        <v>1093</v>
      </c>
      <c r="F1579" s="2" t="s">
        <v>789</v>
      </c>
      <c r="G1579" s="2" t="s">
        <v>135</v>
      </c>
      <c r="H1579" s="2" t="s">
        <v>105</v>
      </c>
      <c r="I1579" s="2" t="s">
        <v>44</v>
      </c>
      <c r="J1579" s="2" t="s">
        <v>106</v>
      </c>
      <c r="K1579" s="2" t="s">
        <v>38</v>
      </c>
      <c r="L1579" s="2" t="s">
        <v>39</v>
      </c>
      <c r="M1579" s="2" t="s">
        <v>38</v>
      </c>
      <c r="N1579" s="2" t="s">
        <v>38</v>
      </c>
      <c r="O1579" s="2" t="s">
        <v>38</v>
      </c>
      <c r="P1579" s="2" t="s">
        <v>38</v>
      </c>
      <c r="Q1579" s="2" t="s">
        <v>38</v>
      </c>
      <c r="R1579" s="2" t="s">
        <v>38</v>
      </c>
      <c r="S1579" s="2" t="s">
        <v>38</v>
      </c>
      <c r="T1579" s="2" t="s">
        <v>39</v>
      </c>
      <c r="U1579" s="2" t="s">
        <v>38</v>
      </c>
      <c r="V1579" s="2" t="s">
        <v>39</v>
      </c>
      <c r="W1579" s="2" t="s">
        <v>38</v>
      </c>
      <c r="X1579" s="2" t="s">
        <v>39</v>
      </c>
      <c r="Y1579" s="2" t="s">
        <v>38</v>
      </c>
      <c r="Z1579" s="2" t="s">
        <v>38</v>
      </c>
      <c r="AA1579" s="2" t="s">
        <v>38</v>
      </c>
      <c r="AB1579" s="2" t="s">
        <v>38</v>
      </c>
      <c r="AC1579" s="2" t="s">
        <v>38</v>
      </c>
      <c r="AD1579" s="2" t="s">
        <v>38</v>
      </c>
      <c r="AE1579" s="2" t="s">
        <v>38</v>
      </c>
    </row>
    <row r="1580" spans="1:31" ht="409.5">
      <c r="A1580" s="2">
        <v>2544297</v>
      </c>
      <c r="B1580" s="2">
        <f>HYPERLINK("https://platform.v2.vetology.net/cases/2544297/screening-report/18?type=pdf&amp;v=v6&amp;scorecard=1&amp;secret_key=BX%25IJ%24%2F65ieZ%29f6", 2544297)</f>
        <v>2544297</v>
      </c>
      <c r="C1580" s="2">
        <f>HYPERLINK("https://platform.v2.vetology.net/report/v/final/"&amp;2544297, 2544297)</f>
        <v>2544297</v>
      </c>
      <c r="D1580" s="2" t="s">
        <v>4488</v>
      </c>
      <c r="E1580" s="2" t="s">
        <v>4489</v>
      </c>
      <c r="F1580" s="2" t="s">
        <v>4490</v>
      </c>
      <c r="G1580" s="2" t="s">
        <v>268</v>
      </c>
      <c r="H1580" s="2" t="s">
        <v>840</v>
      </c>
      <c r="I1580" s="2" t="s">
        <v>841</v>
      </c>
      <c r="J1580" s="2" t="s">
        <v>518</v>
      </c>
      <c r="K1580" s="2" t="s">
        <v>38</v>
      </c>
      <c r="L1580" s="2" t="s">
        <v>38</v>
      </c>
      <c r="M1580" s="2" t="s">
        <v>39</v>
      </c>
      <c r="N1580" s="2" t="s">
        <v>39</v>
      </c>
      <c r="O1580" s="2" t="s">
        <v>39</v>
      </c>
      <c r="P1580" s="2" t="s">
        <v>39</v>
      </c>
      <c r="Q1580" s="2" t="s">
        <v>38</v>
      </c>
      <c r="R1580" s="2" t="s">
        <v>38</v>
      </c>
      <c r="S1580" s="2" t="s">
        <v>38</v>
      </c>
      <c r="T1580" s="2" t="s">
        <v>38</v>
      </c>
      <c r="U1580" s="2" t="s">
        <v>38</v>
      </c>
      <c r="V1580" s="2" t="s">
        <v>38</v>
      </c>
      <c r="W1580" s="2" t="s">
        <v>38</v>
      </c>
      <c r="X1580" s="2" t="s">
        <v>38</v>
      </c>
      <c r="Y1580" s="2" t="s">
        <v>38</v>
      </c>
      <c r="Z1580" s="2" t="s">
        <v>38</v>
      </c>
      <c r="AA1580" s="2" t="s">
        <v>38</v>
      </c>
      <c r="AB1580" s="2" t="s">
        <v>39</v>
      </c>
      <c r="AC1580" s="2" t="s">
        <v>39</v>
      </c>
      <c r="AD1580" s="2" t="s">
        <v>38</v>
      </c>
      <c r="AE1580" s="2" t="s">
        <v>39</v>
      </c>
    </row>
    <row r="1581" spans="1:31" ht="409.5">
      <c r="A1581" s="2">
        <v>2543993</v>
      </c>
      <c r="B1581" s="2">
        <f>HYPERLINK("https://platform.v2.vetology.net/cases/2543993/screening-report/18?type=pdf&amp;v=v6&amp;scorecard=1&amp;secret_key=BX%25IJ%24%2F65ieZ%29f6", 2543993)</f>
        <v>2543993</v>
      </c>
      <c r="C1581" s="2">
        <f>HYPERLINK("https://platform.v2.vetology.net/report/v/final/"&amp;2543993, 2543993)</f>
        <v>2543993</v>
      </c>
      <c r="D1581" s="2" t="s">
        <v>4491</v>
      </c>
      <c r="E1581" s="2" t="s">
        <v>4492</v>
      </c>
      <c r="F1581" s="2" t="s">
        <v>4493</v>
      </c>
      <c r="G1581" s="2" t="s">
        <v>58</v>
      </c>
      <c r="H1581" s="2" t="s">
        <v>105</v>
      </c>
      <c r="I1581" s="2" t="s">
        <v>44</v>
      </c>
      <c r="J1581" s="2"/>
      <c r="K1581" s="2" t="s">
        <v>38</v>
      </c>
      <c r="L1581" s="2" t="s">
        <v>38</v>
      </c>
      <c r="M1581" s="2" t="s">
        <v>38</v>
      </c>
      <c r="N1581" s="2" t="s">
        <v>38</v>
      </c>
      <c r="O1581" s="2" t="s">
        <v>38</v>
      </c>
      <c r="P1581" s="2" t="s">
        <v>38</v>
      </c>
      <c r="Q1581" s="2" t="s">
        <v>38</v>
      </c>
      <c r="R1581" s="2" t="s">
        <v>38</v>
      </c>
      <c r="S1581" s="2" t="s">
        <v>38</v>
      </c>
      <c r="T1581" s="2" t="s">
        <v>38</v>
      </c>
      <c r="U1581" s="2" t="s">
        <v>38</v>
      </c>
      <c r="V1581" s="2" t="s">
        <v>38</v>
      </c>
      <c r="W1581" s="2" t="s">
        <v>38</v>
      </c>
      <c r="X1581" s="2" t="s">
        <v>38</v>
      </c>
      <c r="Y1581" s="2" t="s">
        <v>38</v>
      </c>
      <c r="Z1581" s="2" t="s">
        <v>38</v>
      </c>
      <c r="AA1581" s="2" t="s">
        <v>38</v>
      </c>
      <c r="AB1581" s="2" t="s">
        <v>38</v>
      </c>
      <c r="AC1581" s="2" t="s">
        <v>38</v>
      </c>
      <c r="AD1581" s="2" t="s">
        <v>38</v>
      </c>
      <c r="AE1581" s="2" t="s">
        <v>38</v>
      </c>
    </row>
    <row r="1582" spans="1:31" ht="409.5">
      <c r="A1582" s="2">
        <v>2543730</v>
      </c>
      <c r="B1582" s="2">
        <f>HYPERLINK("https://platform.v2.vetology.net/cases/2543730/screening-report/18?type=pdf&amp;v=v6&amp;scorecard=1&amp;secret_key=BX%25IJ%24%2F65ieZ%29f6", 2543730)</f>
        <v>2543730</v>
      </c>
      <c r="C1582" s="2">
        <f>HYPERLINK("https://platform.v2.vetology.net/report/v/final/"&amp;2543730, 2543730)</f>
        <v>2543730</v>
      </c>
      <c r="D1582" s="2" t="s">
        <v>4494</v>
      </c>
      <c r="E1582" s="2" t="s">
        <v>4495</v>
      </c>
      <c r="F1582" s="2" t="s">
        <v>3063</v>
      </c>
      <c r="G1582" s="2" t="s">
        <v>58</v>
      </c>
      <c r="H1582" s="2" t="s">
        <v>54</v>
      </c>
      <c r="I1582" s="2" t="s">
        <v>44</v>
      </c>
      <c r="J1582" s="2"/>
      <c r="K1582" s="2" t="s">
        <v>38</v>
      </c>
      <c r="L1582" s="2" t="s">
        <v>38</v>
      </c>
      <c r="M1582" s="2" t="s">
        <v>39</v>
      </c>
      <c r="N1582" s="2" t="s">
        <v>38</v>
      </c>
      <c r="O1582" s="2" t="s">
        <v>38</v>
      </c>
      <c r="P1582" s="2" t="s">
        <v>39</v>
      </c>
      <c r="Q1582" s="2" t="s">
        <v>38</v>
      </c>
      <c r="R1582" s="2" t="s">
        <v>38</v>
      </c>
      <c r="S1582" s="2" t="s">
        <v>38</v>
      </c>
      <c r="T1582" s="2" t="s">
        <v>39</v>
      </c>
      <c r="U1582" s="2" t="s">
        <v>38</v>
      </c>
      <c r="V1582" s="2" t="s">
        <v>38</v>
      </c>
      <c r="W1582" s="2" t="s">
        <v>38</v>
      </c>
      <c r="X1582" s="2" t="s">
        <v>38</v>
      </c>
      <c r="Y1582" s="2" t="s">
        <v>38</v>
      </c>
      <c r="Z1582" s="2" t="s">
        <v>38</v>
      </c>
      <c r="AA1582" s="2" t="s">
        <v>38</v>
      </c>
      <c r="AB1582" s="2" t="s">
        <v>38</v>
      </c>
      <c r="AC1582" s="2" t="s">
        <v>38</v>
      </c>
      <c r="AD1582" s="2" t="s">
        <v>38</v>
      </c>
      <c r="AE1582" s="2" t="s">
        <v>38</v>
      </c>
    </row>
    <row r="1583" spans="1:31" ht="409.5">
      <c r="A1583" s="2">
        <v>2543724</v>
      </c>
      <c r="B1583" s="2">
        <f>HYPERLINK("https://platform.v2.vetology.net/cases/2543724/screening-report/18?type=pdf&amp;v=v6&amp;scorecard=1&amp;secret_key=BX%25IJ%24%2F65ieZ%29f6", 2543724)</f>
        <v>2543724</v>
      </c>
      <c r="C1583" s="2">
        <f>HYPERLINK("https://platform.v2.vetology.net/report/v/final/"&amp;2543724, 2543724)</f>
        <v>2543724</v>
      </c>
      <c r="D1583" s="2" t="s">
        <v>4496</v>
      </c>
      <c r="E1583" s="2" t="s">
        <v>4497</v>
      </c>
      <c r="F1583" s="2" t="s">
        <v>4498</v>
      </c>
      <c r="G1583" s="2" t="s">
        <v>268</v>
      </c>
      <c r="H1583" s="2" t="s">
        <v>54</v>
      </c>
      <c r="I1583" s="2" t="s">
        <v>44</v>
      </c>
      <c r="J1583" s="2" t="s">
        <v>106</v>
      </c>
      <c r="K1583" s="2" t="s">
        <v>38</v>
      </c>
      <c r="L1583" s="2" t="s">
        <v>38</v>
      </c>
      <c r="M1583" s="2" t="s">
        <v>38</v>
      </c>
      <c r="N1583" s="2" t="s">
        <v>38</v>
      </c>
      <c r="O1583" s="2" t="s">
        <v>38</v>
      </c>
      <c r="P1583" s="2" t="s">
        <v>38</v>
      </c>
      <c r="Q1583" s="2" t="s">
        <v>38</v>
      </c>
      <c r="R1583" s="2" t="s">
        <v>38</v>
      </c>
      <c r="S1583" s="2" t="s">
        <v>38</v>
      </c>
      <c r="T1583" s="2" t="s">
        <v>38</v>
      </c>
      <c r="U1583" s="2" t="s">
        <v>38</v>
      </c>
      <c r="V1583" s="2" t="s">
        <v>38</v>
      </c>
      <c r="W1583" s="2" t="s">
        <v>38</v>
      </c>
      <c r="X1583" s="2" t="s">
        <v>38</v>
      </c>
      <c r="Y1583" s="2" t="s">
        <v>38</v>
      </c>
      <c r="Z1583" s="2" t="s">
        <v>38</v>
      </c>
      <c r="AA1583" s="2" t="s">
        <v>38</v>
      </c>
      <c r="AB1583" s="2" t="s">
        <v>38</v>
      </c>
      <c r="AC1583" s="2" t="s">
        <v>38</v>
      </c>
      <c r="AD1583" s="2" t="s">
        <v>38</v>
      </c>
      <c r="AE1583" s="2" t="s">
        <v>39</v>
      </c>
    </row>
    <row r="1584" spans="1:31" ht="409.5">
      <c r="A1584" s="2">
        <v>2543469</v>
      </c>
      <c r="B1584" s="2">
        <f>HYPERLINK("https://platform.v2.vetology.net/cases/2543469/screening-report/18?type=pdf&amp;v=v6&amp;scorecard=1&amp;secret_key=BX%25IJ%24%2F65ieZ%29f6", 2543469)</f>
        <v>2543469</v>
      </c>
      <c r="C1584" s="2">
        <f>HYPERLINK("https://platform.v2.vetology.net/report/v/final/"&amp;2543469, 2543469)</f>
        <v>2543469</v>
      </c>
      <c r="D1584" s="2" t="s">
        <v>4499</v>
      </c>
      <c r="E1584" s="2" t="s">
        <v>4500</v>
      </c>
      <c r="F1584" s="2" t="s">
        <v>4501</v>
      </c>
      <c r="G1584" s="2" t="s">
        <v>58</v>
      </c>
      <c r="H1584" s="2" t="s">
        <v>54</v>
      </c>
      <c r="I1584" s="2" t="s">
        <v>44</v>
      </c>
      <c r="J1584" s="2" t="s">
        <v>106</v>
      </c>
      <c r="K1584" s="2" t="s">
        <v>38</v>
      </c>
      <c r="L1584" s="2" t="s">
        <v>39</v>
      </c>
      <c r="M1584" s="2" t="s">
        <v>38</v>
      </c>
      <c r="N1584" s="2" t="s">
        <v>38</v>
      </c>
      <c r="O1584" s="2" t="s">
        <v>38</v>
      </c>
      <c r="P1584" s="2" t="s">
        <v>39</v>
      </c>
      <c r="Q1584" s="2" t="s">
        <v>38</v>
      </c>
      <c r="R1584" s="2" t="s">
        <v>38</v>
      </c>
      <c r="S1584" s="2" t="s">
        <v>38</v>
      </c>
      <c r="T1584" s="2" t="s">
        <v>38</v>
      </c>
      <c r="U1584" s="2" t="s">
        <v>38</v>
      </c>
      <c r="V1584" s="2" t="s">
        <v>38</v>
      </c>
      <c r="W1584" s="2" t="s">
        <v>38</v>
      </c>
      <c r="X1584" s="2" t="s">
        <v>38</v>
      </c>
      <c r="Y1584" s="2" t="s">
        <v>38</v>
      </c>
      <c r="Z1584" s="2" t="s">
        <v>38</v>
      </c>
      <c r="AA1584" s="2" t="s">
        <v>38</v>
      </c>
      <c r="AB1584" s="2" t="s">
        <v>38</v>
      </c>
      <c r="AC1584" s="2" t="s">
        <v>38</v>
      </c>
      <c r="AD1584" s="2" t="s">
        <v>38</v>
      </c>
      <c r="AE1584" s="2" t="s">
        <v>38</v>
      </c>
    </row>
    <row r="1585" spans="1:31" ht="409.5">
      <c r="A1585" s="2">
        <v>2543458</v>
      </c>
      <c r="B1585" s="2">
        <f>HYPERLINK("https://platform.v2.vetology.net/cases/2543458/screening-report/18?type=pdf&amp;v=v6&amp;scorecard=1&amp;secret_key=BX%25IJ%24%2F65ieZ%29f6", 2543458)</f>
        <v>2543458</v>
      </c>
      <c r="C1585" s="2">
        <f>HYPERLINK("https://platform.v2.vetology.net/report/v/final/"&amp;2543458, 2543458)</f>
        <v>2543458</v>
      </c>
      <c r="D1585" s="2" t="s">
        <v>4502</v>
      </c>
      <c r="E1585" s="2" t="s">
        <v>4503</v>
      </c>
      <c r="F1585" s="2" t="s">
        <v>4504</v>
      </c>
      <c r="G1585" s="2" t="s">
        <v>58</v>
      </c>
      <c r="H1585" s="2" t="s">
        <v>4505</v>
      </c>
      <c r="I1585" s="2" t="s">
        <v>158</v>
      </c>
      <c r="J1585" s="2" t="s">
        <v>50</v>
      </c>
      <c r="K1585" s="2" t="s">
        <v>38</v>
      </c>
      <c r="L1585" s="2" t="s">
        <v>39</v>
      </c>
      <c r="M1585" s="2" t="s">
        <v>38</v>
      </c>
      <c r="N1585" s="2" t="s">
        <v>38</v>
      </c>
      <c r="O1585" s="2" t="s">
        <v>38</v>
      </c>
      <c r="P1585" s="2" t="s">
        <v>38</v>
      </c>
      <c r="Q1585" s="2" t="s">
        <v>38</v>
      </c>
      <c r="R1585" s="2" t="s">
        <v>38</v>
      </c>
      <c r="S1585" s="2" t="s">
        <v>39</v>
      </c>
      <c r="T1585" s="2" t="s">
        <v>39</v>
      </c>
      <c r="U1585" s="2" t="s">
        <v>39</v>
      </c>
      <c r="V1585" s="2" t="s">
        <v>39</v>
      </c>
      <c r="W1585" s="2" t="s">
        <v>38</v>
      </c>
      <c r="X1585" s="2" t="s">
        <v>39</v>
      </c>
      <c r="Y1585" s="2" t="s">
        <v>38</v>
      </c>
      <c r="Z1585" s="2" t="s">
        <v>38</v>
      </c>
      <c r="AA1585" s="2" t="s">
        <v>38</v>
      </c>
      <c r="AB1585" s="2" t="s">
        <v>39</v>
      </c>
      <c r="AC1585" s="2" t="s">
        <v>38</v>
      </c>
      <c r="AD1585" s="2" t="s">
        <v>38</v>
      </c>
      <c r="AE1585" s="2" t="s">
        <v>38</v>
      </c>
    </row>
    <row r="1586" spans="1:31" ht="409.5">
      <c r="A1586" s="2">
        <v>2543265</v>
      </c>
      <c r="B1586" s="2">
        <f>HYPERLINK("https://platform.v2.vetology.net/cases/2543265/screening-report/18?type=pdf&amp;v=v6&amp;scorecard=1&amp;secret_key=BX%25IJ%24%2F65ieZ%29f6", 2543265)</f>
        <v>2543265</v>
      </c>
      <c r="C1586" s="2">
        <f>HYPERLINK("https://platform.v2.vetology.net/report/v/final/"&amp;2543265, 2543265)</f>
        <v>2543265</v>
      </c>
      <c r="D1586" s="2" t="s">
        <v>4506</v>
      </c>
      <c r="E1586" s="2" t="s">
        <v>2219</v>
      </c>
      <c r="F1586" s="2" t="s">
        <v>1444</v>
      </c>
      <c r="G1586" s="2" t="s">
        <v>464</v>
      </c>
      <c r="H1586" s="2" t="s">
        <v>4507</v>
      </c>
      <c r="I1586" s="2" t="s">
        <v>841</v>
      </c>
      <c r="J1586" s="2" t="s">
        <v>518</v>
      </c>
      <c r="K1586" s="2" t="s">
        <v>38</v>
      </c>
      <c r="L1586" s="2" t="s">
        <v>39</v>
      </c>
      <c r="M1586" s="2" t="s">
        <v>38</v>
      </c>
      <c r="N1586" s="2" t="s">
        <v>38</v>
      </c>
      <c r="O1586" s="2" t="s">
        <v>39</v>
      </c>
      <c r="P1586" s="2" t="s">
        <v>39</v>
      </c>
      <c r="Q1586" s="2" t="s">
        <v>38</v>
      </c>
      <c r="R1586" s="2" t="s">
        <v>38</v>
      </c>
      <c r="S1586" s="2" t="s">
        <v>38</v>
      </c>
      <c r="T1586" s="2" t="s">
        <v>39</v>
      </c>
      <c r="U1586" s="2" t="s">
        <v>39</v>
      </c>
      <c r="V1586" s="2" t="s">
        <v>39</v>
      </c>
      <c r="W1586" s="2" t="s">
        <v>38</v>
      </c>
      <c r="X1586" s="2" t="s">
        <v>39</v>
      </c>
      <c r="Y1586" s="2" t="s">
        <v>38</v>
      </c>
      <c r="Z1586" s="2" t="s">
        <v>39</v>
      </c>
      <c r="AA1586" s="2" t="s">
        <v>38</v>
      </c>
      <c r="AB1586" s="2" t="s">
        <v>38</v>
      </c>
      <c r="AC1586" s="2" t="s">
        <v>38</v>
      </c>
      <c r="AD1586" s="2" t="s">
        <v>38</v>
      </c>
      <c r="AE1586" s="2" t="s">
        <v>38</v>
      </c>
    </row>
    <row r="1587" spans="1:31" ht="409.5">
      <c r="A1587" s="2">
        <v>2543255</v>
      </c>
      <c r="B1587" s="2">
        <f>HYPERLINK("https://platform.v2.vetology.net/cases/2543255/screening-report/18?type=pdf&amp;v=v6&amp;scorecard=1&amp;secret_key=BX%25IJ%24%2F65ieZ%29f6", 2543255)</f>
        <v>2543255</v>
      </c>
      <c r="C1587" s="2">
        <f>HYPERLINK("https://platform.v2.vetology.net/report/v/final/"&amp;2543255, 2543255)</f>
        <v>2543255</v>
      </c>
      <c r="D1587" s="2" t="s">
        <v>4508</v>
      </c>
      <c r="E1587" s="2" t="s">
        <v>4509</v>
      </c>
      <c r="F1587" s="2" t="s">
        <v>4510</v>
      </c>
      <c r="G1587" s="2" t="s">
        <v>464</v>
      </c>
      <c r="H1587" s="2" t="s">
        <v>129</v>
      </c>
      <c r="I1587" s="2" t="s">
        <v>44</v>
      </c>
      <c r="J1587" s="2"/>
      <c r="K1587" s="2" t="s">
        <v>38</v>
      </c>
      <c r="L1587" s="2" t="s">
        <v>38</v>
      </c>
      <c r="M1587" s="2" t="s">
        <v>38</v>
      </c>
      <c r="N1587" s="2" t="s">
        <v>38</v>
      </c>
      <c r="O1587" s="2" t="s">
        <v>38</v>
      </c>
      <c r="P1587" s="2" t="s">
        <v>38</v>
      </c>
      <c r="Q1587" s="2" t="s">
        <v>38</v>
      </c>
      <c r="R1587" s="2" t="s">
        <v>38</v>
      </c>
      <c r="S1587" s="2" t="s">
        <v>38</v>
      </c>
      <c r="T1587" s="2" t="s">
        <v>38</v>
      </c>
      <c r="U1587" s="2" t="s">
        <v>38</v>
      </c>
      <c r="V1587" s="2" t="s">
        <v>38</v>
      </c>
      <c r="W1587" s="2" t="s">
        <v>38</v>
      </c>
      <c r="X1587" s="2" t="s">
        <v>38</v>
      </c>
      <c r="Y1587" s="2" t="s">
        <v>38</v>
      </c>
      <c r="Z1587" s="2" t="s">
        <v>38</v>
      </c>
      <c r="AA1587" s="2" t="s">
        <v>38</v>
      </c>
      <c r="AB1587" s="2" t="s">
        <v>38</v>
      </c>
      <c r="AC1587" s="2" t="s">
        <v>38</v>
      </c>
      <c r="AD1587" s="2" t="s">
        <v>38</v>
      </c>
      <c r="AE1587" s="2" t="s">
        <v>38</v>
      </c>
    </row>
    <row r="1588" spans="1:31" ht="409.5">
      <c r="A1588" s="2">
        <v>2543171</v>
      </c>
      <c r="B1588" s="2">
        <f>HYPERLINK("https://platform.v2.vetology.net/cases/2543171/screening-report/18?type=pdf&amp;v=v6&amp;scorecard=1&amp;secret_key=BX%25IJ%24%2F65ieZ%29f6", 2543171)</f>
        <v>2543171</v>
      </c>
      <c r="C1588" s="2">
        <f>HYPERLINK("https://platform.v2.vetology.net/report/v/final/"&amp;2543171, 2543171)</f>
        <v>2543171</v>
      </c>
      <c r="D1588" s="2" t="s">
        <v>4511</v>
      </c>
      <c r="E1588" s="2" t="s">
        <v>4512</v>
      </c>
      <c r="F1588" s="2" t="s">
        <v>4513</v>
      </c>
      <c r="G1588" s="2" t="s">
        <v>464</v>
      </c>
      <c r="H1588" s="2" t="s">
        <v>78</v>
      </c>
      <c r="I1588" s="2" t="s">
        <v>44</v>
      </c>
      <c r="J1588" s="2" t="s">
        <v>106</v>
      </c>
      <c r="K1588" s="2" t="s">
        <v>38</v>
      </c>
      <c r="L1588" s="2" t="s">
        <v>38</v>
      </c>
      <c r="M1588" s="2" t="s">
        <v>38</v>
      </c>
      <c r="N1588" s="2" t="s">
        <v>38</v>
      </c>
      <c r="O1588" s="2" t="s">
        <v>38</v>
      </c>
      <c r="P1588" s="2" t="s">
        <v>38</v>
      </c>
      <c r="Q1588" s="2" t="s">
        <v>38</v>
      </c>
      <c r="R1588" s="2" t="s">
        <v>38</v>
      </c>
      <c r="S1588" s="2" t="s">
        <v>38</v>
      </c>
      <c r="T1588" s="2" t="s">
        <v>38</v>
      </c>
      <c r="U1588" s="2" t="s">
        <v>38</v>
      </c>
      <c r="V1588" s="2" t="s">
        <v>38</v>
      </c>
      <c r="W1588" s="2" t="s">
        <v>38</v>
      </c>
      <c r="X1588" s="2" t="s">
        <v>38</v>
      </c>
      <c r="Y1588" s="2" t="s">
        <v>38</v>
      </c>
      <c r="Z1588" s="2" t="s">
        <v>38</v>
      </c>
      <c r="AA1588" s="2" t="s">
        <v>38</v>
      </c>
      <c r="AB1588" s="2" t="s">
        <v>39</v>
      </c>
      <c r="AC1588" s="2" t="s">
        <v>38</v>
      </c>
      <c r="AD1588" s="2" t="s">
        <v>38</v>
      </c>
      <c r="AE1588" s="2" t="s">
        <v>38</v>
      </c>
    </row>
    <row r="1589" spans="1:31" ht="409.5">
      <c r="A1589" s="2">
        <v>2542990</v>
      </c>
      <c r="B1589" s="2">
        <f>HYPERLINK("https://platform.v2.vetology.net/cases/2542990/screening-report/18?type=pdf&amp;v=v6&amp;scorecard=1&amp;secret_key=BX%25IJ%24%2F65ieZ%29f6", 2542990)</f>
        <v>2542990</v>
      </c>
      <c r="C1589" s="2">
        <f>HYPERLINK("https://platform.v2.vetology.net/report/v/final/"&amp;2542990, 2542990)</f>
        <v>2542990</v>
      </c>
      <c r="D1589" s="2" t="s">
        <v>4514</v>
      </c>
      <c r="E1589" s="2" t="s">
        <v>4515</v>
      </c>
      <c r="F1589" s="2" t="s">
        <v>4516</v>
      </c>
      <c r="G1589" s="2" t="s">
        <v>93</v>
      </c>
      <c r="H1589" s="2" t="s">
        <v>129</v>
      </c>
      <c r="I1589" s="2" t="s">
        <v>44</v>
      </c>
      <c r="J1589" s="2"/>
      <c r="K1589" s="2" t="s">
        <v>38</v>
      </c>
      <c r="L1589" s="2" t="s">
        <v>39</v>
      </c>
      <c r="M1589" s="2" t="s">
        <v>39</v>
      </c>
      <c r="N1589" s="2" t="s">
        <v>38</v>
      </c>
      <c r="O1589" s="2" t="s">
        <v>38</v>
      </c>
      <c r="P1589" s="2" t="s">
        <v>38</v>
      </c>
      <c r="Q1589" s="2" t="s">
        <v>38</v>
      </c>
      <c r="R1589" s="2" t="s">
        <v>38</v>
      </c>
      <c r="S1589" s="2" t="s">
        <v>38</v>
      </c>
      <c r="T1589" s="2" t="s">
        <v>38</v>
      </c>
      <c r="U1589" s="2" t="s">
        <v>38</v>
      </c>
      <c r="V1589" s="2" t="s">
        <v>38</v>
      </c>
      <c r="W1589" s="2" t="s">
        <v>38</v>
      </c>
      <c r="X1589" s="2" t="s">
        <v>38</v>
      </c>
      <c r="Y1589" s="2" t="s">
        <v>38</v>
      </c>
      <c r="Z1589" s="2" t="s">
        <v>38</v>
      </c>
      <c r="AA1589" s="2" t="s">
        <v>38</v>
      </c>
      <c r="AB1589" s="2" t="s">
        <v>38</v>
      </c>
      <c r="AC1589" s="2" t="s">
        <v>38</v>
      </c>
      <c r="AD1589" s="2" t="s">
        <v>38</v>
      </c>
      <c r="AE1589" s="2" t="s">
        <v>38</v>
      </c>
    </row>
    <row r="1590" spans="1:31" ht="409.5">
      <c r="A1590" s="2">
        <v>2542975</v>
      </c>
      <c r="B1590" s="2">
        <f>HYPERLINK("https://platform.v2.vetology.net/cases/2542975/screening-report/18?type=pdf&amp;v=v6&amp;scorecard=1&amp;secret_key=BX%25IJ%24%2F65ieZ%29f6", 2542975)</f>
        <v>2542975</v>
      </c>
      <c r="C1590" s="2">
        <f>HYPERLINK("https://platform.v2.vetology.net/report/v/final/"&amp;2542975, 2542975)</f>
        <v>2542975</v>
      </c>
      <c r="D1590" s="2" t="s">
        <v>4517</v>
      </c>
      <c r="E1590" s="2" t="s">
        <v>4518</v>
      </c>
      <c r="F1590" s="2"/>
      <c r="G1590" s="2" t="s">
        <v>141</v>
      </c>
      <c r="H1590" s="2" t="s">
        <v>771</v>
      </c>
      <c r="I1590" s="2" t="s">
        <v>44</v>
      </c>
      <c r="J1590" s="2"/>
      <c r="K1590" s="2" t="s">
        <v>38</v>
      </c>
      <c r="L1590" s="2" t="s">
        <v>38</v>
      </c>
      <c r="M1590" s="2" t="s">
        <v>38</v>
      </c>
      <c r="N1590" s="2" t="s">
        <v>38</v>
      </c>
      <c r="O1590" s="2" t="s">
        <v>38</v>
      </c>
      <c r="P1590" s="2" t="s">
        <v>38</v>
      </c>
      <c r="Q1590" s="2" t="s">
        <v>38</v>
      </c>
      <c r="R1590" s="2" t="s">
        <v>38</v>
      </c>
      <c r="S1590" s="2" t="s">
        <v>38</v>
      </c>
      <c r="T1590" s="2" t="s">
        <v>39</v>
      </c>
      <c r="U1590" s="2" t="s">
        <v>38</v>
      </c>
      <c r="V1590" s="2" t="s">
        <v>39</v>
      </c>
      <c r="W1590" s="2" t="s">
        <v>38</v>
      </c>
      <c r="X1590" s="2" t="s">
        <v>39</v>
      </c>
      <c r="Y1590" s="2" t="s">
        <v>38</v>
      </c>
      <c r="Z1590" s="2" t="s">
        <v>38</v>
      </c>
      <c r="AA1590" s="2" t="s">
        <v>38</v>
      </c>
      <c r="AB1590" s="2" t="s">
        <v>38</v>
      </c>
      <c r="AC1590" s="2" t="s">
        <v>38</v>
      </c>
      <c r="AD1590" s="2" t="s">
        <v>38</v>
      </c>
      <c r="AE1590" s="2" t="s">
        <v>38</v>
      </c>
    </row>
    <row r="1591" spans="1:31" ht="409.5">
      <c r="A1591" s="2">
        <v>2542807</v>
      </c>
      <c r="B1591" s="2">
        <f>HYPERLINK("https://platform.v2.vetology.net/cases/2542807/screening-report/18?type=pdf&amp;v=v6&amp;scorecard=1&amp;secret_key=BX%25IJ%24%2F65ieZ%29f6", 2542807)</f>
        <v>2542807</v>
      </c>
      <c r="C1591" s="2">
        <f>HYPERLINK("https://platform.v2.vetology.net/report/v/final/"&amp;2542807, 2542807)</f>
        <v>2542807</v>
      </c>
      <c r="D1591" s="2" t="s">
        <v>4519</v>
      </c>
      <c r="E1591" s="2" t="s">
        <v>4520</v>
      </c>
      <c r="F1591" s="2" t="s">
        <v>1444</v>
      </c>
      <c r="G1591" s="2" t="s">
        <v>464</v>
      </c>
      <c r="H1591" s="2" t="s">
        <v>4521</v>
      </c>
      <c r="I1591" s="2" t="s">
        <v>1322</v>
      </c>
      <c r="J1591" s="2" t="s">
        <v>710</v>
      </c>
      <c r="K1591" s="2" t="s">
        <v>38</v>
      </c>
      <c r="L1591" s="2" t="s">
        <v>38</v>
      </c>
      <c r="M1591" s="2" t="s">
        <v>39</v>
      </c>
      <c r="N1591" s="2" t="s">
        <v>39</v>
      </c>
      <c r="O1591" s="2" t="s">
        <v>38</v>
      </c>
      <c r="P1591" s="2" t="s">
        <v>39</v>
      </c>
      <c r="Q1591" s="2" t="s">
        <v>38</v>
      </c>
      <c r="R1591" s="2" t="s">
        <v>38</v>
      </c>
      <c r="S1591" s="2" t="s">
        <v>39</v>
      </c>
      <c r="T1591" s="2" t="s">
        <v>39</v>
      </c>
      <c r="U1591" s="2" t="s">
        <v>38</v>
      </c>
      <c r="V1591" s="2" t="s">
        <v>39</v>
      </c>
      <c r="W1591" s="2" t="s">
        <v>38</v>
      </c>
      <c r="X1591" s="2" t="s">
        <v>39</v>
      </c>
      <c r="Y1591" s="2" t="s">
        <v>38</v>
      </c>
      <c r="Z1591" s="2" t="s">
        <v>39</v>
      </c>
      <c r="AA1591" s="2" t="s">
        <v>38</v>
      </c>
      <c r="AB1591" s="2" t="s">
        <v>39</v>
      </c>
      <c r="AC1591" s="2" t="s">
        <v>38</v>
      </c>
      <c r="AD1591" s="2" t="s">
        <v>38</v>
      </c>
      <c r="AE1591" s="2" t="s">
        <v>39</v>
      </c>
    </row>
    <row r="1592" spans="1:31" ht="409.5">
      <c r="A1592" s="2">
        <v>2542130</v>
      </c>
      <c r="B1592" s="2">
        <f>HYPERLINK("https://platform.v2.vetology.net/cases/2542130/screening-report/18?type=pdf&amp;v=v6&amp;scorecard=1&amp;secret_key=BX%25IJ%24%2F65ieZ%29f6", 2542130)</f>
        <v>2542130</v>
      </c>
      <c r="C1592" s="2">
        <f>HYPERLINK("https://platform.v2.vetology.net/report/v/final/"&amp;2542130, 2542130)</f>
        <v>2542130</v>
      </c>
      <c r="D1592" s="2" t="s">
        <v>4522</v>
      </c>
      <c r="E1592" s="2" t="s">
        <v>4523</v>
      </c>
      <c r="F1592" s="2" t="s">
        <v>4524</v>
      </c>
      <c r="G1592" s="2" t="s">
        <v>464</v>
      </c>
      <c r="H1592" s="2" t="s">
        <v>4525</v>
      </c>
      <c r="I1592" s="2" t="s">
        <v>167</v>
      </c>
      <c r="J1592" s="2" t="s">
        <v>168</v>
      </c>
      <c r="K1592" s="2" t="s">
        <v>38</v>
      </c>
      <c r="L1592" s="2" t="s">
        <v>39</v>
      </c>
      <c r="M1592" s="2" t="s">
        <v>39</v>
      </c>
      <c r="N1592" s="2" t="s">
        <v>38</v>
      </c>
      <c r="O1592" s="2" t="s">
        <v>38</v>
      </c>
      <c r="P1592" s="2" t="s">
        <v>38</v>
      </c>
      <c r="Q1592" s="2" t="s">
        <v>38</v>
      </c>
      <c r="R1592" s="2" t="s">
        <v>38</v>
      </c>
      <c r="S1592" s="2" t="s">
        <v>39</v>
      </c>
      <c r="T1592" s="2" t="s">
        <v>39</v>
      </c>
      <c r="U1592" s="2" t="s">
        <v>38</v>
      </c>
      <c r="V1592" s="2" t="s">
        <v>39</v>
      </c>
      <c r="W1592" s="2" t="s">
        <v>38</v>
      </c>
      <c r="X1592" s="2" t="s">
        <v>39</v>
      </c>
      <c r="Y1592" s="2" t="s">
        <v>38</v>
      </c>
      <c r="Z1592" s="2" t="s">
        <v>38</v>
      </c>
      <c r="AA1592" s="2" t="s">
        <v>38</v>
      </c>
      <c r="AB1592" s="2" t="s">
        <v>39</v>
      </c>
      <c r="AC1592" s="2" t="s">
        <v>38</v>
      </c>
      <c r="AD1592" s="2" t="s">
        <v>38</v>
      </c>
      <c r="AE1592" s="2" t="s">
        <v>38</v>
      </c>
    </row>
    <row r="1593" spans="1:31" ht="409.5">
      <c r="A1593" s="2">
        <v>2542062</v>
      </c>
      <c r="B1593" s="2">
        <f>HYPERLINK("https://platform.v2.vetology.net/cases/2542062/screening-report/18?type=pdf&amp;v=v6&amp;scorecard=1&amp;secret_key=BX%25IJ%24%2F65ieZ%29f6", 2542062)</f>
        <v>2542062</v>
      </c>
      <c r="C1593" s="2">
        <f>HYPERLINK("https://platform.v2.vetology.net/report/v/final/"&amp;2542062, 2542062)</f>
        <v>2542062</v>
      </c>
      <c r="D1593" s="2" t="s">
        <v>4526</v>
      </c>
      <c r="E1593" s="2" t="s">
        <v>4527</v>
      </c>
      <c r="F1593" s="2" t="s">
        <v>4528</v>
      </c>
      <c r="G1593" s="2" t="s">
        <v>82</v>
      </c>
      <c r="H1593" s="2" t="s">
        <v>162</v>
      </c>
      <c r="I1593" s="2" t="s">
        <v>124</v>
      </c>
      <c r="J1593" s="2" t="s">
        <v>125</v>
      </c>
      <c r="K1593" s="2" t="s">
        <v>38</v>
      </c>
      <c r="L1593" s="2" t="s">
        <v>38</v>
      </c>
      <c r="M1593" s="2" t="s">
        <v>39</v>
      </c>
      <c r="N1593" s="2" t="s">
        <v>38</v>
      </c>
      <c r="O1593" s="2" t="s">
        <v>38</v>
      </c>
      <c r="P1593" s="2" t="s">
        <v>38</v>
      </c>
      <c r="Q1593" s="2" t="s">
        <v>38</v>
      </c>
      <c r="R1593" s="2" t="s">
        <v>38</v>
      </c>
      <c r="S1593" s="2" t="s">
        <v>39</v>
      </c>
      <c r="T1593" s="2" t="s">
        <v>39</v>
      </c>
      <c r="U1593" s="2" t="s">
        <v>38</v>
      </c>
      <c r="V1593" s="2" t="s">
        <v>39</v>
      </c>
      <c r="W1593" s="2" t="s">
        <v>38</v>
      </c>
      <c r="X1593" s="2" t="s">
        <v>39</v>
      </c>
      <c r="Y1593" s="2" t="s">
        <v>38</v>
      </c>
      <c r="Z1593" s="2" t="s">
        <v>38</v>
      </c>
      <c r="AA1593" s="2" t="s">
        <v>38</v>
      </c>
      <c r="AB1593" s="2" t="s">
        <v>39</v>
      </c>
      <c r="AC1593" s="2" t="s">
        <v>38</v>
      </c>
      <c r="AD1593" s="2" t="s">
        <v>38</v>
      </c>
      <c r="AE1593" s="2" t="s">
        <v>38</v>
      </c>
    </row>
    <row r="1594" spans="1:31" ht="409.5">
      <c r="A1594" s="2">
        <v>2541899</v>
      </c>
      <c r="B1594" s="2">
        <f>HYPERLINK("https://platform.v2.vetology.net/cases/2541899/screening-report/18?type=pdf&amp;v=v6&amp;scorecard=1&amp;secret_key=BX%25IJ%24%2F65ieZ%29f6", 2541899)</f>
        <v>2541899</v>
      </c>
      <c r="C1594" s="2">
        <f>HYPERLINK("https://platform.v2.vetology.net/report/v/final/"&amp;2541899, 2541899)</f>
        <v>2541899</v>
      </c>
      <c r="D1594" s="2" t="s">
        <v>4529</v>
      </c>
      <c r="E1594" s="2" t="s">
        <v>4530</v>
      </c>
      <c r="F1594" s="2" t="s">
        <v>4531</v>
      </c>
      <c r="G1594" s="2" t="s">
        <v>464</v>
      </c>
      <c r="H1594" s="2" t="s">
        <v>4532</v>
      </c>
      <c r="I1594" s="2" t="s">
        <v>1085</v>
      </c>
      <c r="J1594" s="2" t="s">
        <v>518</v>
      </c>
      <c r="K1594" s="2" t="s">
        <v>39</v>
      </c>
      <c r="L1594" s="2" t="s">
        <v>39</v>
      </c>
      <c r="M1594" s="2" t="s">
        <v>39</v>
      </c>
      <c r="N1594" s="2" t="s">
        <v>39</v>
      </c>
      <c r="O1594" s="2" t="s">
        <v>39</v>
      </c>
      <c r="P1594" s="2" t="s">
        <v>39</v>
      </c>
      <c r="Q1594" s="2" t="s">
        <v>39</v>
      </c>
      <c r="R1594" s="2" t="s">
        <v>39</v>
      </c>
      <c r="S1594" s="2" t="s">
        <v>39</v>
      </c>
      <c r="T1594" s="2" t="s">
        <v>39</v>
      </c>
      <c r="U1594" s="2" t="s">
        <v>39</v>
      </c>
      <c r="V1594" s="2" t="s">
        <v>38</v>
      </c>
      <c r="W1594" s="2" t="s">
        <v>39</v>
      </c>
      <c r="X1594" s="2" t="s">
        <v>39</v>
      </c>
      <c r="Y1594" s="2" t="s">
        <v>39</v>
      </c>
      <c r="Z1594" s="2" t="s">
        <v>38</v>
      </c>
      <c r="AA1594" s="2" t="s">
        <v>39</v>
      </c>
      <c r="AB1594" s="2" t="s">
        <v>39</v>
      </c>
      <c r="AC1594" s="2" t="s">
        <v>39</v>
      </c>
      <c r="AD1594" s="2" t="s">
        <v>38</v>
      </c>
      <c r="AE1594" s="2" t="s">
        <v>38</v>
      </c>
    </row>
    <row r="1595" spans="1:31" ht="409.5">
      <c r="A1595" s="2">
        <v>2541721</v>
      </c>
      <c r="B1595" s="2">
        <f>HYPERLINK("https://platform.v2.vetology.net/cases/2541721/screening-report/18?type=pdf&amp;v=v6&amp;scorecard=1&amp;secret_key=BX%25IJ%24%2F65ieZ%29f6", 2541721)</f>
        <v>2541721</v>
      </c>
      <c r="C1595" s="2">
        <f>HYPERLINK("https://platform.v2.vetology.net/report/v/final/"&amp;2541721, 2541721)</f>
        <v>2541721</v>
      </c>
      <c r="D1595" s="2" t="s">
        <v>4533</v>
      </c>
      <c r="E1595" s="2" t="s">
        <v>4534</v>
      </c>
      <c r="F1595" s="2"/>
      <c r="G1595" s="2" t="s">
        <v>150</v>
      </c>
      <c r="H1595" s="2" t="s">
        <v>78</v>
      </c>
      <c r="I1595" s="2" t="s">
        <v>44</v>
      </c>
      <c r="J1595" s="2" t="s">
        <v>106</v>
      </c>
      <c r="K1595" s="2" t="s">
        <v>38</v>
      </c>
      <c r="L1595" s="2" t="s">
        <v>39</v>
      </c>
      <c r="M1595" s="2" t="s">
        <v>38</v>
      </c>
      <c r="N1595" s="2" t="s">
        <v>38</v>
      </c>
      <c r="O1595" s="2" t="s">
        <v>38</v>
      </c>
      <c r="P1595" s="2" t="s">
        <v>38</v>
      </c>
      <c r="Q1595" s="2" t="s">
        <v>38</v>
      </c>
      <c r="R1595" s="2" t="s">
        <v>38</v>
      </c>
      <c r="S1595" s="2" t="s">
        <v>38</v>
      </c>
      <c r="T1595" s="2" t="s">
        <v>38</v>
      </c>
      <c r="U1595" s="2" t="s">
        <v>38</v>
      </c>
      <c r="V1595" s="2" t="s">
        <v>38</v>
      </c>
      <c r="W1595" s="2" t="s">
        <v>38</v>
      </c>
      <c r="X1595" s="2" t="s">
        <v>39</v>
      </c>
      <c r="Y1595" s="2" t="s">
        <v>38</v>
      </c>
      <c r="Z1595" s="2" t="s">
        <v>38</v>
      </c>
      <c r="AA1595" s="2" t="s">
        <v>38</v>
      </c>
      <c r="AB1595" s="2" t="s">
        <v>38</v>
      </c>
      <c r="AC1595" s="2" t="s">
        <v>38</v>
      </c>
      <c r="AD1595" s="2" t="s">
        <v>38</v>
      </c>
      <c r="AE1595" s="2" t="s">
        <v>38</v>
      </c>
    </row>
    <row r="1596" spans="1:31" ht="409.5">
      <c r="A1596" s="2">
        <v>2541364</v>
      </c>
      <c r="B1596" s="2">
        <f>HYPERLINK("https://platform.v2.vetology.net/cases/2541364/screening-report/18?type=pdf&amp;v=v6&amp;scorecard=1&amp;secret_key=BX%25IJ%24%2F65ieZ%29f6", 2541364)</f>
        <v>2541364</v>
      </c>
      <c r="C1596" s="2">
        <f>HYPERLINK("https://platform.v2.vetology.net/report/v/final/"&amp;2541364, 2541364)</f>
        <v>2541364</v>
      </c>
      <c r="D1596" s="2" t="s">
        <v>4535</v>
      </c>
      <c r="E1596" s="2" t="s">
        <v>4536</v>
      </c>
      <c r="F1596" s="2" t="s">
        <v>4537</v>
      </c>
      <c r="G1596" s="2" t="s">
        <v>212</v>
      </c>
      <c r="H1596" s="2" t="s">
        <v>1505</v>
      </c>
      <c r="I1596" s="2" t="s">
        <v>214</v>
      </c>
      <c r="J1596" s="2" t="s">
        <v>50</v>
      </c>
      <c r="K1596" s="2" t="s">
        <v>38</v>
      </c>
      <c r="L1596" s="2" t="s">
        <v>39</v>
      </c>
      <c r="M1596" s="2" t="s">
        <v>38</v>
      </c>
      <c r="N1596" s="2" t="s">
        <v>38</v>
      </c>
      <c r="O1596" s="2" t="s">
        <v>39</v>
      </c>
      <c r="P1596" s="2" t="s">
        <v>38</v>
      </c>
      <c r="Q1596" s="2" t="s">
        <v>38</v>
      </c>
      <c r="R1596" s="2" t="s">
        <v>38</v>
      </c>
      <c r="S1596" s="2" t="s">
        <v>38</v>
      </c>
      <c r="T1596" s="2" t="s">
        <v>39</v>
      </c>
      <c r="U1596" s="2" t="s">
        <v>38</v>
      </c>
      <c r="V1596" s="2" t="s">
        <v>39</v>
      </c>
      <c r="W1596" s="2" t="s">
        <v>38</v>
      </c>
      <c r="X1596" s="2" t="s">
        <v>39</v>
      </c>
      <c r="Y1596" s="2" t="s">
        <v>38</v>
      </c>
      <c r="Z1596" s="2" t="s">
        <v>39</v>
      </c>
      <c r="AA1596" s="2" t="s">
        <v>38</v>
      </c>
      <c r="AB1596" s="2" t="s">
        <v>39</v>
      </c>
      <c r="AC1596" s="2" t="s">
        <v>39</v>
      </c>
      <c r="AD1596" s="2" t="s">
        <v>38</v>
      </c>
      <c r="AE1596" s="2" t="s">
        <v>38</v>
      </c>
    </row>
    <row r="1597" spans="1:31" ht="409.5">
      <c r="A1597" s="2">
        <v>2540953</v>
      </c>
      <c r="B1597" s="2">
        <f>HYPERLINK("https://platform.v2.vetology.net/cases/2540953/screening-report/18?type=pdf&amp;v=v6&amp;scorecard=1&amp;secret_key=BX%25IJ%24%2F65ieZ%29f6", 2540953)</f>
        <v>2540953</v>
      </c>
      <c r="C1597" s="2">
        <f>HYPERLINK("https://platform.v2.vetology.net/report/v/final/"&amp;2540953, 2540953)</f>
        <v>2540953</v>
      </c>
      <c r="D1597" s="2" t="s">
        <v>4538</v>
      </c>
      <c r="E1597" s="2" t="s">
        <v>4539</v>
      </c>
      <c r="F1597" s="2"/>
      <c r="G1597" s="2" t="s">
        <v>141</v>
      </c>
      <c r="H1597" s="2" t="s">
        <v>157</v>
      </c>
      <c r="I1597" s="2" t="s">
        <v>158</v>
      </c>
      <c r="J1597" s="2" t="s">
        <v>50</v>
      </c>
      <c r="K1597" s="2" t="s">
        <v>38</v>
      </c>
      <c r="L1597" s="2" t="s">
        <v>38</v>
      </c>
      <c r="M1597" s="2" t="s">
        <v>38</v>
      </c>
      <c r="N1597" s="2" t="s">
        <v>38</v>
      </c>
      <c r="O1597" s="2" t="s">
        <v>38</v>
      </c>
      <c r="P1597" s="2" t="s">
        <v>38</v>
      </c>
      <c r="Q1597" s="2" t="s">
        <v>38</v>
      </c>
      <c r="R1597" s="2" t="s">
        <v>38</v>
      </c>
      <c r="S1597" s="2" t="s">
        <v>38</v>
      </c>
      <c r="T1597" s="2" t="s">
        <v>38</v>
      </c>
      <c r="U1597" s="2" t="s">
        <v>38</v>
      </c>
      <c r="V1597" s="2" t="s">
        <v>38</v>
      </c>
      <c r="W1597" s="2" t="s">
        <v>38</v>
      </c>
      <c r="X1597" s="2" t="s">
        <v>38</v>
      </c>
      <c r="Y1597" s="2" t="s">
        <v>38</v>
      </c>
      <c r="Z1597" s="2" t="s">
        <v>38</v>
      </c>
      <c r="AA1597" s="2" t="s">
        <v>38</v>
      </c>
      <c r="AB1597" s="2" t="s">
        <v>38</v>
      </c>
      <c r="AC1597" s="2" t="s">
        <v>38</v>
      </c>
      <c r="AD1597" s="2" t="s">
        <v>38</v>
      </c>
      <c r="AE1597" s="2" t="s">
        <v>38</v>
      </c>
    </row>
    <row r="1598" spans="1:31" ht="409.5">
      <c r="A1598" s="2">
        <v>2540930</v>
      </c>
      <c r="B1598" s="2">
        <f>HYPERLINK("https://platform.v2.vetology.net/cases/2540930/screening-report/18?type=pdf&amp;v=v6&amp;scorecard=1&amp;secret_key=BX%25IJ%24%2F65ieZ%29f6", 2540930)</f>
        <v>2540930</v>
      </c>
      <c r="C1598" s="2">
        <f>HYPERLINK("https://platform.v2.vetology.net/report/v/final/"&amp;2540930, 2540930)</f>
        <v>2540930</v>
      </c>
      <c r="D1598" s="2" t="s">
        <v>4540</v>
      </c>
      <c r="E1598" s="2" t="s">
        <v>4541</v>
      </c>
      <c r="F1598" s="2" t="s">
        <v>4542</v>
      </c>
      <c r="G1598" s="2" t="s">
        <v>135</v>
      </c>
      <c r="H1598" s="2" t="s">
        <v>54</v>
      </c>
      <c r="I1598" s="2" t="s">
        <v>44</v>
      </c>
      <c r="J1598" s="2" t="s">
        <v>106</v>
      </c>
      <c r="K1598" s="2" t="s">
        <v>38</v>
      </c>
      <c r="L1598" s="2" t="s">
        <v>38</v>
      </c>
      <c r="M1598" s="2" t="s">
        <v>38</v>
      </c>
      <c r="N1598" s="2" t="s">
        <v>38</v>
      </c>
      <c r="O1598" s="2" t="s">
        <v>38</v>
      </c>
      <c r="P1598" s="2" t="s">
        <v>38</v>
      </c>
      <c r="Q1598" s="2" t="s">
        <v>38</v>
      </c>
      <c r="R1598" s="2" t="s">
        <v>38</v>
      </c>
      <c r="S1598" s="2" t="s">
        <v>38</v>
      </c>
      <c r="T1598" s="2" t="s">
        <v>39</v>
      </c>
      <c r="U1598" s="2" t="s">
        <v>38</v>
      </c>
      <c r="V1598" s="2" t="s">
        <v>38</v>
      </c>
      <c r="W1598" s="2" t="s">
        <v>38</v>
      </c>
      <c r="X1598" s="2" t="s">
        <v>38</v>
      </c>
      <c r="Y1598" s="2" t="s">
        <v>38</v>
      </c>
      <c r="Z1598" s="2" t="s">
        <v>38</v>
      </c>
      <c r="AA1598" s="2" t="s">
        <v>38</v>
      </c>
      <c r="AB1598" s="2" t="s">
        <v>38</v>
      </c>
      <c r="AC1598" s="2" t="s">
        <v>38</v>
      </c>
      <c r="AD1598" s="2" t="s">
        <v>38</v>
      </c>
      <c r="AE1598" s="2" t="s">
        <v>38</v>
      </c>
    </row>
    <row r="1599" spans="1:31" ht="409.5">
      <c r="A1599" s="2">
        <v>2540854</v>
      </c>
      <c r="B1599" s="2">
        <f>HYPERLINK("https://platform.v2.vetology.net/cases/2540854/screening-report/18?type=pdf&amp;v=v6&amp;scorecard=1&amp;secret_key=BX%25IJ%24%2F65ieZ%29f6", 2540854)</f>
        <v>2540854</v>
      </c>
      <c r="C1599" s="2">
        <f>HYPERLINK("https://platform.v2.vetology.net/report/v/final/"&amp;2540854, 2540854)</f>
        <v>2540854</v>
      </c>
      <c r="D1599" s="2" t="s">
        <v>4543</v>
      </c>
      <c r="E1599" s="2" t="s">
        <v>4544</v>
      </c>
      <c r="F1599" s="2" t="s">
        <v>4545</v>
      </c>
      <c r="G1599" s="2" t="s">
        <v>63</v>
      </c>
      <c r="H1599" s="2" t="s">
        <v>4546</v>
      </c>
      <c r="I1599" s="2" t="s">
        <v>137</v>
      </c>
      <c r="J1599" s="2" t="s">
        <v>66</v>
      </c>
      <c r="K1599" s="2" t="s">
        <v>38</v>
      </c>
      <c r="L1599" s="2" t="s">
        <v>39</v>
      </c>
      <c r="M1599" s="2" t="s">
        <v>39</v>
      </c>
      <c r="N1599" s="2" t="s">
        <v>38</v>
      </c>
      <c r="O1599" s="2" t="s">
        <v>38</v>
      </c>
      <c r="P1599" s="2" t="s">
        <v>38</v>
      </c>
      <c r="Q1599" s="2" t="s">
        <v>38</v>
      </c>
      <c r="R1599" s="2" t="s">
        <v>38</v>
      </c>
      <c r="S1599" s="2" t="s">
        <v>38</v>
      </c>
      <c r="T1599" s="2" t="s">
        <v>38</v>
      </c>
      <c r="U1599" s="2" t="s">
        <v>38</v>
      </c>
      <c r="V1599" s="2" t="s">
        <v>39</v>
      </c>
      <c r="W1599" s="2" t="s">
        <v>38</v>
      </c>
      <c r="X1599" s="2" t="s">
        <v>39</v>
      </c>
      <c r="Y1599" s="2" t="s">
        <v>38</v>
      </c>
      <c r="Z1599" s="2" t="s">
        <v>38</v>
      </c>
      <c r="AA1599" s="2" t="s">
        <v>38</v>
      </c>
      <c r="AB1599" s="2" t="s">
        <v>39</v>
      </c>
      <c r="AC1599" s="2" t="s">
        <v>39</v>
      </c>
      <c r="AD1599" s="2" t="s">
        <v>38</v>
      </c>
      <c r="AE1599" s="2" t="s">
        <v>39</v>
      </c>
    </row>
    <row r="1600" spans="1:31" ht="409.5">
      <c r="A1600" s="2">
        <v>2540743</v>
      </c>
      <c r="B1600" s="2">
        <f>HYPERLINK("https://platform.v2.vetology.net/cases/2540743/screening-report/18?type=pdf&amp;v=v6&amp;scorecard=1&amp;secret_key=BX%25IJ%24%2F65ieZ%29f6", 2540743)</f>
        <v>2540743</v>
      </c>
      <c r="C1600" s="2">
        <f>HYPERLINK("https://platform.v2.vetology.net/report/v/final/"&amp;2540743, 2540743)</f>
        <v>2540743</v>
      </c>
      <c r="D1600" s="2" t="s">
        <v>4547</v>
      </c>
      <c r="E1600" s="2" t="s">
        <v>4548</v>
      </c>
      <c r="F1600" s="2" t="s">
        <v>81</v>
      </c>
      <c r="G1600" s="2" t="s">
        <v>82</v>
      </c>
      <c r="H1600" s="2" t="s">
        <v>43</v>
      </c>
      <c r="I1600" s="2" t="s">
        <v>44</v>
      </c>
      <c r="J1600" s="2"/>
      <c r="K1600" s="2" t="s">
        <v>38</v>
      </c>
      <c r="L1600" s="2" t="s">
        <v>39</v>
      </c>
      <c r="M1600" s="2" t="s">
        <v>38</v>
      </c>
      <c r="N1600" s="2" t="s">
        <v>38</v>
      </c>
      <c r="O1600" s="2" t="s">
        <v>38</v>
      </c>
      <c r="P1600" s="2" t="s">
        <v>38</v>
      </c>
      <c r="Q1600" s="2" t="s">
        <v>38</v>
      </c>
      <c r="R1600" s="2" t="s">
        <v>38</v>
      </c>
      <c r="S1600" s="2" t="s">
        <v>38</v>
      </c>
      <c r="T1600" s="2" t="s">
        <v>39</v>
      </c>
      <c r="U1600" s="2" t="s">
        <v>38</v>
      </c>
      <c r="V1600" s="2" t="s">
        <v>38</v>
      </c>
      <c r="W1600" s="2" t="s">
        <v>38</v>
      </c>
      <c r="X1600" s="2" t="s">
        <v>38</v>
      </c>
      <c r="Y1600" s="2" t="s">
        <v>38</v>
      </c>
      <c r="Z1600" s="2" t="s">
        <v>38</v>
      </c>
      <c r="AA1600" s="2" t="s">
        <v>38</v>
      </c>
      <c r="AB1600" s="2" t="s">
        <v>38</v>
      </c>
      <c r="AC1600" s="2" t="s">
        <v>38</v>
      </c>
      <c r="AD1600" s="2" t="s">
        <v>38</v>
      </c>
      <c r="AE1600" s="2" t="s">
        <v>38</v>
      </c>
    </row>
    <row r="1601" spans="1:31" ht="409.5">
      <c r="A1601" s="2">
        <v>2540738</v>
      </c>
      <c r="B1601" s="2">
        <f>HYPERLINK("https://platform.v2.vetology.net/cases/2540738/screening-report/18?type=pdf&amp;v=v6&amp;scorecard=1&amp;secret_key=BX%25IJ%24%2F65ieZ%29f6", 2540738)</f>
        <v>2540738</v>
      </c>
      <c r="C1601" s="2">
        <f>HYPERLINK("https://platform.v2.vetology.net/report/v/final/"&amp;2540738, 2540738)</f>
        <v>2540738</v>
      </c>
      <c r="D1601" s="2" t="s">
        <v>4549</v>
      </c>
      <c r="E1601" s="2" t="s">
        <v>4550</v>
      </c>
      <c r="F1601" s="2" t="s">
        <v>4551</v>
      </c>
      <c r="G1601" s="2" t="s">
        <v>58</v>
      </c>
      <c r="H1601" s="2" t="s">
        <v>4552</v>
      </c>
      <c r="I1601" s="2" t="s">
        <v>89</v>
      </c>
      <c r="J1601" s="2" t="s">
        <v>66</v>
      </c>
      <c r="K1601" s="2" t="s">
        <v>38</v>
      </c>
      <c r="L1601" s="2" t="s">
        <v>38</v>
      </c>
      <c r="M1601" s="2" t="s">
        <v>38</v>
      </c>
      <c r="N1601" s="2" t="s">
        <v>38</v>
      </c>
      <c r="O1601" s="2" t="s">
        <v>38</v>
      </c>
      <c r="P1601" s="2" t="s">
        <v>38</v>
      </c>
      <c r="Q1601" s="2" t="s">
        <v>39</v>
      </c>
      <c r="R1601" s="2" t="s">
        <v>38</v>
      </c>
      <c r="S1601" s="2" t="s">
        <v>39</v>
      </c>
      <c r="T1601" s="2" t="s">
        <v>39</v>
      </c>
      <c r="U1601" s="2" t="s">
        <v>38</v>
      </c>
      <c r="V1601" s="2" t="s">
        <v>39</v>
      </c>
      <c r="W1601" s="2" t="s">
        <v>38</v>
      </c>
      <c r="X1601" s="2" t="s">
        <v>39</v>
      </c>
      <c r="Y1601" s="2" t="s">
        <v>38</v>
      </c>
      <c r="Z1601" s="2" t="s">
        <v>38</v>
      </c>
      <c r="AA1601" s="2" t="s">
        <v>38</v>
      </c>
      <c r="AB1601" s="2" t="s">
        <v>39</v>
      </c>
      <c r="AC1601" s="2" t="s">
        <v>38</v>
      </c>
      <c r="AD1601" s="2" t="s">
        <v>38</v>
      </c>
      <c r="AE1601" s="2" t="s">
        <v>38</v>
      </c>
    </row>
    <row r="1602" spans="1:31" ht="409.5">
      <c r="A1602" s="2">
        <v>2540725</v>
      </c>
      <c r="B1602" s="2">
        <f>HYPERLINK("https://platform.v2.vetology.net/cases/2540725/screening-report/18?type=pdf&amp;v=v6&amp;scorecard=1&amp;secret_key=BX%25IJ%24%2F65ieZ%29f6", 2540725)</f>
        <v>2540725</v>
      </c>
      <c r="C1602" s="2">
        <f>HYPERLINK("https://platform.v2.vetology.net/report/v/final/"&amp;2540725, 2540725)</f>
        <v>2540725</v>
      </c>
      <c r="D1602" s="2" t="s">
        <v>3059</v>
      </c>
      <c r="E1602" s="2" t="s">
        <v>148</v>
      </c>
      <c r="F1602" s="2" t="s">
        <v>149</v>
      </c>
      <c r="G1602" s="2" t="s">
        <v>150</v>
      </c>
      <c r="H1602" s="2" t="s">
        <v>860</v>
      </c>
      <c r="I1602" s="2" t="s">
        <v>145</v>
      </c>
      <c r="J1602" s="2" t="s">
        <v>146</v>
      </c>
      <c r="K1602" s="2" t="s">
        <v>38</v>
      </c>
      <c r="L1602" s="2" t="s">
        <v>38</v>
      </c>
      <c r="M1602" s="2" t="s">
        <v>39</v>
      </c>
      <c r="N1602" s="2" t="s">
        <v>38</v>
      </c>
      <c r="O1602" s="2" t="s">
        <v>38</v>
      </c>
      <c r="P1602" s="2" t="s">
        <v>38</v>
      </c>
      <c r="Q1602" s="2" t="s">
        <v>39</v>
      </c>
      <c r="R1602" s="2" t="s">
        <v>38</v>
      </c>
      <c r="S1602" s="2" t="s">
        <v>38</v>
      </c>
      <c r="T1602" s="2" t="s">
        <v>38</v>
      </c>
      <c r="U1602" s="2" t="s">
        <v>38</v>
      </c>
      <c r="V1602" s="2" t="s">
        <v>38</v>
      </c>
      <c r="W1602" s="2" t="s">
        <v>38</v>
      </c>
      <c r="X1602" s="2" t="s">
        <v>38</v>
      </c>
      <c r="Y1602" s="2" t="s">
        <v>38</v>
      </c>
      <c r="Z1602" s="2" t="s">
        <v>38</v>
      </c>
      <c r="AA1602" s="2" t="s">
        <v>38</v>
      </c>
      <c r="AB1602" s="2" t="s">
        <v>39</v>
      </c>
      <c r="AC1602" s="2" t="s">
        <v>38</v>
      </c>
      <c r="AD1602" s="2" t="s">
        <v>38</v>
      </c>
      <c r="AE1602" s="2" t="s">
        <v>38</v>
      </c>
    </row>
    <row r="1603" spans="1:31" ht="409.5">
      <c r="A1603" s="2">
        <v>2540712</v>
      </c>
      <c r="B1603" s="2">
        <f>HYPERLINK("https://platform.v2.vetology.net/cases/2540712/screening-report/18?type=pdf&amp;v=v6&amp;scorecard=1&amp;secret_key=BX%25IJ%24%2F65ieZ%29f6", 2540712)</f>
        <v>2540712</v>
      </c>
      <c r="C1603" s="2">
        <f>HYPERLINK("https://platform.v2.vetology.net/report/v/final/"&amp;2540712, 2540712)</f>
        <v>2540712</v>
      </c>
      <c r="D1603" s="2" t="s">
        <v>4553</v>
      </c>
      <c r="E1603" s="2" t="s">
        <v>4554</v>
      </c>
      <c r="F1603" s="2" t="s">
        <v>4555</v>
      </c>
      <c r="G1603" s="2" t="s">
        <v>150</v>
      </c>
      <c r="H1603" s="2" t="s">
        <v>183</v>
      </c>
      <c r="I1603" s="2" t="s">
        <v>184</v>
      </c>
      <c r="J1603" s="2" t="s">
        <v>185</v>
      </c>
      <c r="K1603" s="2" t="s">
        <v>38</v>
      </c>
      <c r="L1603" s="2" t="s">
        <v>39</v>
      </c>
      <c r="M1603" s="2" t="s">
        <v>38</v>
      </c>
      <c r="N1603" s="2" t="s">
        <v>38</v>
      </c>
      <c r="O1603" s="2" t="s">
        <v>38</v>
      </c>
      <c r="P1603" s="2" t="s">
        <v>38</v>
      </c>
      <c r="Q1603" s="2" t="s">
        <v>38</v>
      </c>
      <c r="R1603" s="2" t="s">
        <v>38</v>
      </c>
      <c r="S1603" s="2" t="s">
        <v>38</v>
      </c>
      <c r="T1603" s="2" t="s">
        <v>38</v>
      </c>
      <c r="U1603" s="2" t="s">
        <v>38</v>
      </c>
      <c r="V1603" s="2" t="s">
        <v>38</v>
      </c>
      <c r="W1603" s="2" t="s">
        <v>38</v>
      </c>
      <c r="X1603" s="2" t="s">
        <v>38</v>
      </c>
      <c r="Y1603" s="2" t="s">
        <v>38</v>
      </c>
      <c r="Z1603" s="2" t="s">
        <v>38</v>
      </c>
      <c r="AA1603" s="2" t="s">
        <v>38</v>
      </c>
      <c r="AB1603" s="2" t="s">
        <v>39</v>
      </c>
      <c r="AC1603" s="2" t="s">
        <v>38</v>
      </c>
      <c r="AD1603" s="2" t="s">
        <v>38</v>
      </c>
      <c r="AE1603" s="2" t="s">
        <v>38</v>
      </c>
    </row>
    <row r="1604" spans="1:31" ht="409.5">
      <c r="A1604" s="2">
        <v>2540590</v>
      </c>
      <c r="B1604" s="2">
        <f>HYPERLINK("https://platform.v2.vetology.net/cases/2540590/screening-report/18?type=pdf&amp;v=v6&amp;scorecard=1&amp;secret_key=BX%25IJ%24%2F65ieZ%29f6", 2540590)</f>
        <v>2540590</v>
      </c>
      <c r="C1604" s="2">
        <f>HYPERLINK("https://platform.v2.vetology.net/report/v/final/"&amp;2540590, 2540590)</f>
        <v>2540590</v>
      </c>
      <c r="D1604" s="2" t="s">
        <v>4556</v>
      </c>
      <c r="E1604" s="2" t="s">
        <v>4557</v>
      </c>
      <c r="F1604" s="2" t="s">
        <v>4558</v>
      </c>
      <c r="G1604" s="2" t="s">
        <v>150</v>
      </c>
      <c r="H1604" s="2" t="s">
        <v>688</v>
      </c>
      <c r="I1604" s="2" t="s">
        <v>689</v>
      </c>
      <c r="J1604" s="2" t="s">
        <v>690</v>
      </c>
      <c r="K1604" s="2" t="s">
        <v>38</v>
      </c>
      <c r="L1604" s="2" t="s">
        <v>38</v>
      </c>
      <c r="M1604" s="2" t="s">
        <v>39</v>
      </c>
      <c r="N1604" s="2" t="s">
        <v>38</v>
      </c>
      <c r="O1604" s="2" t="s">
        <v>38</v>
      </c>
      <c r="P1604" s="2" t="s">
        <v>38</v>
      </c>
      <c r="Q1604" s="2" t="s">
        <v>38</v>
      </c>
      <c r="R1604" s="2" t="s">
        <v>38</v>
      </c>
      <c r="S1604" s="2" t="s">
        <v>38</v>
      </c>
      <c r="T1604" s="2" t="s">
        <v>38</v>
      </c>
      <c r="U1604" s="2" t="s">
        <v>39</v>
      </c>
      <c r="V1604" s="2" t="s">
        <v>38</v>
      </c>
      <c r="W1604" s="2" t="s">
        <v>38</v>
      </c>
      <c r="X1604" s="2" t="s">
        <v>38</v>
      </c>
      <c r="Y1604" s="2" t="s">
        <v>38</v>
      </c>
      <c r="Z1604" s="2" t="s">
        <v>38</v>
      </c>
      <c r="AA1604" s="2" t="s">
        <v>38</v>
      </c>
      <c r="AB1604" s="2" t="s">
        <v>39</v>
      </c>
      <c r="AC1604" s="2" t="s">
        <v>39</v>
      </c>
      <c r="AD1604" s="2" t="s">
        <v>38</v>
      </c>
      <c r="AE1604" s="2" t="s">
        <v>38</v>
      </c>
    </row>
    <row r="1605" spans="1:31" ht="409.5">
      <c r="A1605" s="2">
        <v>2540286</v>
      </c>
      <c r="B1605" s="2">
        <f>HYPERLINK("https://platform.v2.vetology.net/cases/2540286/screening-report/18?type=pdf&amp;v=v6&amp;scorecard=1&amp;secret_key=BX%25IJ%24%2F65ieZ%29f6", 2540286)</f>
        <v>2540286</v>
      </c>
      <c r="C1605" s="2">
        <f>HYPERLINK("https://platform.v2.vetology.net/report/v/final/"&amp;2540286, 2540286)</f>
        <v>2540286</v>
      </c>
      <c r="D1605" s="2" t="s">
        <v>4559</v>
      </c>
      <c r="E1605" s="2" t="s">
        <v>4560</v>
      </c>
      <c r="F1605" s="2" t="s">
        <v>4561</v>
      </c>
      <c r="G1605" s="2" t="s">
        <v>63</v>
      </c>
      <c r="H1605" s="2" t="s">
        <v>94</v>
      </c>
      <c r="I1605" s="2" t="s">
        <v>89</v>
      </c>
      <c r="J1605" s="2" t="s">
        <v>66</v>
      </c>
      <c r="K1605" s="2" t="s">
        <v>38</v>
      </c>
      <c r="L1605" s="2" t="s">
        <v>39</v>
      </c>
      <c r="M1605" s="2" t="s">
        <v>38</v>
      </c>
      <c r="N1605" s="2" t="s">
        <v>38</v>
      </c>
      <c r="O1605" s="2" t="s">
        <v>38</v>
      </c>
      <c r="P1605" s="2" t="s">
        <v>39</v>
      </c>
      <c r="Q1605" s="2" t="s">
        <v>38</v>
      </c>
      <c r="R1605" s="2" t="s">
        <v>38</v>
      </c>
      <c r="S1605" s="2" t="s">
        <v>38</v>
      </c>
      <c r="T1605" s="2" t="s">
        <v>38</v>
      </c>
      <c r="U1605" s="2" t="s">
        <v>38</v>
      </c>
      <c r="V1605" s="2" t="s">
        <v>38</v>
      </c>
      <c r="W1605" s="2" t="s">
        <v>38</v>
      </c>
      <c r="X1605" s="2" t="s">
        <v>38</v>
      </c>
      <c r="Y1605" s="2" t="s">
        <v>38</v>
      </c>
      <c r="Z1605" s="2" t="s">
        <v>38</v>
      </c>
      <c r="AA1605" s="2" t="s">
        <v>38</v>
      </c>
      <c r="AB1605" s="2" t="s">
        <v>39</v>
      </c>
      <c r="AC1605" s="2" t="s">
        <v>39</v>
      </c>
      <c r="AD1605" s="2" t="s">
        <v>38</v>
      </c>
      <c r="AE1605" s="2" t="s">
        <v>39</v>
      </c>
    </row>
    <row r="1606" spans="1:31" ht="409.5">
      <c r="A1606" s="2">
        <v>2540260</v>
      </c>
      <c r="B1606" s="2">
        <f>HYPERLINK("https://platform.v2.vetology.net/cases/2540260/screening-report/18?type=pdf&amp;v=v6&amp;scorecard=1&amp;secret_key=BX%25IJ%24%2F65ieZ%29f6", 2540260)</f>
        <v>2540260</v>
      </c>
      <c r="C1606" s="2">
        <f>HYPERLINK("https://platform.v2.vetology.net/report/v/final/"&amp;2540260, 2540260)</f>
        <v>2540260</v>
      </c>
      <c r="D1606" s="2" t="s">
        <v>4562</v>
      </c>
      <c r="E1606" s="2" t="s">
        <v>4563</v>
      </c>
      <c r="F1606" s="2" t="s">
        <v>81</v>
      </c>
      <c r="G1606" s="2" t="s">
        <v>82</v>
      </c>
      <c r="H1606" s="2" t="s">
        <v>54</v>
      </c>
      <c r="I1606" s="2" t="s">
        <v>44</v>
      </c>
      <c r="J1606" s="2" t="s">
        <v>106</v>
      </c>
      <c r="K1606" s="2" t="s">
        <v>38</v>
      </c>
      <c r="L1606" s="2" t="s">
        <v>39</v>
      </c>
      <c r="M1606" s="2" t="s">
        <v>38</v>
      </c>
      <c r="N1606" s="2" t="s">
        <v>38</v>
      </c>
      <c r="O1606" s="2" t="s">
        <v>38</v>
      </c>
      <c r="P1606" s="2" t="s">
        <v>39</v>
      </c>
      <c r="Q1606" s="2" t="s">
        <v>38</v>
      </c>
      <c r="R1606" s="2" t="s">
        <v>38</v>
      </c>
      <c r="S1606" s="2" t="s">
        <v>38</v>
      </c>
      <c r="T1606" s="2" t="s">
        <v>38</v>
      </c>
      <c r="U1606" s="2" t="s">
        <v>38</v>
      </c>
      <c r="V1606" s="2" t="s">
        <v>38</v>
      </c>
      <c r="W1606" s="2" t="s">
        <v>38</v>
      </c>
      <c r="X1606" s="2" t="s">
        <v>39</v>
      </c>
      <c r="Y1606" s="2" t="s">
        <v>38</v>
      </c>
      <c r="Z1606" s="2" t="s">
        <v>38</v>
      </c>
      <c r="AA1606" s="2" t="s">
        <v>38</v>
      </c>
      <c r="AB1606" s="2" t="s">
        <v>39</v>
      </c>
      <c r="AC1606" s="2" t="s">
        <v>38</v>
      </c>
      <c r="AD1606" s="2" t="s">
        <v>38</v>
      </c>
      <c r="AE1606" s="2" t="s">
        <v>38</v>
      </c>
    </row>
    <row r="1607" spans="1:31" ht="409.5">
      <c r="A1607" s="2">
        <v>2540076</v>
      </c>
      <c r="B1607" s="2">
        <f>HYPERLINK("https://platform.v2.vetology.net/cases/2540076/screening-report/18?type=pdf&amp;v=v6&amp;scorecard=1&amp;secret_key=BX%25IJ%24%2F65ieZ%29f6", 2540076)</f>
        <v>2540076</v>
      </c>
      <c r="C1607" s="2">
        <f>HYPERLINK("https://platform.v2.vetology.net/report/v/final/"&amp;2540076, 2540076)</f>
        <v>2540076</v>
      </c>
      <c r="D1607" s="2" t="s">
        <v>4564</v>
      </c>
      <c r="E1607" s="2" t="s">
        <v>4565</v>
      </c>
      <c r="F1607" s="2" t="s">
        <v>4566</v>
      </c>
      <c r="G1607" s="2" t="s">
        <v>58</v>
      </c>
      <c r="H1607" s="2" t="s">
        <v>54</v>
      </c>
      <c r="I1607" s="2" t="s">
        <v>44</v>
      </c>
      <c r="J1607" s="2"/>
      <c r="K1607" s="2" t="s">
        <v>38</v>
      </c>
      <c r="L1607" s="2" t="s">
        <v>39</v>
      </c>
      <c r="M1607" s="2" t="s">
        <v>38</v>
      </c>
      <c r="N1607" s="2" t="s">
        <v>38</v>
      </c>
      <c r="O1607" s="2" t="s">
        <v>38</v>
      </c>
      <c r="P1607" s="2" t="s">
        <v>39</v>
      </c>
      <c r="Q1607" s="2" t="s">
        <v>38</v>
      </c>
      <c r="R1607" s="2" t="s">
        <v>38</v>
      </c>
      <c r="S1607" s="2" t="s">
        <v>38</v>
      </c>
      <c r="T1607" s="2" t="s">
        <v>38</v>
      </c>
      <c r="U1607" s="2" t="s">
        <v>38</v>
      </c>
      <c r="V1607" s="2" t="s">
        <v>38</v>
      </c>
      <c r="W1607" s="2" t="s">
        <v>38</v>
      </c>
      <c r="X1607" s="2" t="s">
        <v>38</v>
      </c>
      <c r="Y1607" s="2" t="s">
        <v>38</v>
      </c>
      <c r="Z1607" s="2" t="s">
        <v>38</v>
      </c>
      <c r="AA1607" s="2" t="s">
        <v>38</v>
      </c>
      <c r="AB1607" s="2" t="s">
        <v>39</v>
      </c>
      <c r="AC1607" s="2" t="s">
        <v>39</v>
      </c>
      <c r="AD1607" s="2" t="s">
        <v>38</v>
      </c>
      <c r="AE1607" s="2" t="s">
        <v>38</v>
      </c>
    </row>
    <row r="1608" spans="1:31" ht="409.5">
      <c r="A1608" s="2">
        <v>2539616</v>
      </c>
      <c r="B1608" s="2">
        <f>HYPERLINK("https://platform.v2.vetology.net/cases/2539616/screening-report/18?type=pdf&amp;v=v6&amp;scorecard=1&amp;secret_key=BX%25IJ%24%2F65ieZ%29f6", 2539616)</f>
        <v>2539616</v>
      </c>
      <c r="C1608" s="2">
        <f>HYPERLINK("https://platform.v2.vetology.net/report/v/final/"&amp;2539616, 2539616)</f>
        <v>2539616</v>
      </c>
      <c r="D1608" s="2" t="s">
        <v>4567</v>
      </c>
      <c r="E1608" s="2" t="s">
        <v>4568</v>
      </c>
      <c r="F1608" s="2" t="s">
        <v>4569</v>
      </c>
      <c r="G1608" s="2" t="s">
        <v>58</v>
      </c>
      <c r="H1608" s="2" t="s">
        <v>1261</v>
      </c>
      <c r="I1608" s="2" t="s">
        <v>137</v>
      </c>
      <c r="J1608" s="2" t="s">
        <v>66</v>
      </c>
      <c r="K1608" s="2" t="s">
        <v>38</v>
      </c>
      <c r="L1608" s="2" t="s">
        <v>39</v>
      </c>
      <c r="M1608" s="2" t="s">
        <v>38</v>
      </c>
      <c r="N1608" s="2" t="s">
        <v>38</v>
      </c>
      <c r="O1608" s="2" t="s">
        <v>38</v>
      </c>
      <c r="P1608" s="2" t="s">
        <v>38</v>
      </c>
      <c r="Q1608" s="2" t="s">
        <v>38</v>
      </c>
      <c r="R1608" s="2" t="s">
        <v>38</v>
      </c>
      <c r="S1608" s="2" t="s">
        <v>38</v>
      </c>
      <c r="T1608" s="2" t="s">
        <v>39</v>
      </c>
      <c r="U1608" s="2" t="s">
        <v>38</v>
      </c>
      <c r="V1608" s="2" t="s">
        <v>39</v>
      </c>
      <c r="W1608" s="2" t="s">
        <v>38</v>
      </c>
      <c r="X1608" s="2" t="s">
        <v>39</v>
      </c>
      <c r="Y1608" s="2" t="s">
        <v>38</v>
      </c>
      <c r="Z1608" s="2" t="s">
        <v>38</v>
      </c>
      <c r="AA1608" s="2" t="s">
        <v>38</v>
      </c>
      <c r="AB1608" s="2" t="s">
        <v>38</v>
      </c>
      <c r="AC1608" s="2" t="s">
        <v>38</v>
      </c>
      <c r="AD1608" s="2" t="s">
        <v>38</v>
      </c>
      <c r="AE1608" s="2" t="s">
        <v>38</v>
      </c>
    </row>
    <row r="1609" spans="1:31" ht="409.5">
      <c r="A1609" s="2">
        <v>2539468</v>
      </c>
      <c r="B1609" s="2">
        <f>HYPERLINK("https://platform.v2.vetology.net/cases/2539468/screening-report/18?type=pdf&amp;v=v6&amp;scorecard=1&amp;secret_key=BX%25IJ%24%2F65ieZ%29f6", 2539468)</f>
        <v>2539468</v>
      </c>
      <c r="C1609" s="2">
        <f>HYPERLINK("https://platform.v2.vetology.net/report/v/final/"&amp;2539468, 2539468)</f>
        <v>2539468</v>
      </c>
      <c r="D1609" s="2" t="s">
        <v>4570</v>
      </c>
      <c r="E1609" s="2" t="s">
        <v>4571</v>
      </c>
      <c r="F1609" s="2" t="s">
        <v>81</v>
      </c>
      <c r="G1609" s="2" t="s">
        <v>82</v>
      </c>
      <c r="H1609" s="2" t="s">
        <v>1248</v>
      </c>
      <c r="I1609" s="2" t="s">
        <v>460</v>
      </c>
      <c r="J1609" s="2" t="s">
        <v>66</v>
      </c>
      <c r="K1609" s="2" t="s">
        <v>38</v>
      </c>
      <c r="L1609" s="2" t="s">
        <v>39</v>
      </c>
      <c r="M1609" s="2" t="s">
        <v>39</v>
      </c>
      <c r="N1609" s="2" t="s">
        <v>38</v>
      </c>
      <c r="O1609" s="2" t="s">
        <v>38</v>
      </c>
      <c r="P1609" s="2" t="s">
        <v>39</v>
      </c>
      <c r="Q1609" s="2" t="s">
        <v>39</v>
      </c>
      <c r="R1609" s="2" t="s">
        <v>38</v>
      </c>
      <c r="S1609" s="2" t="s">
        <v>39</v>
      </c>
      <c r="T1609" s="2" t="s">
        <v>38</v>
      </c>
      <c r="U1609" s="2" t="s">
        <v>38</v>
      </c>
      <c r="V1609" s="2" t="s">
        <v>38</v>
      </c>
      <c r="W1609" s="2" t="s">
        <v>38</v>
      </c>
      <c r="X1609" s="2" t="s">
        <v>38</v>
      </c>
      <c r="Y1609" s="2" t="s">
        <v>38</v>
      </c>
      <c r="Z1609" s="2" t="s">
        <v>39</v>
      </c>
      <c r="AA1609" s="2" t="s">
        <v>38</v>
      </c>
      <c r="AB1609" s="2" t="s">
        <v>38</v>
      </c>
      <c r="AC1609" s="2" t="s">
        <v>39</v>
      </c>
      <c r="AD1609" s="2" t="s">
        <v>38</v>
      </c>
      <c r="AE1609" s="2" t="s">
        <v>38</v>
      </c>
    </row>
    <row r="1610" spans="1:31" ht="409.5">
      <c r="A1610" s="2">
        <v>2539438</v>
      </c>
      <c r="B1610" s="2">
        <f>HYPERLINK("https://platform.v2.vetology.net/cases/2539438/screening-report/18?type=pdf&amp;v=v6&amp;scorecard=1&amp;secret_key=BX%25IJ%24%2F65ieZ%29f6", 2539438)</f>
        <v>2539438</v>
      </c>
      <c r="C1610" s="2">
        <f>HYPERLINK("https://platform.v2.vetology.net/report/v/final/"&amp;2539438, 2539438)</f>
        <v>2539438</v>
      </c>
      <c r="D1610" s="2" t="s">
        <v>4572</v>
      </c>
      <c r="E1610" s="2" t="s">
        <v>4573</v>
      </c>
      <c r="F1610" s="2" t="s">
        <v>81</v>
      </c>
      <c r="G1610" s="2" t="s">
        <v>82</v>
      </c>
      <c r="H1610" s="2" t="s">
        <v>607</v>
      </c>
      <c r="I1610" s="2" t="s">
        <v>137</v>
      </c>
      <c r="J1610" s="2" t="s">
        <v>66</v>
      </c>
      <c r="K1610" s="2" t="s">
        <v>38</v>
      </c>
      <c r="L1610" s="2" t="s">
        <v>39</v>
      </c>
      <c r="M1610" s="2" t="s">
        <v>39</v>
      </c>
      <c r="N1610" s="2" t="s">
        <v>38</v>
      </c>
      <c r="O1610" s="2" t="s">
        <v>38</v>
      </c>
      <c r="P1610" s="2" t="s">
        <v>39</v>
      </c>
      <c r="Q1610" s="2" t="s">
        <v>38</v>
      </c>
      <c r="R1610" s="2" t="s">
        <v>38</v>
      </c>
      <c r="S1610" s="2" t="s">
        <v>38</v>
      </c>
      <c r="T1610" s="2" t="s">
        <v>38</v>
      </c>
      <c r="U1610" s="2" t="s">
        <v>38</v>
      </c>
      <c r="V1610" s="2" t="s">
        <v>38</v>
      </c>
      <c r="W1610" s="2" t="s">
        <v>38</v>
      </c>
      <c r="X1610" s="2" t="s">
        <v>38</v>
      </c>
      <c r="Y1610" s="2" t="s">
        <v>38</v>
      </c>
      <c r="Z1610" s="2" t="s">
        <v>39</v>
      </c>
      <c r="AA1610" s="2" t="s">
        <v>38</v>
      </c>
      <c r="AB1610" s="2" t="s">
        <v>39</v>
      </c>
      <c r="AC1610" s="2" t="s">
        <v>38</v>
      </c>
      <c r="AD1610" s="2" t="s">
        <v>38</v>
      </c>
      <c r="AE1610" s="2" t="s">
        <v>38</v>
      </c>
    </row>
    <row r="1611" spans="1:31" ht="409.5">
      <c r="A1611" s="2">
        <v>2539384</v>
      </c>
      <c r="B1611" s="2">
        <f>HYPERLINK("https://platform.v2.vetology.net/cases/2539384/screening-report/18?type=pdf&amp;v=v6&amp;scorecard=1&amp;secret_key=BX%25IJ%24%2F65ieZ%29f6", 2539384)</f>
        <v>2539384</v>
      </c>
      <c r="C1611" s="2">
        <f>HYPERLINK("https://platform.v2.vetology.net/report/v/final/"&amp;2539384, 2539384)</f>
        <v>2539384</v>
      </c>
      <c r="D1611" s="2" t="s">
        <v>4574</v>
      </c>
      <c r="E1611" s="2" t="s">
        <v>4575</v>
      </c>
      <c r="F1611" s="2" t="s">
        <v>4576</v>
      </c>
      <c r="G1611" s="2" t="s">
        <v>268</v>
      </c>
      <c r="H1611" s="2" t="s">
        <v>4577</v>
      </c>
      <c r="I1611" s="2" t="s">
        <v>1903</v>
      </c>
      <c r="J1611" s="2" t="s">
        <v>690</v>
      </c>
      <c r="K1611" s="2" t="s">
        <v>39</v>
      </c>
      <c r="L1611" s="2" t="s">
        <v>39</v>
      </c>
      <c r="M1611" s="2" t="s">
        <v>39</v>
      </c>
      <c r="N1611" s="2" t="s">
        <v>38</v>
      </c>
      <c r="O1611" s="2" t="s">
        <v>39</v>
      </c>
      <c r="P1611" s="2" t="s">
        <v>39</v>
      </c>
      <c r="Q1611" s="2" t="s">
        <v>39</v>
      </c>
      <c r="R1611" s="2" t="s">
        <v>38</v>
      </c>
      <c r="S1611" s="2" t="s">
        <v>39</v>
      </c>
      <c r="T1611" s="2" t="s">
        <v>39</v>
      </c>
      <c r="U1611" s="2" t="s">
        <v>39</v>
      </c>
      <c r="V1611" s="2" t="s">
        <v>39</v>
      </c>
      <c r="W1611" s="2" t="s">
        <v>38</v>
      </c>
      <c r="X1611" s="2" t="s">
        <v>39</v>
      </c>
      <c r="Y1611" s="2" t="s">
        <v>38</v>
      </c>
      <c r="Z1611" s="2" t="s">
        <v>39</v>
      </c>
      <c r="AA1611" s="2" t="s">
        <v>39</v>
      </c>
      <c r="AB1611" s="2" t="s">
        <v>39</v>
      </c>
      <c r="AC1611" s="2" t="s">
        <v>39</v>
      </c>
      <c r="AD1611" s="2" t="s">
        <v>38</v>
      </c>
      <c r="AE1611" s="2" t="s">
        <v>39</v>
      </c>
    </row>
    <row r="1612" spans="1:31" ht="409.5">
      <c r="A1612" s="2">
        <v>2539281</v>
      </c>
      <c r="B1612" s="2">
        <f>HYPERLINK("https://platform.v2.vetology.net/cases/2539281/screening-report/18?type=pdf&amp;v=v6&amp;scorecard=1&amp;secret_key=BX%25IJ%24%2F65ieZ%29f6", 2539281)</f>
        <v>2539281</v>
      </c>
      <c r="C1612" s="2">
        <f>HYPERLINK("https://platform.v2.vetology.net/report/v/final/"&amp;2539281, 2539281)</f>
        <v>2539281</v>
      </c>
      <c r="D1612" s="2" t="s">
        <v>4578</v>
      </c>
      <c r="E1612" s="2" t="s">
        <v>4579</v>
      </c>
      <c r="F1612" s="2" t="s">
        <v>81</v>
      </c>
      <c r="G1612" s="2" t="s">
        <v>82</v>
      </c>
      <c r="H1612" s="2" t="s">
        <v>94</v>
      </c>
      <c r="I1612" s="2" t="s">
        <v>89</v>
      </c>
      <c r="J1612" s="2" t="s">
        <v>66</v>
      </c>
      <c r="K1612" s="2" t="s">
        <v>38</v>
      </c>
      <c r="L1612" s="2" t="s">
        <v>39</v>
      </c>
      <c r="M1612" s="2" t="s">
        <v>38</v>
      </c>
      <c r="N1612" s="2" t="s">
        <v>38</v>
      </c>
      <c r="O1612" s="2" t="s">
        <v>38</v>
      </c>
      <c r="P1612" s="2" t="s">
        <v>38</v>
      </c>
      <c r="Q1612" s="2" t="s">
        <v>38</v>
      </c>
      <c r="R1612" s="2" t="s">
        <v>38</v>
      </c>
      <c r="S1612" s="2" t="s">
        <v>38</v>
      </c>
      <c r="T1612" s="2" t="s">
        <v>38</v>
      </c>
      <c r="U1612" s="2" t="s">
        <v>38</v>
      </c>
      <c r="V1612" s="2" t="s">
        <v>38</v>
      </c>
      <c r="W1612" s="2" t="s">
        <v>38</v>
      </c>
      <c r="X1612" s="2" t="s">
        <v>38</v>
      </c>
      <c r="Y1612" s="2" t="s">
        <v>38</v>
      </c>
      <c r="Z1612" s="2" t="s">
        <v>38</v>
      </c>
      <c r="AA1612" s="2" t="s">
        <v>38</v>
      </c>
      <c r="AB1612" s="2" t="s">
        <v>38</v>
      </c>
      <c r="AC1612" s="2" t="s">
        <v>38</v>
      </c>
      <c r="AD1612" s="2" t="s">
        <v>38</v>
      </c>
      <c r="AE1612" s="2" t="s">
        <v>39</v>
      </c>
    </row>
    <row r="1613" spans="1:31" ht="409.5">
      <c r="A1613" s="2">
        <v>2539224</v>
      </c>
      <c r="B1613" s="2">
        <f>HYPERLINK("https://platform.v2.vetology.net/cases/2539224/screening-report/18?type=pdf&amp;v=v6&amp;scorecard=1&amp;secret_key=BX%25IJ%24%2F65ieZ%29f6", 2539224)</f>
        <v>2539224</v>
      </c>
      <c r="C1613" s="2">
        <f>HYPERLINK("https://platform.v2.vetology.net/report/v/final/"&amp;2539224, 2539224)</f>
        <v>2539224</v>
      </c>
      <c r="D1613" s="2" t="s">
        <v>4580</v>
      </c>
      <c r="E1613" s="2" t="s">
        <v>4581</v>
      </c>
      <c r="F1613" s="2" t="s">
        <v>4582</v>
      </c>
      <c r="G1613" s="2" t="s">
        <v>58</v>
      </c>
      <c r="H1613" s="2" t="s">
        <v>2050</v>
      </c>
      <c r="I1613" s="2" t="s">
        <v>270</v>
      </c>
      <c r="J1613" s="2" t="s">
        <v>66</v>
      </c>
      <c r="K1613" s="2" t="s">
        <v>38</v>
      </c>
      <c r="L1613" s="2" t="s">
        <v>39</v>
      </c>
      <c r="M1613" s="2" t="s">
        <v>39</v>
      </c>
      <c r="N1613" s="2" t="s">
        <v>38</v>
      </c>
      <c r="O1613" s="2" t="s">
        <v>39</v>
      </c>
      <c r="P1613" s="2" t="s">
        <v>39</v>
      </c>
      <c r="Q1613" s="2" t="s">
        <v>38</v>
      </c>
      <c r="R1613" s="2" t="s">
        <v>38</v>
      </c>
      <c r="S1613" s="2" t="s">
        <v>38</v>
      </c>
      <c r="T1613" s="2" t="s">
        <v>39</v>
      </c>
      <c r="U1613" s="2" t="s">
        <v>38</v>
      </c>
      <c r="V1613" s="2" t="s">
        <v>39</v>
      </c>
      <c r="W1613" s="2" t="s">
        <v>38</v>
      </c>
      <c r="X1613" s="2" t="s">
        <v>39</v>
      </c>
      <c r="Y1613" s="2" t="s">
        <v>38</v>
      </c>
      <c r="Z1613" s="2" t="s">
        <v>39</v>
      </c>
      <c r="AA1613" s="2" t="s">
        <v>38</v>
      </c>
      <c r="AB1613" s="2" t="s">
        <v>39</v>
      </c>
      <c r="AC1613" s="2" t="s">
        <v>39</v>
      </c>
      <c r="AD1613" s="2" t="s">
        <v>38</v>
      </c>
      <c r="AE1613" s="2" t="s">
        <v>39</v>
      </c>
    </row>
    <row r="1614" spans="1:31" ht="409.5">
      <c r="A1614" s="2">
        <v>2538963</v>
      </c>
      <c r="B1614" s="2">
        <f>HYPERLINK("https://platform.v2.vetology.net/cases/2538963/screening-report/18?type=pdf&amp;v=v6&amp;scorecard=1&amp;secret_key=BX%25IJ%24%2F65ieZ%29f6", 2538963)</f>
        <v>2538963</v>
      </c>
      <c r="C1614" s="2">
        <f>HYPERLINK("https://platform.v2.vetology.net/report/v/final/"&amp;2538963, 2538963)</f>
        <v>2538963</v>
      </c>
      <c r="D1614" s="2" t="s">
        <v>4583</v>
      </c>
      <c r="E1614" s="2" t="s">
        <v>4584</v>
      </c>
      <c r="F1614" s="2" t="s">
        <v>4585</v>
      </c>
      <c r="G1614" s="2" t="s">
        <v>268</v>
      </c>
      <c r="H1614" s="2" t="s">
        <v>965</v>
      </c>
      <c r="I1614" s="2" t="s">
        <v>966</v>
      </c>
      <c r="J1614" s="2" t="s">
        <v>66</v>
      </c>
      <c r="K1614" s="2" t="s">
        <v>38</v>
      </c>
      <c r="L1614" s="2" t="s">
        <v>38</v>
      </c>
      <c r="M1614" s="2" t="s">
        <v>39</v>
      </c>
      <c r="N1614" s="2" t="s">
        <v>38</v>
      </c>
      <c r="O1614" s="2" t="s">
        <v>39</v>
      </c>
      <c r="P1614" s="2" t="s">
        <v>39</v>
      </c>
      <c r="Q1614" s="2" t="s">
        <v>38</v>
      </c>
      <c r="R1614" s="2" t="s">
        <v>38</v>
      </c>
      <c r="S1614" s="2" t="s">
        <v>39</v>
      </c>
      <c r="T1614" s="2" t="s">
        <v>39</v>
      </c>
      <c r="U1614" s="2" t="s">
        <v>38</v>
      </c>
      <c r="V1614" s="2" t="s">
        <v>39</v>
      </c>
      <c r="W1614" s="2" t="s">
        <v>38</v>
      </c>
      <c r="X1614" s="2" t="s">
        <v>39</v>
      </c>
      <c r="Y1614" s="2" t="s">
        <v>38</v>
      </c>
      <c r="Z1614" s="2" t="s">
        <v>38</v>
      </c>
      <c r="AA1614" s="2" t="s">
        <v>38</v>
      </c>
      <c r="AB1614" s="2" t="s">
        <v>39</v>
      </c>
      <c r="AC1614" s="2" t="s">
        <v>38</v>
      </c>
      <c r="AD1614" s="2" t="s">
        <v>38</v>
      </c>
      <c r="AE1614" s="2" t="s">
        <v>38</v>
      </c>
    </row>
    <row r="1615" spans="1:31" ht="409.5">
      <c r="A1615" s="2">
        <v>2538959</v>
      </c>
      <c r="B1615" s="2">
        <f>HYPERLINK("https://platform.v2.vetology.net/cases/2538959/screening-report/18?type=pdf&amp;v=v6&amp;scorecard=1&amp;secret_key=BX%25IJ%24%2F65ieZ%29f6", 2538959)</f>
        <v>2538959</v>
      </c>
      <c r="C1615" s="2">
        <f>HYPERLINK("https://platform.v2.vetology.net/report/v/final/"&amp;2538959, 2538959)</f>
        <v>2538959</v>
      </c>
      <c r="D1615" s="2" t="s">
        <v>4586</v>
      </c>
      <c r="E1615" s="2" t="s">
        <v>4587</v>
      </c>
      <c r="F1615" s="2" t="s">
        <v>81</v>
      </c>
      <c r="G1615" s="2" t="s">
        <v>268</v>
      </c>
      <c r="H1615" s="2" t="s">
        <v>364</v>
      </c>
      <c r="I1615" s="2" t="s">
        <v>264</v>
      </c>
      <c r="J1615" s="2" t="s">
        <v>265</v>
      </c>
      <c r="K1615" s="2" t="s">
        <v>38</v>
      </c>
      <c r="L1615" s="2" t="s">
        <v>38</v>
      </c>
      <c r="M1615" s="2" t="s">
        <v>39</v>
      </c>
      <c r="N1615" s="2" t="s">
        <v>38</v>
      </c>
      <c r="O1615" s="2" t="s">
        <v>38</v>
      </c>
      <c r="P1615" s="2" t="s">
        <v>39</v>
      </c>
      <c r="Q1615" s="2" t="s">
        <v>38</v>
      </c>
      <c r="R1615" s="2" t="s">
        <v>38</v>
      </c>
      <c r="S1615" s="2" t="s">
        <v>38</v>
      </c>
      <c r="T1615" s="2" t="s">
        <v>38</v>
      </c>
      <c r="U1615" s="2" t="s">
        <v>38</v>
      </c>
      <c r="V1615" s="2" t="s">
        <v>39</v>
      </c>
      <c r="W1615" s="2" t="s">
        <v>38</v>
      </c>
      <c r="X1615" s="2" t="s">
        <v>39</v>
      </c>
      <c r="Y1615" s="2" t="s">
        <v>38</v>
      </c>
      <c r="Z1615" s="2" t="s">
        <v>38</v>
      </c>
      <c r="AA1615" s="2" t="s">
        <v>38</v>
      </c>
      <c r="AB1615" s="2" t="s">
        <v>39</v>
      </c>
      <c r="AC1615" s="2" t="s">
        <v>38</v>
      </c>
      <c r="AD1615" s="2" t="s">
        <v>38</v>
      </c>
      <c r="AE1615" s="2" t="s">
        <v>38</v>
      </c>
    </row>
    <row r="1616" spans="1:31" ht="409.5">
      <c r="A1616" s="2">
        <v>2538944</v>
      </c>
      <c r="B1616" s="2">
        <f>HYPERLINK("https://platform.v2.vetology.net/cases/2538944/screening-report/18?type=pdf&amp;v=v6&amp;scorecard=1&amp;secret_key=BX%25IJ%24%2F65ieZ%29f6", 2538944)</f>
        <v>2538944</v>
      </c>
      <c r="C1616" s="2">
        <f>HYPERLINK("https://platform.v2.vetology.net/report/v/final/"&amp;2538944, 2538944)</f>
        <v>2538944</v>
      </c>
      <c r="D1616" s="2" t="s">
        <v>1589</v>
      </c>
      <c r="E1616" s="2" t="s">
        <v>1590</v>
      </c>
      <c r="F1616" s="2" t="s">
        <v>149</v>
      </c>
      <c r="G1616" s="2" t="s">
        <v>150</v>
      </c>
      <c r="H1616" s="2" t="s">
        <v>4588</v>
      </c>
      <c r="I1616" s="2" t="s">
        <v>1102</v>
      </c>
      <c r="J1616" s="2" t="s">
        <v>307</v>
      </c>
      <c r="K1616" s="2" t="s">
        <v>38</v>
      </c>
      <c r="L1616" s="2" t="s">
        <v>39</v>
      </c>
      <c r="M1616" s="2" t="s">
        <v>38</v>
      </c>
      <c r="N1616" s="2" t="s">
        <v>39</v>
      </c>
      <c r="O1616" s="2" t="s">
        <v>38</v>
      </c>
      <c r="P1616" s="2" t="s">
        <v>39</v>
      </c>
      <c r="Q1616" s="2" t="s">
        <v>39</v>
      </c>
      <c r="R1616" s="2" t="s">
        <v>38</v>
      </c>
      <c r="S1616" s="2" t="s">
        <v>38</v>
      </c>
      <c r="T1616" s="2" t="s">
        <v>38</v>
      </c>
      <c r="U1616" s="2" t="s">
        <v>38</v>
      </c>
      <c r="V1616" s="2" t="s">
        <v>38</v>
      </c>
      <c r="W1616" s="2" t="s">
        <v>38</v>
      </c>
      <c r="X1616" s="2" t="s">
        <v>38</v>
      </c>
      <c r="Y1616" s="2" t="s">
        <v>38</v>
      </c>
      <c r="Z1616" s="2" t="s">
        <v>39</v>
      </c>
      <c r="AA1616" s="2" t="s">
        <v>38</v>
      </c>
      <c r="AB1616" s="2" t="s">
        <v>39</v>
      </c>
      <c r="AC1616" s="2" t="s">
        <v>39</v>
      </c>
      <c r="AD1616" s="2" t="s">
        <v>38</v>
      </c>
      <c r="AE1616" s="2" t="s">
        <v>38</v>
      </c>
    </row>
    <row r="1617" spans="1:31" ht="409.5">
      <c r="A1617" s="2">
        <v>2538769</v>
      </c>
      <c r="B1617" s="2">
        <f>HYPERLINK("https://platform.v2.vetology.net/cases/2538769/screening-report/18?type=pdf&amp;v=v6&amp;scorecard=1&amp;secret_key=BX%25IJ%24%2F65ieZ%29f6", 2538769)</f>
        <v>2538769</v>
      </c>
      <c r="C1617" s="2">
        <f>HYPERLINK("https://platform.v2.vetology.net/report/v/final/"&amp;2538769, 2538769)</f>
        <v>2538769</v>
      </c>
      <c r="D1617" s="2" t="s">
        <v>4589</v>
      </c>
      <c r="E1617" s="2" t="s">
        <v>4590</v>
      </c>
      <c r="F1617" s="2" t="s">
        <v>81</v>
      </c>
      <c r="G1617" s="2" t="s">
        <v>268</v>
      </c>
      <c r="H1617" s="2" t="s">
        <v>136</v>
      </c>
      <c r="I1617" s="2" t="s">
        <v>137</v>
      </c>
      <c r="J1617" s="2" t="s">
        <v>66</v>
      </c>
      <c r="K1617" s="2" t="s">
        <v>38</v>
      </c>
      <c r="L1617" s="2" t="s">
        <v>39</v>
      </c>
      <c r="M1617" s="2" t="s">
        <v>38</v>
      </c>
      <c r="N1617" s="2" t="s">
        <v>38</v>
      </c>
      <c r="O1617" s="2" t="s">
        <v>38</v>
      </c>
      <c r="P1617" s="2" t="s">
        <v>38</v>
      </c>
      <c r="Q1617" s="2" t="s">
        <v>38</v>
      </c>
      <c r="R1617" s="2" t="s">
        <v>38</v>
      </c>
      <c r="S1617" s="2" t="s">
        <v>38</v>
      </c>
      <c r="T1617" s="2" t="s">
        <v>38</v>
      </c>
      <c r="U1617" s="2" t="s">
        <v>38</v>
      </c>
      <c r="V1617" s="2" t="s">
        <v>38</v>
      </c>
      <c r="W1617" s="2" t="s">
        <v>38</v>
      </c>
      <c r="X1617" s="2" t="s">
        <v>38</v>
      </c>
      <c r="Y1617" s="2" t="s">
        <v>38</v>
      </c>
      <c r="Z1617" s="2" t="s">
        <v>38</v>
      </c>
      <c r="AA1617" s="2" t="s">
        <v>38</v>
      </c>
      <c r="AB1617" s="2" t="s">
        <v>38</v>
      </c>
      <c r="AC1617" s="2" t="s">
        <v>38</v>
      </c>
      <c r="AD1617" s="2" t="s">
        <v>38</v>
      </c>
      <c r="AE1617" s="2" t="s">
        <v>38</v>
      </c>
    </row>
    <row r="1618" spans="1:31" ht="409.5">
      <c r="A1618" s="2">
        <v>2538318</v>
      </c>
      <c r="B1618" s="2">
        <f>HYPERLINK("https://platform.v2.vetology.net/cases/2538318/screening-report/18?type=pdf&amp;v=v6&amp;scorecard=1&amp;secret_key=BX%25IJ%24%2F65ieZ%29f6", 2538318)</f>
        <v>2538318</v>
      </c>
      <c r="C1618" s="2">
        <f>HYPERLINK("https://platform.v2.vetology.net/report/v/final/"&amp;2538318, 2538318)</f>
        <v>2538318</v>
      </c>
      <c r="D1618" s="2" t="s">
        <v>4591</v>
      </c>
      <c r="E1618" s="2" t="s">
        <v>4592</v>
      </c>
      <c r="F1618" s="2" t="s">
        <v>81</v>
      </c>
      <c r="G1618" s="2" t="s">
        <v>268</v>
      </c>
      <c r="H1618" s="2" t="s">
        <v>105</v>
      </c>
      <c r="I1618" s="2" t="s">
        <v>44</v>
      </c>
      <c r="J1618" s="2"/>
      <c r="K1618" s="2" t="s">
        <v>38</v>
      </c>
      <c r="L1618" s="2" t="s">
        <v>38</v>
      </c>
      <c r="M1618" s="2" t="s">
        <v>39</v>
      </c>
      <c r="N1618" s="2" t="s">
        <v>38</v>
      </c>
      <c r="O1618" s="2" t="s">
        <v>38</v>
      </c>
      <c r="P1618" s="2" t="s">
        <v>38</v>
      </c>
      <c r="Q1618" s="2" t="s">
        <v>38</v>
      </c>
      <c r="R1618" s="2" t="s">
        <v>38</v>
      </c>
      <c r="S1618" s="2" t="s">
        <v>38</v>
      </c>
      <c r="T1618" s="2" t="s">
        <v>39</v>
      </c>
      <c r="U1618" s="2" t="s">
        <v>38</v>
      </c>
      <c r="V1618" s="2" t="s">
        <v>39</v>
      </c>
      <c r="W1618" s="2" t="s">
        <v>38</v>
      </c>
      <c r="X1618" s="2" t="s">
        <v>39</v>
      </c>
      <c r="Y1618" s="2" t="s">
        <v>38</v>
      </c>
      <c r="Z1618" s="2" t="s">
        <v>38</v>
      </c>
      <c r="AA1618" s="2" t="s">
        <v>38</v>
      </c>
      <c r="AB1618" s="2" t="s">
        <v>38</v>
      </c>
      <c r="AC1618" s="2" t="s">
        <v>38</v>
      </c>
      <c r="AD1618" s="2" t="s">
        <v>38</v>
      </c>
      <c r="AE1618" s="2" t="s">
        <v>38</v>
      </c>
    </row>
    <row r="1619" spans="1:31" ht="409.5">
      <c r="A1619" s="2">
        <v>2538184</v>
      </c>
      <c r="B1619" s="2">
        <f>HYPERLINK("https://platform.v2.vetology.net/cases/2538184/screening-report/18?type=pdf&amp;v=v6&amp;scorecard=1&amp;secret_key=BX%25IJ%24%2F65ieZ%29f6", 2538184)</f>
        <v>2538184</v>
      </c>
      <c r="C1619" s="2">
        <f>HYPERLINK("https://platform.v2.vetology.net/report/v/final/"&amp;2538184, 2538184)</f>
        <v>2538184</v>
      </c>
      <c r="D1619" s="2" t="s">
        <v>4593</v>
      </c>
      <c r="E1619" s="2" t="s">
        <v>4594</v>
      </c>
      <c r="F1619" s="2" t="s">
        <v>149</v>
      </c>
      <c r="G1619" s="2" t="s">
        <v>150</v>
      </c>
      <c r="H1619" s="2" t="s">
        <v>54</v>
      </c>
      <c r="I1619" s="2" t="s">
        <v>44</v>
      </c>
      <c r="J1619" s="2"/>
      <c r="K1619" s="2" t="s">
        <v>38</v>
      </c>
      <c r="L1619" s="2" t="s">
        <v>39</v>
      </c>
      <c r="M1619" s="2" t="s">
        <v>39</v>
      </c>
      <c r="N1619" s="2" t="s">
        <v>38</v>
      </c>
      <c r="O1619" s="2" t="s">
        <v>38</v>
      </c>
      <c r="P1619" s="2" t="s">
        <v>39</v>
      </c>
      <c r="Q1619" s="2" t="s">
        <v>38</v>
      </c>
      <c r="R1619" s="2" t="s">
        <v>38</v>
      </c>
      <c r="S1619" s="2" t="s">
        <v>38</v>
      </c>
      <c r="T1619" s="2" t="s">
        <v>38</v>
      </c>
      <c r="U1619" s="2" t="s">
        <v>38</v>
      </c>
      <c r="V1619" s="2" t="s">
        <v>38</v>
      </c>
      <c r="W1619" s="2" t="s">
        <v>38</v>
      </c>
      <c r="X1619" s="2" t="s">
        <v>38</v>
      </c>
      <c r="Y1619" s="2" t="s">
        <v>38</v>
      </c>
      <c r="Z1619" s="2" t="s">
        <v>39</v>
      </c>
      <c r="AA1619" s="2" t="s">
        <v>38</v>
      </c>
      <c r="AB1619" s="2" t="s">
        <v>39</v>
      </c>
      <c r="AC1619" s="2" t="s">
        <v>38</v>
      </c>
      <c r="AD1619" s="2" t="s">
        <v>38</v>
      </c>
      <c r="AE1619" s="2" t="s">
        <v>39</v>
      </c>
    </row>
    <row r="1620" spans="1:31" ht="409.5">
      <c r="A1620" s="2">
        <v>2538154</v>
      </c>
      <c r="B1620" s="2">
        <f>HYPERLINK("https://platform.v2.vetology.net/cases/2538154/screening-report/18?type=pdf&amp;v=v6&amp;scorecard=1&amp;secret_key=BX%25IJ%24%2F65ieZ%29f6", 2538154)</f>
        <v>2538154</v>
      </c>
      <c r="C1620" s="2">
        <f>HYPERLINK("https://platform.v2.vetology.net/report/v/final/"&amp;2538154, 2538154)</f>
        <v>2538154</v>
      </c>
      <c r="D1620" s="2" t="s">
        <v>4595</v>
      </c>
      <c r="E1620" s="2" t="s">
        <v>4596</v>
      </c>
      <c r="F1620" s="2" t="s">
        <v>81</v>
      </c>
      <c r="G1620" s="2" t="s">
        <v>268</v>
      </c>
      <c r="H1620" s="2" t="s">
        <v>54</v>
      </c>
      <c r="I1620" s="2" t="s">
        <v>199</v>
      </c>
      <c r="J1620" s="2"/>
      <c r="K1620" s="2" t="s">
        <v>38</v>
      </c>
      <c r="L1620" s="2" t="s">
        <v>39</v>
      </c>
      <c r="M1620" s="2" t="s">
        <v>39</v>
      </c>
      <c r="N1620" s="2" t="s">
        <v>38</v>
      </c>
      <c r="O1620" s="2" t="s">
        <v>38</v>
      </c>
      <c r="P1620" s="2" t="s">
        <v>38</v>
      </c>
      <c r="Q1620" s="2" t="s">
        <v>38</v>
      </c>
      <c r="R1620" s="2" t="s">
        <v>38</v>
      </c>
      <c r="S1620" s="2" t="s">
        <v>38</v>
      </c>
      <c r="T1620" s="2" t="s">
        <v>39</v>
      </c>
      <c r="U1620" s="2" t="s">
        <v>38</v>
      </c>
      <c r="V1620" s="2" t="s">
        <v>39</v>
      </c>
      <c r="W1620" s="2" t="s">
        <v>38</v>
      </c>
      <c r="X1620" s="2" t="s">
        <v>38</v>
      </c>
      <c r="Y1620" s="2" t="s">
        <v>38</v>
      </c>
      <c r="Z1620" s="2" t="s">
        <v>39</v>
      </c>
      <c r="AA1620" s="2" t="s">
        <v>38</v>
      </c>
      <c r="AB1620" s="2" t="s">
        <v>39</v>
      </c>
      <c r="AC1620" s="2" t="s">
        <v>38</v>
      </c>
      <c r="AD1620" s="2" t="s">
        <v>38</v>
      </c>
      <c r="AE1620" s="2" t="s">
        <v>38</v>
      </c>
    </row>
    <row r="1621" spans="1:31" ht="409.5">
      <c r="A1621" s="2">
        <v>2537815</v>
      </c>
      <c r="B1621" s="2">
        <f>HYPERLINK("https://platform.v2.vetology.net/cases/2537815/screening-report/18?type=pdf&amp;v=v6&amp;scorecard=1&amp;secret_key=BX%25IJ%24%2F65ieZ%29f6", 2537815)</f>
        <v>2537815</v>
      </c>
      <c r="C1621" s="2">
        <f>HYPERLINK("https://platform.v2.vetology.net/report/v/final/"&amp;2537815, 2537815)</f>
        <v>2537815</v>
      </c>
      <c r="D1621" s="2" t="s">
        <v>4597</v>
      </c>
      <c r="E1621" s="2" t="s">
        <v>4598</v>
      </c>
      <c r="F1621" s="2" t="s">
        <v>81</v>
      </c>
      <c r="G1621" s="2" t="s">
        <v>82</v>
      </c>
      <c r="H1621" s="2" t="s">
        <v>965</v>
      </c>
      <c r="I1621" s="2" t="s">
        <v>966</v>
      </c>
      <c r="J1621" s="2" t="s">
        <v>66</v>
      </c>
      <c r="K1621" s="2" t="s">
        <v>38</v>
      </c>
      <c r="L1621" s="2" t="s">
        <v>39</v>
      </c>
      <c r="M1621" s="2" t="s">
        <v>39</v>
      </c>
      <c r="N1621" s="2" t="s">
        <v>38</v>
      </c>
      <c r="O1621" s="2" t="s">
        <v>39</v>
      </c>
      <c r="P1621" s="2" t="s">
        <v>39</v>
      </c>
      <c r="Q1621" s="2" t="s">
        <v>38</v>
      </c>
      <c r="R1621" s="2" t="s">
        <v>38</v>
      </c>
      <c r="S1621" s="2" t="s">
        <v>38</v>
      </c>
      <c r="T1621" s="2" t="s">
        <v>39</v>
      </c>
      <c r="U1621" s="2" t="s">
        <v>38</v>
      </c>
      <c r="V1621" s="2" t="s">
        <v>38</v>
      </c>
      <c r="W1621" s="2" t="s">
        <v>38</v>
      </c>
      <c r="X1621" s="2" t="s">
        <v>39</v>
      </c>
      <c r="Y1621" s="2" t="s">
        <v>39</v>
      </c>
      <c r="Z1621" s="2" t="s">
        <v>38</v>
      </c>
      <c r="AA1621" s="2" t="s">
        <v>38</v>
      </c>
      <c r="AB1621" s="2" t="s">
        <v>39</v>
      </c>
      <c r="AC1621" s="2" t="s">
        <v>39</v>
      </c>
      <c r="AD1621" s="2" t="s">
        <v>38</v>
      </c>
      <c r="AE1621" s="2" t="s">
        <v>38</v>
      </c>
    </row>
    <row r="1622" spans="1:31" ht="409.5">
      <c r="A1622" s="2">
        <v>2537680</v>
      </c>
      <c r="B1622" s="2">
        <f>HYPERLINK("https://platform.v2.vetology.net/cases/2537680/screening-report/18?type=pdf&amp;v=v6&amp;scorecard=1&amp;secret_key=BX%25IJ%24%2F65ieZ%29f6", 2537680)</f>
        <v>2537680</v>
      </c>
      <c r="C1622" s="2">
        <f>HYPERLINK("https://platform.v2.vetology.net/report/v/final/"&amp;2537680, 2537680)</f>
        <v>2537680</v>
      </c>
      <c r="D1622" s="2" t="s">
        <v>4599</v>
      </c>
      <c r="E1622" s="2" t="s">
        <v>913</v>
      </c>
      <c r="F1622" s="2" t="s">
        <v>81</v>
      </c>
      <c r="G1622" s="2" t="s">
        <v>82</v>
      </c>
      <c r="H1622" s="2" t="s">
        <v>78</v>
      </c>
      <c r="I1622" s="2" t="s">
        <v>44</v>
      </c>
      <c r="J1622" s="2" t="s">
        <v>106</v>
      </c>
      <c r="K1622" s="2" t="s">
        <v>38</v>
      </c>
      <c r="L1622" s="2" t="s">
        <v>39</v>
      </c>
      <c r="M1622" s="2" t="s">
        <v>38</v>
      </c>
      <c r="N1622" s="2" t="s">
        <v>38</v>
      </c>
      <c r="O1622" s="2" t="s">
        <v>38</v>
      </c>
      <c r="P1622" s="2" t="s">
        <v>38</v>
      </c>
      <c r="Q1622" s="2" t="s">
        <v>39</v>
      </c>
      <c r="R1622" s="2" t="s">
        <v>38</v>
      </c>
      <c r="S1622" s="2" t="s">
        <v>38</v>
      </c>
      <c r="T1622" s="2" t="s">
        <v>39</v>
      </c>
      <c r="U1622" s="2" t="s">
        <v>38</v>
      </c>
      <c r="V1622" s="2" t="s">
        <v>39</v>
      </c>
      <c r="W1622" s="2" t="s">
        <v>38</v>
      </c>
      <c r="X1622" s="2" t="s">
        <v>38</v>
      </c>
      <c r="Y1622" s="2" t="s">
        <v>38</v>
      </c>
      <c r="Z1622" s="2" t="s">
        <v>39</v>
      </c>
      <c r="AA1622" s="2" t="s">
        <v>38</v>
      </c>
      <c r="AB1622" s="2" t="s">
        <v>39</v>
      </c>
      <c r="AC1622" s="2" t="s">
        <v>39</v>
      </c>
      <c r="AD1622" s="2" t="s">
        <v>38</v>
      </c>
      <c r="AE1622" s="2" t="s">
        <v>38</v>
      </c>
    </row>
    <row r="1623" spans="1:31" ht="409.5">
      <c r="A1623" s="2">
        <v>2537225</v>
      </c>
      <c r="B1623" s="2">
        <f>HYPERLINK("https://platform.v2.vetology.net/cases/2537225/screening-report/18?type=pdf&amp;v=v6&amp;scorecard=1&amp;secret_key=BX%25IJ%24%2F65ieZ%29f6", 2537225)</f>
        <v>2537225</v>
      </c>
      <c r="C1623" s="2">
        <f>HYPERLINK("https://platform.v2.vetology.net/report/v/final/"&amp;2537225, 2537225)</f>
        <v>2537225</v>
      </c>
      <c r="D1623" s="2" t="s">
        <v>4600</v>
      </c>
      <c r="E1623" s="2" t="s">
        <v>4601</v>
      </c>
      <c r="F1623" s="2"/>
      <c r="G1623" s="2" t="s">
        <v>150</v>
      </c>
      <c r="H1623" s="2" t="s">
        <v>1416</v>
      </c>
      <c r="I1623" s="2" t="s">
        <v>284</v>
      </c>
      <c r="J1623" s="2" t="s">
        <v>285</v>
      </c>
      <c r="K1623" s="2" t="s">
        <v>38</v>
      </c>
      <c r="L1623" s="2" t="s">
        <v>38</v>
      </c>
      <c r="M1623" s="2" t="s">
        <v>39</v>
      </c>
      <c r="N1623" s="2" t="s">
        <v>38</v>
      </c>
      <c r="O1623" s="2" t="s">
        <v>38</v>
      </c>
      <c r="P1623" s="2" t="s">
        <v>38</v>
      </c>
      <c r="Q1623" s="2" t="s">
        <v>38</v>
      </c>
      <c r="R1623" s="2" t="s">
        <v>38</v>
      </c>
      <c r="S1623" s="2" t="s">
        <v>38</v>
      </c>
      <c r="T1623" s="2" t="s">
        <v>39</v>
      </c>
      <c r="U1623" s="2" t="s">
        <v>38</v>
      </c>
      <c r="V1623" s="2" t="s">
        <v>39</v>
      </c>
      <c r="W1623" s="2" t="s">
        <v>38</v>
      </c>
      <c r="X1623" s="2" t="s">
        <v>39</v>
      </c>
      <c r="Y1623" s="2" t="s">
        <v>38</v>
      </c>
      <c r="Z1623" s="2" t="s">
        <v>38</v>
      </c>
      <c r="AA1623" s="2" t="s">
        <v>38</v>
      </c>
      <c r="AB1623" s="2" t="s">
        <v>38</v>
      </c>
      <c r="AC1623" s="2" t="s">
        <v>38</v>
      </c>
      <c r="AD1623" s="2" t="s">
        <v>38</v>
      </c>
      <c r="AE1623" s="2" t="s">
        <v>38</v>
      </c>
    </row>
    <row r="1624" spans="1:31" ht="409.5">
      <c r="A1624" s="2">
        <v>2537213</v>
      </c>
      <c r="B1624" s="2">
        <f>HYPERLINK("https://platform.v2.vetology.net/cases/2537213/screening-report/18?type=pdf&amp;v=v6&amp;scorecard=1&amp;secret_key=BX%25IJ%24%2F65ieZ%29f6", 2537213)</f>
        <v>2537213</v>
      </c>
      <c r="C1624" s="2">
        <f>HYPERLINK("https://platform.v2.vetology.net/report/v/final/"&amp;2537213, 2537213)</f>
        <v>2537213</v>
      </c>
      <c r="D1624" s="2" t="s">
        <v>4602</v>
      </c>
      <c r="E1624" s="2" t="s">
        <v>4603</v>
      </c>
      <c r="F1624" s="2" t="s">
        <v>4604</v>
      </c>
      <c r="G1624" s="2" t="s">
        <v>464</v>
      </c>
      <c r="H1624" s="2" t="s">
        <v>4605</v>
      </c>
      <c r="I1624" s="2" t="s">
        <v>214</v>
      </c>
      <c r="J1624" s="2" t="s">
        <v>50</v>
      </c>
      <c r="K1624" s="2" t="s">
        <v>38</v>
      </c>
      <c r="L1624" s="2" t="s">
        <v>39</v>
      </c>
      <c r="M1624" s="2" t="s">
        <v>38</v>
      </c>
      <c r="N1624" s="2" t="s">
        <v>38</v>
      </c>
      <c r="O1624" s="2" t="s">
        <v>38</v>
      </c>
      <c r="P1624" s="2" t="s">
        <v>38</v>
      </c>
      <c r="Q1624" s="2" t="s">
        <v>38</v>
      </c>
      <c r="R1624" s="2" t="s">
        <v>38</v>
      </c>
      <c r="S1624" s="2" t="s">
        <v>38</v>
      </c>
      <c r="T1624" s="2" t="s">
        <v>38</v>
      </c>
      <c r="U1624" s="2" t="s">
        <v>38</v>
      </c>
      <c r="V1624" s="2" t="s">
        <v>38</v>
      </c>
      <c r="W1624" s="2" t="s">
        <v>38</v>
      </c>
      <c r="X1624" s="2" t="s">
        <v>38</v>
      </c>
      <c r="Y1624" s="2" t="s">
        <v>38</v>
      </c>
      <c r="Z1624" s="2" t="s">
        <v>38</v>
      </c>
      <c r="AA1624" s="2" t="s">
        <v>38</v>
      </c>
      <c r="AB1624" s="2" t="s">
        <v>38</v>
      </c>
      <c r="AC1624" s="2" t="s">
        <v>38</v>
      </c>
      <c r="AD1624" s="2" t="s">
        <v>38</v>
      </c>
      <c r="AE1624" s="2" t="s">
        <v>38</v>
      </c>
    </row>
    <row r="1625" spans="1:31" ht="409.5">
      <c r="A1625" s="2">
        <v>2536920</v>
      </c>
      <c r="B1625" s="2">
        <f>HYPERLINK("https://platform.v2.vetology.net/cases/2536920/screening-report/18?type=pdf&amp;v=v6&amp;scorecard=1&amp;secret_key=BX%25IJ%24%2F65ieZ%29f6", 2536920)</f>
        <v>2536920</v>
      </c>
      <c r="C1625" s="2">
        <f>HYPERLINK("https://platform.v2.vetology.net/report/v/final/"&amp;2536920, 2536920)</f>
        <v>2536920</v>
      </c>
      <c r="D1625" s="2" t="s">
        <v>4606</v>
      </c>
      <c r="E1625" s="2" t="s">
        <v>4607</v>
      </c>
      <c r="F1625" s="2" t="s">
        <v>4608</v>
      </c>
      <c r="G1625" s="2" t="s">
        <v>93</v>
      </c>
      <c r="H1625" s="2" t="s">
        <v>88</v>
      </c>
      <c r="I1625" s="2" t="s">
        <v>89</v>
      </c>
      <c r="J1625" s="2" t="s">
        <v>66</v>
      </c>
      <c r="K1625" s="2" t="s">
        <v>38</v>
      </c>
      <c r="L1625" s="2" t="s">
        <v>38</v>
      </c>
      <c r="M1625" s="2" t="s">
        <v>39</v>
      </c>
      <c r="N1625" s="2" t="s">
        <v>38</v>
      </c>
      <c r="O1625" s="2" t="s">
        <v>38</v>
      </c>
      <c r="P1625" s="2" t="s">
        <v>38</v>
      </c>
      <c r="Q1625" s="2" t="s">
        <v>38</v>
      </c>
      <c r="R1625" s="2" t="s">
        <v>38</v>
      </c>
      <c r="S1625" s="2" t="s">
        <v>38</v>
      </c>
      <c r="T1625" s="2" t="s">
        <v>38</v>
      </c>
      <c r="U1625" s="2" t="s">
        <v>38</v>
      </c>
      <c r="V1625" s="2" t="s">
        <v>38</v>
      </c>
      <c r="W1625" s="2" t="s">
        <v>38</v>
      </c>
      <c r="X1625" s="2" t="s">
        <v>38</v>
      </c>
      <c r="Y1625" s="2" t="s">
        <v>38</v>
      </c>
      <c r="Z1625" s="2" t="s">
        <v>38</v>
      </c>
      <c r="AA1625" s="2" t="s">
        <v>38</v>
      </c>
      <c r="AB1625" s="2" t="s">
        <v>38</v>
      </c>
      <c r="AC1625" s="2" t="s">
        <v>38</v>
      </c>
      <c r="AD1625" s="2" t="s">
        <v>38</v>
      </c>
      <c r="AE1625" s="2" t="s">
        <v>39</v>
      </c>
    </row>
    <row r="1626" spans="1:31" ht="409.5">
      <c r="A1626" s="2">
        <v>2535803</v>
      </c>
      <c r="B1626" s="2">
        <f>HYPERLINK("https://platform.v2.vetology.net/cases/2535803/screening-report/18?type=pdf&amp;v=v6&amp;scorecard=1&amp;secret_key=BX%25IJ%24%2F65ieZ%29f6", 2535803)</f>
        <v>2535803</v>
      </c>
      <c r="C1626" s="2">
        <f>HYPERLINK("https://platform.v2.vetology.net/report/v/final/"&amp;2535803, 2535803)</f>
        <v>2535803</v>
      </c>
      <c r="D1626" s="2" t="s">
        <v>4609</v>
      </c>
      <c r="E1626" s="2" t="s">
        <v>4610</v>
      </c>
      <c r="F1626" s="2" t="s">
        <v>81</v>
      </c>
      <c r="G1626" s="2" t="s">
        <v>82</v>
      </c>
      <c r="H1626" s="2" t="s">
        <v>54</v>
      </c>
      <c r="I1626" s="2" t="s">
        <v>44</v>
      </c>
      <c r="J1626" s="2"/>
      <c r="K1626" s="2" t="s">
        <v>38</v>
      </c>
      <c r="L1626" s="2" t="s">
        <v>38</v>
      </c>
      <c r="M1626" s="2" t="s">
        <v>38</v>
      </c>
      <c r="N1626" s="2" t="s">
        <v>38</v>
      </c>
      <c r="O1626" s="2" t="s">
        <v>38</v>
      </c>
      <c r="P1626" s="2" t="s">
        <v>38</v>
      </c>
      <c r="Q1626" s="2" t="s">
        <v>38</v>
      </c>
      <c r="R1626" s="2" t="s">
        <v>38</v>
      </c>
      <c r="S1626" s="2" t="s">
        <v>38</v>
      </c>
      <c r="T1626" s="2" t="s">
        <v>38</v>
      </c>
      <c r="U1626" s="2" t="s">
        <v>38</v>
      </c>
      <c r="V1626" s="2" t="s">
        <v>38</v>
      </c>
      <c r="W1626" s="2" t="s">
        <v>38</v>
      </c>
      <c r="X1626" s="2" t="s">
        <v>38</v>
      </c>
      <c r="Y1626" s="2" t="s">
        <v>38</v>
      </c>
      <c r="Z1626" s="2" t="s">
        <v>38</v>
      </c>
      <c r="AA1626" s="2" t="s">
        <v>38</v>
      </c>
      <c r="AB1626" s="2" t="s">
        <v>38</v>
      </c>
      <c r="AC1626" s="2" t="s">
        <v>38</v>
      </c>
      <c r="AD1626" s="2" t="s">
        <v>38</v>
      </c>
      <c r="AE1626" s="2" t="s">
        <v>38</v>
      </c>
    </row>
    <row r="1627" spans="1:31" ht="409.5">
      <c r="A1627" s="2">
        <v>2535463</v>
      </c>
      <c r="B1627" s="2">
        <f>HYPERLINK("https://platform.v2.vetology.net/cases/2535463/screening-report/18?type=pdf&amp;v=v6&amp;scorecard=1&amp;secret_key=BX%25IJ%24%2F65ieZ%29f6", 2535463)</f>
        <v>2535463</v>
      </c>
      <c r="C1627" s="2">
        <f>HYPERLINK("https://platform.v2.vetology.net/report/v/final/"&amp;2535463, 2535463)</f>
        <v>2535463</v>
      </c>
      <c r="D1627" s="2" t="s">
        <v>4611</v>
      </c>
      <c r="E1627" s="2" t="s">
        <v>4612</v>
      </c>
      <c r="F1627" s="2" t="s">
        <v>4613</v>
      </c>
      <c r="G1627" s="2" t="s">
        <v>58</v>
      </c>
      <c r="H1627" s="2" t="s">
        <v>129</v>
      </c>
      <c r="I1627" s="2" t="s">
        <v>44</v>
      </c>
      <c r="J1627" s="2" t="s">
        <v>106</v>
      </c>
      <c r="K1627" s="2" t="s">
        <v>38</v>
      </c>
      <c r="L1627" s="2" t="s">
        <v>38</v>
      </c>
      <c r="M1627" s="2" t="s">
        <v>38</v>
      </c>
      <c r="N1627" s="2" t="s">
        <v>38</v>
      </c>
      <c r="O1627" s="2" t="s">
        <v>38</v>
      </c>
      <c r="P1627" s="2" t="s">
        <v>38</v>
      </c>
      <c r="Q1627" s="2" t="s">
        <v>38</v>
      </c>
      <c r="R1627" s="2" t="s">
        <v>38</v>
      </c>
      <c r="S1627" s="2" t="s">
        <v>38</v>
      </c>
      <c r="T1627" s="2" t="s">
        <v>39</v>
      </c>
      <c r="U1627" s="2" t="s">
        <v>38</v>
      </c>
      <c r="V1627" s="2" t="s">
        <v>38</v>
      </c>
      <c r="W1627" s="2" t="s">
        <v>38</v>
      </c>
      <c r="X1627" s="2" t="s">
        <v>38</v>
      </c>
      <c r="Y1627" s="2" t="s">
        <v>38</v>
      </c>
      <c r="Z1627" s="2" t="s">
        <v>38</v>
      </c>
      <c r="AA1627" s="2" t="s">
        <v>38</v>
      </c>
      <c r="AB1627" s="2" t="s">
        <v>38</v>
      </c>
      <c r="AC1627" s="2" t="s">
        <v>38</v>
      </c>
      <c r="AD1627" s="2" t="s">
        <v>38</v>
      </c>
      <c r="AE1627" s="2" t="s">
        <v>38</v>
      </c>
    </row>
    <row r="1628" spans="1:31" ht="409.5">
      <c r="A1628" s="2">
        <v>2535260</v>
      </c>
      <c r="B1628" s="2">
        <f>HYPERLINK("https://platform.v2.vetology.net/cases/2535260/screening-report/18?type=pdf&amp;v=v6&amp;scorecard=1&amp;secret_key=BX%25IJ%24%2F65ieZ%29f6", 2535260)</f>
        <v>2535260</v>
      </c>
      <c r="C1628" s="2">
        <f>HYPERLINK("https://platform.v2.vetology.net/report/v/final/"&amp;2535260, 2535260)</f>
        <v>2535260</v>
      </c>
      <c r="D1628" s="2" t="s">
        <v>4614</v>
      </c>
      <c r="E1628" s="2" t="s">
        <v>4615</v>
      </c>
      <c r="F1628" s="2" t="s">
        <v>81</v>
      </c>
      <c r="G1628" s="2" t="s">
        <v>268</v>
      </c>
      <c r="H1628" s="2" t="s">
        <v>78</v>
      </c>
      <c r="I1628" s="2" t="s">
        <v>44</v>
      </c>
      <c r="J1628" s="2"/>
      <c r="K1628" s="2" t="s">
        <v>38</v>
      </c>
      <c r="L1628" s="2" t="s">
        <v>39</v>
      </c>
      <c r="M1628" s="2" t="s">
        <v>38</v>
      </c>
      <c r="N1628" s="2" t="s">
        <v>38</v>
      </c>
      <c r="O1628" s="2" t="s">
        <v>38</v>
      </c>
      <c r="P1628" s="2" t="s">
        <v>38</v>
      </c>
      <c r="Q1628" s="2" t="s">
        <v>38</v>
      </c>
      <c r="R1628" s="2" t="s">
        <v>38</v>
      </c>
      <c r="S1628" s="2" t="s">
        <v>38</v>
      </c>
      <c r="T1628" s="2" t="s">
        <v>38</v>
      </c>
      <c r="U1628" s="2" t="s">
        <v>38</v>
      </c>
      <c r="V1628" s="2" t="s">
        <v>38</v>
      </c>
      <c r="W1628" s="2" t="s">
        <v>38</v>
      </c>
      <c r="X1628" s="2" t="s">
        <v>39</v>
      </c>
      <c r="Y1628" s="2" t="s">
        <v>38</v>
      </c>
      <c r="Z1628" s="2" t="s">
        <v>39</v>
      </c>
      <c r="AA1628" s="2" t="s">
        <v>38</v>
      </c>
      <c r="AB1628" s="2" t="s">
        <v>39</v>
      </c>
      <c r="AC1628" s="2" t="s">
        <v>38</v>
      </c>
      <c r="AD1628" s="2" t="s">
        <v>38</v>
      </c>
      <c r="AE1628" s="2" t="s">
        <v>38</v>
      </c>
    </row>
    <row r="1629" spans="1:31" ht="409.5">
      <c r="A1629" s="2">
        <v>2535112</v>
      </c>
      <c r="B1629" s="2">
        <f>HYPERLINK("https://platform.v2.vetology.net/cases/2535112/screening-report/18?type=pdf&amp;v=v6&amp;scorecard=1&amp;secret_key=BX%25IJ%24%2F65ieZ%29f6", 2535112)</f>
        <v>2535112</v>
      </c>
      <c r="C1629" s="2">
        <f>HYPERLINK("https://platform.v2.vetology.net/report/v/final/"&amp;2535112, 2535112)</f>
        <v>2535112</v>
      </c>
      <c r="D1629" s="2" t="s">
        <v>4616</v>
      </c>
      <c r="E1629" s="2" t="s">
        <v>4617</v>
      </c>
      <c r="F1629" s="2" t="s">
        <v>4618</v>
      </c>
      <c r="G1629" s="2" t="s">
        <v>464</v>
      </c>
      <c r="H1629" s="2" t="s">
        <v>609</v>
      </c>
      <c r="I1629" s="2" t="s">
        <v>152</v>
      </c>
      <c r="J1629" s="2" t="s">
        <v>153</v>
      </c>
      <c r="K1629" s="2" t="s">
        <v>38</v>
      </c>
      <c r="L1629" s="2" t="s">
        <v>39</v>
      </c>
      <c r="M1629" s="2" t="s">
        <v>39</v>
      </c>
      <c r="N1629" s="2" t="s">
        <v>38</v>
      </c>
      <c r="O1629" s="2" t="s">
        <v>38</v>
      </c>
      <c r="P1629" s="2" t="s">
        <v>39</v>
      </c>
      <c r="Q1629" s="2" t="s">
        <v>38</v>
      </c>
      <c r="R1629" s="2" t="s">
        <v>38</v>
      </c>
      <c r="S1629" s="2" t="s">
        <v>38</v>
      </c>
      <c r="T1629" s="2" t="s">
        <v>38</v>
      </c>
      <c r="U1629" s="2" t="s">
        <v>38</v>
      </c>
      <c r="V1629" s="2" t="s">
        <v>38</v>
      </c>
      <c r="W1629" s="2" t="s">
        <v>38</v>
      </c>
      <c r="X1629" s="2" t="s">
        <v>39</v>
      </c>
      <c r="Y1629" s="2" t="s">
        <v>38</v>
      </c>
      <c r="Z1629" s="2" t="s">
        <v>38</v>
      </c>
      <c r="AA1629" s="2" t="s">
        <v>38</v>
      </c>
      <c r="AB1629" s="2" t="s">
        <v>38</v>
      </c>
      <c r="AC1629" s="2" t="s">
        <v>38</v>
      </c>
      <c r="AD1629" s="2" t="s">
        <v>38</v>
      </c>
      <c r="AE1629" s="2" t="s">
        <v>38</v>
      </c>
    </row>
    <row r="1630" spans="1:31" ht="409.5">
      <c r="A1630" s="2">
        <v>2534717</v>
      </c>
      <c r="B1630" s="2">
        <f>HYPERLINK("https://platform.v2.vetology.net/cases/2534717/screening-report/18?type=pdf&amp;v=v6&amp;scorecard=1&amp;secret_key=BX%25IJ%24%2F65ieZ%29f6", 2534717)</f>
        <v>2534717</v>
      </c>
      <c r="C1630" s="2">
        <f>HYPERLINK("https://platform.v2.vetology.net/report/v/final/"&amp;2534717, 2534717)</f>
        <v>2534717</v>
      </c>
      <c r="D1630" s="2" t="s">
        <v>4619</v>
      </c>
      <c r="E1630" s="2" t="s">
        <v>4620</v>
      </c>
      <c r="F1630" s="2" t="s">
        <v>4621</v>
      </c>
      <c r="G1630" s="2" t="s">
        <v>268</v>
      </c>
      <c r="H1630" s="2" t="s">
        <v>78</v>
      </c>
      <c r="I1630" s="2" t="s">
        <v>44</v>
      </c>
      <c r="J1630" s="2"/>
      <c r="K1630" s="2" t="s">
        <v>38</v>
      </c>
      <c r="L1630" s="2" t="s">
        <v>38</v>
      </c>
      <c r="M1630" s="2" t="s">
        <v>38</v>
      </c>
      <c r="N1630" s="2" t="s">
        <v>38</v>
      </c>
      <c r="O1630" s="2" t="s">
        <v>38</v>
      </c>
      <c r="P1630" s="2" t="s">
        <v>38</v>
      </c>
      <c r="Q1630" s="2" t="s">
        <v>38</v>
      </c>
      <c r="R1630" s="2" t="s">
        <v>38</v>
      </c>
      <c r="S1630" s="2" t="s">
        <v>38</v>
      </c>
      <c r="T1630" s="2" t="s">
        <v>38</v>
      </c>
      <c r="U1630" s="2" t="s">
        <v>38</v>
      </c>
      <c r="V1630" s="2" t="s">
        <v>38</v>
      </c>
      <c r="W1630" s="2" t="s">
        <v>38</v>
      </c>
      <c r="X1630" s="2" t="s">
        <v>39</v>
      </c>
      <c r="Y1630" s="2" t="s">
        <v>38</v>
      </c>
      <c r="Z1630" s="2" t="s">
        <v>38</v>
      </c>
      <c r="AA1630" s="2" t="s">
        <v>38</v>
      </c>
      <c r="AB1630" s="2" t="s">
        <v>38</v>
      </c>
      <c r="AC1630" s="2" t="s">
        <v>38</v>
      </c>
      <c r="AD1630" s="2" t="s">
        <v>38</v>
      </c>
      <c r="AE1630" s="2" t="s">
        <v>38</v>
      </c>
    </row>
    <row r="1631" spans="1:31" ht="409.5">
      <c r="A1631" s="2">
        <v>2534667</v>
      </c>
      <c r="B1631" s="2">
        <f>HYPERLINK("https://platform.v2.vetology.net/cases/2534667/screening-report/18?type=pdf&amp;v=v6&amp;scorecard=1&amp;secret_key=BX%25IJ%24%2F65ieZ%29f6", 2534667)</f>
        <v>2534667</v>
      </c>
      <c r="C1631" s="2">
        <f>HYPERLINK("https://platform.v2.vetology.net/report/v/final/"&amp;2534667, 2534667)</f>
        <v>2534667</v>
      </c>
      <c r="D1631" s="2" t="s">
        <v>4622</v>
      </c>
      <c r="E1631" s="2" t="s">
        <v>4623</v>
      </c>
      <c r="F1631" s="2" t="s">
        <v>81</v>
      </c>
      <c r="G1631" s="2" t="s">
        <v>82</v>
      </c>
      <c r="H1631" s="2" t="s">
        <v>54</v>
      </c>
      <c r="I1631" s="2" t="s">
        <v>44</v>
      </c>
      <c r="J1631" s="2"/>
      <c r="K1631" s="2" t="s">
        <v>38</v>
      </c>
      <c r="L1631" s="2" t="s">
        <v>38</v>
      </c>
      <c r="M1631" s="2" t="s">
        <v>38</v>
      </c>
      <c r="N1631" s="2" t="s">
        <v>38</v>
      </c>
      <c r="O1631" s="2" t="s">
        <v>38</v>
      </c>
      <c r="P1631" s="2" t="s">
        <v>38</v>
      </c>
      <c r="Q1631" s="2" t="s">
        <v>38</v>
      </c>
      <c r="R1631" s="2" t="s">
        <v>38</v>
      </c>
      <c r="S1631" s="2" t="s">
        <v>38</v>
      </c>
      <c r="T1631" s="2" t="s">
        <v>39</v>
      </c>
      <c r="U1631" s="2" t="s">
        <v>38</v>
      </c>
      <c r="V1631" s="2" t="s">
        <v>38</v>
      </c>
      <c r="W1631" s="2" t="s">
        <v>38</v>
      </c>
      <c r="X1631" s="2" t="s">
        <v>38</v>
      </c>
      <c r="Y1631" s="2" t="s">
        <v>38</v>
      </c>
      <c r="Z1631" s="2" t="s">
        <v>38</v>
      </c>
      <c r="AA1631" s="2" t="s">
        <v>38</v>
      </c>
      <c r="AB1631" s="2" t="s">
        <v>38</v>
      </c>
      <c r="AC1631" s="2" t="s">
        <v>38</v>
      </c>
      <c r="AD1631" s="2" t="s">
        <v>38</v>
      </c>
      <c r="AE1631" s="2" t="s">
        <v>38</v>
      </c>
    </row>
    <row r="1632" spans="1:31" ht="409.5">
      <c r="A1632" s="2">
        <v>2534580</v>
      </c>
      <c r="B1632" s="2">
        <f>HYPERLINK("https://platform.v2.vetology.net/cases/2534580/screening-report/18?type=pdf&amp;v=v6&amp;scorecard=1&amp;secret_key=BX%25IJ%24%2F65ieZ%29f6", 2534580)</f>
        <v>2534580</v>
      </c>
      <c r="C1632" s="2">
        <f>HYPERLINK("https://platform.v2.vetology.net/report/v/final/"&amp;2534580, 2534580)</f>
        <v>2534580</v>
      </c>
      <c r="D1632" s="2" t="s">
        <v>4624</v>
      </c>
      <c r="E1632" s="2" t="s">
        <v>4625</v>
      </c>
      <c r="F1632" s="2" t="s">
        <v>81</v>
      </c>
      <c r="G1632" s="2" t="s">
        <v>82</v>
      </c>
      <c r="H1632" s="2" t="s">
        <v>71</v>
      </c>
      <c r="I1632" s="2" t="s">
        <v>44</v>
      </c>
      <c r="J1632" s="2"/>
      <c r="K1632" s="2" t="s">
        <v>38</v>
      </c>
      <c r="L1632" s="2" t="s">
        <v>38</v>
      </c>
      <c r="M1632" s="2" t="s">
        <v>39</v>
      </c>
      <c r="N1632" s="2" t="s">
        <v>38</v>
      </c>
      <c r="O1632" s="2" t="s">
        <v>39</v>
      </c>
      <c r="P1632" s="2" t="s">
        <v>38</v>
      </c>
      <c r="Q1632" s="2" t="s">
        <v>38</v>
      </c>
      <c r="R1632" s="2" t="s">
        <v>38</v>
      </c>
      <c r="S1632" s="2" t="s">
        <v>39</v>
      </c>
      <c r="T1632" s="2" t="s">
        <v>38</v>
      </c>
      <c r="U1632" s="2" t="s">
        <v>38</v>
      </c>
      <c r="V1632" s="2" t="s">
        <v>38</v>
      </c>
      <c r="W1632" s="2" t="s">
        <v>38</v>
      </c>
      <c r="X1632" s="2" t="s">
        <v>38</v>
      </c>
      <c r="Y1632" s="2" t="s">
        <v>38</v>
      </c>
      <c r="Z1632" s="2" t="s">
        <v>38</v>
      </c>
      <c r="AA1632" s="2" t="s">
        <v>38</v>
      </c>
      <c r="AB1632" s="2" t="s">
        <v>39</v>
      </c>
      <c r="AC1632" s="2" t="s">
        <v>38</v>
      </c>
      <c r="AD1632" s="2" t="s">
        <v>38</v>
      </c>
      <c r="AE1632" s="2" t="s">
        <v>38</v>
      </c>
    </row>
    <row r="1633" spans="1:31" ht="409.5">
      <c r="A1633" s="2">
        <v>2534358</v>
      </c>
      <c r="B1633" s="2">
        <f>HYPERLINK("https://platform.v2.vetology.net/cases/2534358/screening-report/18?type=pdf&amp;v=v6&amp;scorecard=1&amp;secret_key=BX%25IJ%24%2F65ieZ%29f6", 2534358)</f>
        <v>2534358</v>
      </c>
      <c r="C1633" s="2">
        <f>HYPERLINK("https://platform.v2.vetology.net/report/v/final/"&amp;2534358, 2534358)</f>
        <v>2534358</v>
      </c>
      <c r="D1633" s="2" t="s">
        <v>4626</v>
      </c>
      <c r="E1633" s="2" t="s">
        <v>4627</v>
      </c>
      <c r="F1633" s="2" t="s">
        <v>81</v>
      </c>
      <c r="G1633" s="2" t="s">
        <v>82</v>
      </c>
      <c r="H1633" s="2" t="s">
        <v>417</v>
      </c>
      <c r="I1633" s="2" t="s">
        <v>418</v>
      </c>
      <c r="J1633" s="2" t="s">
        <v>419</v>
      </c>
      <c r="K1633" s="2" t="s">
        <v>39</v>
      </c>
      <c r="L1633" s="2" t="s">
        <v>38</v>
      </c>
      <c r="M1633" s="2" t="s">
        <v>38</v>
      </c>
      <c r="N1633" s="2" t="s">
        <v>38</v>
      </c>
      <c r="O1633" s="2" t="s">
        <v>38</v>
      </c>
      <c r="P1633" s="2" t="s">
        <v>38</v>
      </c>
      <c r="Q1633" s="2" t="s">
        <v>38</v>
      </c>
      <c r="R1633" s="2" t="s">
        <v>38</v>
      </c>
      <c r="S1633" s="2" t="s">
        <v>38</v>
      </c>
      <c r="T1633" s="2" t="s">
        <v>39</v>
      </c>
      <c r="U1633" s="2" t="s">
        <v>38</v>
      </c>
      <c r="V1633" s="2" t="s">
        <v>38</v>
      </c>
      <c r="W1633" s="2" t="s">
        <v>38</v>
      </c>
      <c r="X1633" s="2" t="s">
        <v>39</v>
      </c>
      <c r="Y1633" s="2" t="s">
        <v>38</v>
      </c>
      <c r="Z1633" s="2" t="s">
        <v>39</v>
      </c>
      <c r="AA1633" s="2" t="s">
        <v>38</v>
      </c>
      <c r="AB1633" s="2" t="s">
        <v>38</v>
      </c>
      <c r="AC1633" s="2" t="s">
        <v>38</v>
      </c>
      <c r="AD1633" s="2" t="s">
        <v>38</v>
      </c>
      <c r="AE1633" s="2" t="s">
        <v>38</v>
      </c>
    </row>
    <row r="1634" spans="1:31" ht="409.5">
      <c r="A1634" s="2">
        <v>2534301</v>
      </c>
      <c r="B1634" s="2">
        <f>HYPERLINK("https://platform.v2.vetology.net/cases/2534301/screening-report/18?type=pdf&amp;v=v6&amp;scorecard=1&amp;secret_key=BX%25IJ%24%2F65ieZ%29f6", 2534301)</f>
        <v>2534301</v>
      </c>
      <c r="C1634" s="2">
        <f>HYPERLINK("https://platform.v2.vetology.net/report/v/final/"&amp;2534301, 2534301)</f>
        <v>2534301</v>
      </c>
      <c r="D1634" s="2" t="s">
        <v>4628</v>
      </c>
      <c r="E1634" s="2" t="s">
        <v>4629</v>
      </c>
      <c r="F1634" s="2" t="s">
        <v>4630</v>
      </c>
      <c r="G1634" s="2" t="s">
        <v>58</v>
      </c>
      <c r="H1634" s="2" t="s">
        <v>434</v>
      </c>
      <c r="I1634" s="2" t="s">
        <v>435</v>
      </c>
      <c r="J1634" s="2" t="s">
        <v>436</v>
      </c>
      <c r="K1634" s="2" t="s">
        <v>38</v>
      </c>
      <c r="L1634" s="2" t="s">
        <v>38</v>
      </c>
      <c r="M1634" s="2" t="s">
        <v>39</v>
      </c>
      <c r="N1634" s="2" t="s">
        <v>39</v>
      </c>
      <c r="O1634" s="2" t="s">
        <v>39</v>
      </c>
      <c r="P1634" s="2" t="s">
        <v>39</v>
      </c>
      <c r="Q1634" s="2" t="s">
        <v>38</v>
      </c>
      <c r="R1634" s="2" t="s">
        <v>38</v>
      </c>
      <c r="S1634" s="2" t="s">
        <v>39</v>
      </c>
      <c r="T1634" s="2" t="s">
        <v>38</v>
      </c>
      <c r="U1634" s="2" t="s">
        <v>38</v>
      </c>
      <c r="V1634" s="2" t="s">
        <v>39</v>
      </c>
      <c r="W1634" s="2" t="s">
        <v>38</v>
      </c>
      <c r="X1634" s="2" t="s">
        <v>39</v>
      </c>
      <c r="Y1634" s="2" t="s">
        <v>38</v>
      </c>
      <c r="Z1634" s="2" t="s">
        <v>38</v>
      </c>
      <c r="AA1634" s="2" t="s">
        <v>38</v>
      </c>
      <c r="AB1634" s="2" t="s">
        <v>38</v>
      </c>
      <c r="AC1634" s="2" t="s">
        <v>39</v>
      </c>
      <c r="AD1634" s="2" t="s">
        <v>38</v>
      </c>
      <c r="AE1634" s="2" t="s">
        <v>39</v>
      </c>
    </row>
    <row r="1635" spans="1:31" ht="409.5">
      <c r="A1635" s="2">
        <v>2534209</v>
      </c>
      <c r="B1635" s="2">
        <f>HYPERLINK("https://platform.v2.vetology.net/cases/2534209/screening-report/18?type=pdf&amp;v=v6&amp;scorecard=1&amp;secret_key=BX%25IJ%24%2F65ieZ%29f6", 2534209)</f>
        <v>2534209</v>
      </c>
      <c r="C1635" s="2">
        <f>HYPERLINK("https://platform.v2.vetology.net/report/v/final/"&amp;2534209, 2534209)</f>
        <v>2534209</v>
      </c>
      <c r="D1635" s="2" t="s">
        <v>4631</v>
      </c>
      <c r="E1635" s="2" t="s">
        <v>4632</v>
      </c>
      <c r="F1635" s="2" t="s">
        <v>149</v>
      </c>
      <c r="G1635" s="2" t="s">
        <v>150</v>
      </c>
      <c r="H1635" s="2" t="s">
        <v>2530</v>
      </c>
      <c r="I1635" s="2" t="s">
        <v>1091</v>
      </c>
      <c r="J1635" s="2" t="s">
        <v>50</v>
      </c>
      <c r="K1635" s="2" t="s">
        <v>39</v>
      </c>
      <c r="L1635" s="2" t="s">
        <v>38</v>
      </c>
      <c r="M1635" s="2" t="s">
        <v>39</v>
      </c>
      <c r="N1635" s="2" t="s">
        <v>38</v>
      </c>
      <c r="O1635" s="2" t="s">
        <v>39</v>
      </c>
      <c r="P1635" s="2" t="s">
        <v>39</v>
      </c>
      <c r="Q1635" s="2" t="s">
        <v>38</v>
      </c>
      <c r="R1635" s="2" t="s">
        <v>38</v>
      </c>
      <c r="S1635" s="2" t="s">
        <v>39</v>
      </c>
      <c r="T1635" s="2" t="s">
        <v>39</v>
      </c>
      <c r="U1635" s="2" t="s">
        <v>39</v>
      </c>
      <c r="V1635" s="2" t="s">
        <v>39</v>
      </c>
      <c r="W1635" s="2" t="s">
        <v>38</v>
      </c>
      <c r="X1635" s="2" t="s">
        <v>39</v>
      </c>
      <c r="Y1635" s="2" t="s">
        <v>38</v>
      </c>
      <c r="Z1635" s="2" t="s">
        <v>39</v>
      </c>
      <c r="AA1635" s="2" t="s">
        <v>39</v>
      </c>
      <c r="AB1635" s="2" t="s">
        <v>39</v>
      </c>
      <c r="AC1635" s="2" t="s">
        <v>39</v>
      </c>
      <c r="AD1635" s="2" t="s">
        <v>38</v>
      </c>
      <c r="AE1635" s="2" t="s">
        <v>39</v>
      </c>
    </row>
    <row r="1636" spans="1:31" ht="409.5">
      <c r="A1636" s="2">
        <v>2534063</v>
      </c>
      <c r="B1636" s="2">
        <f>HYPERLINK("https://platform.v2.vetology.net/cases/2534063/screening-report/18?type=pdf&amp;v=v6&amp;scorecard=1&amp;secret_key=BX%25IJ%24%2F65ieZ%29f6", 2534063)</f>
        <v>2534063</v>
      </c>
      <c r="C1636" s="2">
        <f>HYPERLINK("https://platform.v2.vetology.net/report/v/final/"&amp;2534063, 2534063)</f>
        <v>2534063</v>
      </c>
      <c r="D1636" s="2" t="s">
        <v>4633</v>
      </c>
      <c r="E1636" s="2" t="s">
        <v>4634</v>
      </c>
      <c r="F1636" s="2" t="s">
        <v>4635</v>
      </c>
      <c r="G1636" s="2" t="s">
        <v>464</v>
      </c>
      <c r="H1636" s="2" t="s">
        <v>2213</v>
      </c>
      <c r="I1636" s="2" t="s">
        <v>1102</v>
      </c>
      <c r="J1636" s="2" t="s">
        <v>307</v>
      </c>
      <c r="K1636" s="2" t="s">
        <v>38</v>
      </c>
      <c r="L1636" s="2" t="s">
        <v>38</v>
      </c>
      <c r="M1636" s="2" t="s">
        <v>39</v>
      </c>
      <c r="N1636" s="2" t="s">
        <v>39</v>
      </c>
      <c r="O1636" s="2" t="s">
        <v>38</v>
      </c>
      <c r="P1636" s="2" t="s">
        <v>39</v>
      </c>
      <c r="Q1636" s="2" t="s">
        <v>38</v>
      </c>
      <c r="R1636" s="2" t="s">
        <v>38</v>
      </c>
      <c r="S1636" s="2" t="s">
        <v>38</v>
      </c>
      <c r="T1636" s="2" t="s">
        <v>39</v>
      </c>
      <c r="U1636" s="2" t="s">
        <v>38</v>
      </c>
      <c r="V1636" s="2" t="s">
        <v>38</v>
      </c>
      <c r="W1636" s="2" t="s">
        <v>38</v>
      </c>
      <c r="X1636" s="2" t="s">
        <v>39</v>
      </c>
      <c r="Y1636" s="2" t="s">
        <v>38</v>
      </c>
      <c r="Z1636" s="2" t="s">
        <v>39</v>
      </c>
      <c r="AA1636" s="2" t="s">
        <v>38</v>
      </c>
      <c r="AB1636" s="2" t="s">
        <v>39</v>
      </c>
      <c r="AC1636" s="2" t="s">
        <v>38</v>
      </c>
      <c r="AD1636" s="2" t="s">
        <v>38</v>
      </c>
      <c r="AE1636" s="2" t="s">
        <v>38</v>
      </c>
    </row>
    <row r="1637" spans="1:31" ht="409.5">
      <c r="A1637" s="2">
        <v>2533783</v>
      </c>
      <c r="B1637" s="2">
        <f>HYPERLINK("https://platform.v2.vetology.net/cases/2533783/screening-report/18?type=pdf&amp;v=v6&amp;scorecard=1&amp;secret_key=BX%25IJ%24%2F65ieZ%29f6", 2533783)</f>
        <v>2533783</v>
      </c>
      <c r="C1637" s="2">
        <f>HYPERLINK("https://platform.v2.vetology.net/report/v/final/"&amp;2533783, 2533783)</f>
        <v>2533783</v>
      </c>
      <c r="D1637" s="2" t="s">
        <v>4636</v>
      </c>
      <c r="E1637" s="2" t="s">
        <v>4637</v>
      </c>
      <c r="F1637" s="2"/>
      <c r="G1637" s="2" t="s">
        <v>150</v>
      </c>
      <c r="H1637" s="2" t="s">
        <v>659</v>
      </c>
      <c r="I1637" s="2" t="s">
        <v>245</v>
      </c>
      <c r="J1637" s="2" t="s">
        <v>246</v>
      </c>
      <c r="K1637" s="2" t="s">
        <v>38</v>
      </c>
      <c r="L1637" s="2" t="s">
        <v>39</v>
      </c>
      <c r="M1637" s="2" t="s">
        <v>39</v>
      </c>
      <c r="N1637" s="2" t="s">
        <v>38</v>
      </c>
      <c r="O1637" s="2" t="s">
        <v>38</v>
      </c>
      <c r="P1637" s="2" t="s">
        <v>38</v>
      </c>
      <c r="Q1637" s="2" t="s">
        <v>38</v>
      </c>
      <c r="R1637" s="2" t="s">
        <v>38</v>
      </c>
      <c r="S1637" s="2" t="s">
        <v>39</v>
      </c>
      <c r="T1637" s="2" t="s">
        <v>38</v>
      </c>
      <c r="U1637" s="2" t="s">
        <v>38</v>
      </c>
      <c r="V1637" s="2" t="s">
        <v>38</v>
      </c>
      <c r="W1637" s="2" t="s">
        <v>38</v>
      </c>
      <c r="X1637" s="2" t="s">
        <v>38</v>
      </c>
      <c r="Y1637" s="2" t="s">
        <v>38</v>
      </c>
      <c r="Z1637" s="2" t="s">
        <v>38</v>
      </c>
      <c r="AA1637" s="2" t="s">
        <v>38</v>
      </c>
      <c r="AB1637" s="2" t="s">
        <v>39</v>
      </c>
      <c r="AC1637" s="2" t="s">
        <v>38</v>
      </c>
      <c r="AD1637" s="2" t="s">
        <v>38</v>
      </c>
      <c r="AE1637" s="2" t="s">
        <v>38</v>
      </c>
    </row>
    <row r="1638" spans="1:31" ht="409.5">
      <c r="A1638" s="2">
        <v>2533684</v>
      </c>
      <c r="B1638" s="2">
        <f>HYPERLINK("https://platform.v2.vetology.net/cases/2533684/screening-report/18?type=pdf&amp;v=v6&amp;scorecard=1&amp;secret_key=BX%25IJ%24%2F65ieZ%29f6", 2533684)</f>
        <v>2533684</v>
      </c>
      <c r="C1638" s="2">
        <f>HYPERLINK("https://platform.v2.vetology.net/report/v/final/"&amp;2533684, 2533684)</f>
        <v>2533684</v>
      </c>
      <c r="D1638" s="2" t="s">
        <v>4638</v>
      </c>
      <c r="E1638" s="2" t="s">
        <v>4639</v>
      </c>
      <c r="F1638" s="2" t="s">
        <v>4640</v>
      </c>
      <c r="G1638" s="2" t="s">
        <v>464</v>
      </c>
      <c r="H1638" s="2" t="s">
        <v>136</v>
      </c>
      <c r="I1638" s="2" t="s">
        <v>137</v>
      </c>
      <c r="J1638" s="2" t="s">
        <v>66</v>
      </c>
      <c r="K1638" s="2" t="s">
        <v>38</v>
      </c>
      <c r="L1638" s="2" t="s">
        <v>39</v>
      </c>
      <c r="M1638" s="2" t="s">
        <v>38</v>
      </c>
      <c r="N1638" s="2" t="s">
        <v>38</v>
      </c>
      <c r="O1638" s="2" t="s">
        <v>38</v>
      </c>
      <c r="P1638" s="2" t="s">
        <v>38</v>
      </c>
      <c r="Q1638" s="2" t="s">
        <v>38</v>
      </c>
      <c r="R1638" s="2" t="s">
        <v>38</v>
      </c>
      <c r="S1638" s="2" t="s">
        <v>38</v>
      </c>
      <c r="T1638" s="2" t="s">
        <v>38</v>
      </c>
      <c r="U1638" s="2" t="s">
        <v>38</v>
      </c>
      <c r="V1638" s="2" t="s">
        <v>38</v>
      </c>
      <c r="W1638" s="2" t="s">
        <v>38</v>
      </c>
      <c r="X1638" s="2" t="s">
        <v>39</v>
      </c>
      <c r="Y1638" s="2" t="s">
        <v>38</v>
      </c>
      <c r="Z1638" s="2" t="s">
        <v>38</v>
      </c>
      <c r="AA1638" s="2" t="s">
        <v>38</v>
      </c>
      <c r="AB1638" s="2" t="s">
        <v>38</v>
      </c>
      <c r="AC1638" s="2" t="s">
        <v>38</v>
      </c>
      <c r="AD1638" s="2" t="s">
        <v>38</v>
      </c>
      <c r="AE1638" s="2" t="s">
        <v>39</v>
      </c>
    </row>
    <row r="1639" spans="1:31" ht="409.5">
      <c r="A1639" s="2">
        <v>2533611</v>
      </c>
      <c r="B1639" s="2">
        <f>HYPERLINK("https://platform.v2.vetology.net/cases/2533611/screening-report/18?type=pdf&amp;v=v6&amp;scorecard=1&amp;secret_key=BX%25IJ%24%2F65ieZ%29f6", 2533611)</f>
        <v>2533611</v>
      </c>
      <c r="C1639" s="2">
        <f>HYPERLINK("https://platform.v2.vetology.net/report/v/final/"&amp;2533611, 2533611)</f>
        <v>2533611</v>
      </c>
      <c r="D1639" s="2" t="s">
        <v>4641</v>
      </c>
      <c r="E1639" s="2" t="s">
        <v>4642</v>
      </c>
      <c r="F1639" s="2" t="s">
        <v>81</v>
      </c>
      <c r="G1639" s="2" t="s">
        <v>268</v>
      </c>
      <c r="H1639" s="2" t="s">
        <v>607</v>
      </c>
      <c r="I1639" s="2" t="s">
        <v>137</v>
      </c>
      <c r="J1639" s="2" t="s">
        <v>66</v>
      </c>
      <c r="K1639" s="2" t="s">
        <v>38</v>
      </c>
      <c r="L1639" s="2" t="s">
        <v>39</v>
      </c>
      <c r="M1639" s="2" t="s">
        <v>38</v>
      </c>
      <c r="N1639" s="2" t="s">
        <v>38</v>
      </c>
      <c r="O1639" s="2" t="s">
        <v>38</v>
      </c>
      <c r="P1639" s="2" t="s">
        <v>39</v>
      </c>
      <c r="Q1639" s="2" t="s">
        <v>38</v>
      </c>
      <c r="R1639" s="2" t="s">
        <v>38</v>
      </c>
      <c r="S1639" s="2" t="s">
        <v>38</v>
      </c>
      <c r="T1639" s="2" t="s">
        <v>38</v>
      </c>
      <c r="U1639" s="2" t="s">
        <v>38</v>
      </c>
      <c r="V1639" s="2" t="s">
        <v>39</v>
      </c>
      <c r="W1639" s="2" t="s">
        <v>38</v>
      </c>
      <c r="X1639" s="2" t="s">
        <v>39</v>
      </c>
      <c r="Y1639" s="2" t="s">
        <v>38</v>
      </c>
      <c r="Z1639" s="2" t="s">
        <v>38</v>
      </c>
      <c r="AA1639" s="2" t="s">
        <v>38</v>
      </c>
      <c r="AB1639" s="2" t="s">
        <v>38</v>
      </c>
      <c r="AC1639" s="2" t="s">
        <v>38</v>
      </c>
      <c r="AD1639" s="2" t="s">
        <v>38</v>
      </c>
      <c r="AE1639" s="2" t="s">
        <v>38</v>
      </c>
    </row>
    <row r="1640" spans="1:31" ht="409.5">
      <c r="A1640" s="2">
        <v>2533571</v>
      </c>
      <c r="B1640" s="2">
        <f>HYPERLINK("https://platform.v2.vetology.net/cases/2533571/screening-report/18?type=pdf&amp;v=v6&amp;scorecard=1&amp;secret_key=BX%25IJ%24%2F65ieZ%29f6", 2533571)</f>
        <v>2533571</v>
      </c>
      <c r="C1640" s="2">
        <f>HYPERLINK("https://platform.v2.vetology.net/report/v/final/"&amp;2533571, 2533571)</f>
        <v>2533571</v>
      </c>
      <c r="D1640" s="2" t="s">
        <v>4643</v>
      </c>
      <c r="E1640" s="2" t="s">
        <v>4644</v>
      </c>
      <c r="F1640" s="2" t="s">
        <v>4645</v>
      </c>
      <c r="G1640" s="2" t="s">
        <v>268</v>
      </c>
      <c r="H1640" s="2" t="s">
        <v>4646</v>
      </c>
      <c r="I1640" s="2" t="s">
        <v>373</v>
      </c>
      <c r="J1640" s="2" t="s">
        <v>374</v>
      </c>
      <c r="K1640" s="2" t="s">
        <v>38</v>
      </c>
      <c r="L1640" s="2" t="s">
        <v>39</v>
      </c>
      <c r="M1640" s="2" t="s">
        <v>39</v>
      </c>
      <c r="N1640" s="2" t="s">
        <v>38</v>
      </c>
      <c r="O1640" s="2" t="s">
        <v>39</v>
      </c>
      <c r="P1640" s="2" t="s">
        <v>39</v>
      </c>
      <c r="Q1640" s="2" t="s">
        <v>39</v>
      </c>
      <c r="R1640" s="2" t="s">
        <v>38</v>
      </c>
      <c r="S1640" s="2" t="s">
        <v>39</v>
      </c>
      <c r="T1640" s="2" t="s">
        <v>39</v>
      </c>
      <c r="U1640" s="2" t="s">
        <v>39</v>
      </c>
      <c r="V1640" s="2" t="s">
        <v>39</v>
      </c>
      <c r="W1640" s="2" t="s">
        <v>38</v>
      </c>
      <c r="X1640" s="2" t="s">
        <v>39</v>
      </c>
      <c r="Y1640" s="2" t="s">
        <v>38</v>
      </c>
      <c r="Z1640" s="2" t="s">
        <v>38</v>
      </c>
      <c r="AA1640" s="2" t="s">
        <v>38</v>
      </c>
      <c r="AB1640" s="2" t="s">
        <v>38</v>
      </c>
      <c r="AC1640" s="2" t="s">
        <v>38</v>
      </c>
      <c r="AD1640" s="2" t="s">
        <v>38</v>
      </c>
      <c r="AE1640" s="2" t="s">
        <v>38</v>
      </c>
    </row>
    <row r="1641" spans="1:31" ht="409.5">
      <c r="A1641" s="2">
        <v>2533227</v>
      </c>
      <c r="B1641" s="2">
        <f>HYPERLINK("https://platform.v2.vetology.net/cases/2533227/screening-report/18?type=pdf&amp;v=v6&amp;scorecard=1&amp;secret_key=BX%25IJ%24%2F65ieZ%29f6", 2533227)</f>
        <v>2533227</v>
      </c>
      <c r="C1641" s="2">
        <f>HYPERLINK("https://platform.v2.vetology.net/report/v/final/"&amp;2533227, 2533227)</f>
        <v>2533227</v>
      </c>
      <c r="D1641" s="2" t="s">
        <v>4647</v>
      </c>
      <c r="E1641" s="2" t="s">
        <v>4648</v>
      </c>
      <c r="F1641" s="2" t="s">
        <v>4649</v>
      </c>
      <c r="G1641" s="2" t="s">
        <v>268</v>
      </c>
      <c r="H1641" s="2" t="s">
        <v>71</v>
      </c>
      <c r="I1641" s="2" t="s">
        <v>44</v>
      </c>
      <c r="J1641" s="2"/>
      <c r="K1641" s="2" t="s">
        <v>38</v>
      </c>
      <c r="L1641" s="2" t="s">
        <v>38</v>
      </c>
      <c r="M1641" s="2" t="s">
        <v>38</v>
      </c>
      <c r="N1641" s="2" t="s">
        <v>38</v>
      </c>
      <c r="O1641" s="2" t="s">
        <v>38</v>
      </c>
      <c r="P1641" s="2" t="s">
        <v>38</v>
      </c>
      <c r="Q1641" s="2" t="s">
        <v>38</v>
      </c>
      <c r="R1641" s="2" t="s">
        <v>38</v>
      </c>
      <c r="S1641" s="2" t="s">
        <v>38</v>
      </c>
      <c r="T1641" s="2" t="s">
        <v>39</v>
      </c>
      <c r="U1641" s="2" t="s">
        <v>38</v>
      </c>
      <c r="V1641" s="2" t="s">
        <v>38</v>
      </c>
      <c r="W1641" s="2" t="s">
        <v>38</v>
      </c>
      <c r="X1641" s="2" t="s">
        <v>38</v>
      </c>
      <c r="Y1641" s="2" t="s">
        <v>38</v>
      </c>
      <c r="Z1641" s="2" t="s">
        <v>38</v>
      </c>
      <c r="AA1641" s="2" t="s">
        <v>38</v>
      </c>
      <c r="AB1641" s="2" t="s">
        <v>39</v>
      </c>
      <c r="AC1641" s="2" t="s">
        <v>38</v>
      </c>
      <c r="AD1641" s="2" t="s">
        <v>38</v>
      </c>
      <c r="AE1641" s="2" t="s">
        <v>38</v>
      </c>
    </row>
    <row r="1642" spans="1:31" ht="409.5">
      <c r="A1642" s="2">
        <v>2533120</v>
      </c>
      <c r="B1642" s="2">
        <f>HYPERLINK("https://platform.v2.vetology.net/cases/2533120/screening-report/18?type=pdf&amp;v=v6&amp;scorecard=1&amp;secret_key=BX%25IJ%24%2F65ieZ%29f6", 2533120)</f>
        <v>2533120</v>
      </c>
      <c r="C1642" s="2">
        <f>HYPERLINK("https://platform.v2.vetology.net/report/v/final/"&amp;2533120, 2533120)</f>
        <v>2533120</v>
      </c>
      <c r="D1642" s="2" t="s">
        <v>4650</v>
      </c>
      <c r="E1642" s="2" t="s">
        <v>4651</v>
      </c>
      <c r="F1642" s="2" t="s">
        <v>81</v>
      </c>
      <c r="G1642" s="2" t="s">
        <v>268</v>
      </c>
      <c r="H1642" s="2" t="s">
        <v>1205</v>
      </c>
      <c r="I1642" s="2" t="s">
        <v>245</v>
      </c>
      <c r="J1642" s="2" t="s">
        <v>246</v>
      </c>
      <c r="K1642" s="2" t="s">
        <v>38</v>
      </c>
      <c r="L1642" s="2" t="s">
        <v>38</v>
      </c>
      <c r="M1642" s="2" t="s">
        <v>39</v>
      </c>
      <c r="N1642" s="2" t="s">
        <v>38</v>
      </c>
      <c r="O1642" s="2" t="s">
        <v>38</v>
      </c>
      <c r="P1642" s="2" t="s">
        <v>38</v>
      </c>
      <c r="Q1642" s="2" t="s">
        <v>38</v>
      </c>
      <c r="R1642" s="2" t="s">
        <v>38</v>
      </c>
      <c r="S1642" s="2" t="s">
        <v>38</v>
      </c>
      <c r="T1642" s="2" t="s">
        <v>39</v>
      </c>
      <c r="U1642" s="2" t="s">
        <v>38</v>
      </c>
      <c r="V1642" s="2" t="s">
        <v>38</v>
      </c>
      <c r="W1642" s="2" t="s">
        <v>38</v>
      </c>
      <c r="X1642" s="2" t="s">
        <v>39</v>
      </c>
      <c r="Y1642" s="2" t="s">
        <v>38</v>
      </c>
      <c r="Z1642" s="2" t="s">
        <v>38</v>
      </c>
      <c r="AA1642" s="2" t="s">
        <v>38</v>
      </c>
      <c r="AB1642" s="2" t="s">
        <v>38</v>
      </c>
      <c r="AC1642" s="2" t="s">
        <v>38</v>
      </c>
      <c r="AD1642" s="2" t="s">
        <v>38</v>
      </c>
      <c r="AE1642" s="2" t="s">
        <v>38</v>
      </c>
    </row>
    <row r="1643" spans="1:31" ht="409.5">
      <c r="A1643" s="2">
        <v>2533099</v>
      </c>
      <c r="B1643" s="2">
        <f>HYPERLINK("https://platform.v2.vetology.net/cases/2533099/screening-report/18?type=pdf&amp;v=v6&amp;scorecard=1&amp;secret_key=BX%25IJ%24%2F65ieZ%29f6", 2533099)</f>
        <v>2533099</v>
      </c>
      <c r="C1643" s="2">
        <f>HYPERLINK("https://platform.v2.vetology.net/report/v/final/"&amp;2533099, 2533099)</f>
        <v>2533099</v>
      </c>
      <c r="D1643" s="2" t="s">
        <v>4652</v>
      </c>
      <c r="E1643" s="2" t="s">
        <v>4653</v>
      </c>
      <c r="F1643" s="2" t="s">
        <v>4654</v>
      </c>
      <c r="G1643" s="2" t="s">
        <v>268</v>
      </c>
      <c r="H1643" s="2" t="s">
        <v>4655</v>
      </c>
      <c r="I1643" s="2" t="s">
        <v>137</v>
      </c>
      <c r="J1643" s="2" t="s">
        <v>66</v>
      </c>
      <c r="K1643" s="2" t="s">
        <v>38</v>
      </c>
      <c r="L1643" s="2" t="s">
        <v>38</v>
      </c>
      <c r="M1643" s="2" t="s">
        <v>38</v>
      </c>
      <c r="N1643" s="2" t="s">
        <v>38</v>
      </c>
      <c r="O1643" s="2" t="s">
        <v>38</v>
      </c>
      <c r="P1643" s="2" t="s">
        <v>39</v>
      </c>
      <c r="Q1643" s="2" t="s">
        <v>38</v>
      </c>
      <c r="R1643" s="2" t="s">
        <v>38</v>
      </c>
      <c r="S1643" s="2" t="s">
        <v>38</v>
      </c>
      <c r="T1643" s="2" t="s">
        <v>38</v>
      </c>
      <c r="U1643" s="2" t="s">
        <v>38</v>
      </c>
      <c r="V1643" s="2" t="s">
        <v>38</v>
      </c>
      <c r="W1643" s="2" t="s">
        <v>38</v>
      </c>
      <c r="X1643" s="2" t="s">
        <v>38</v>
      </c>
      <c r="Y1643" s="2" t="s">
        <v>38</v>
      </c>
      <c r="Z1643" s="2" t="s">
        <v>38</v>
      </c>
      <c r="AA1643" s="2" t="s">
        <v>38</v>
      </c>
      <c r="AB1643" s="2" t="s">
        <v>38</v>
      </c>
      <c r="AC1643" s="2" t="s">
        <v>38</v>
      </c>
      <c r="AD1643" s="2" t="s">
        <v>38</v>
      </c>
      <c r="AE1643" s="2" t="s">
        <v>39</v>
      </c>
    </row>
    <row r="1644" spans="1:31" ht="409.5">
      <c r="A1644" s="2">
        <v>2533023</v>
      </c>
      <c r="B1644" s="2">
        <f>HYPERLINK("https://platform.v2.vetology.net/cases/2533023/screening-report/18?type=pdf&amp;v=v6&amp;scorecard=1&amp;secret_key=BX%25IJ%24%2F65ieZ%29f6", 2533023)</f>
        <v>2533023</v>
      </c>
      <c r="C1644" s="2">
        <f>HYPERLINK("https://platform.v2.vetology.net/report/v/final/"&amp;2533023, 2533023)</f>
        <v>2533023</v>
      </c>
      <c r="D1644" s="2" t="s">
        <v>4656</v>
      </c>
      <c r="E1644" s="2" t="s">
        <v>4657</v>
      </c>
      <c r="F1644" s="2" t="s">
        <v>4658</v>
      </c>
      <c r="G1644" s="2" t="s">
        <v>63</v>
      </c>
      <c r="H1644" s="2" t="s">
        <v>339</v>
      </c>
      <c r="I1644" s="2" t="s">
        <v>124</v>
      </c>
      <c r="J1644" s="2" t="s">
        <v>125</v>
      </c>
      <c r="K1644" s="2" t="s">
        <v>38</v>
      </c>
      <c r="L1644" s="2" t="s">
        <v>38</v>
      </c>
      <c r="M1644" s="2" t="s">
        <v>39</v>
      </c>
      <c r="N1644" s="2" t="s">
        <v>38</v>
      </c>
      <c r="O1644" s="2" t="s">
        <v>38</v>
      </c>
      <c r="P1644" s="2" t="s">
        <v>38</v>
      </c>
      <c r="Q1644" s="2" t="s">
        <v>38</v>
      </c>
      <c r="R1644" s="2" t="s">
        <v>38</v>
      </c>
      <c r="S1644" s="2" t="s">
        <v>38</v>
      </c>
      <c r="T1644" s="2" t="s">
        <v>38</v>
      </c>
      <c r="U1644" s="2" t="s">
        <v>38</v>
      </c>
      <c r="V1644" s="2" t="s">
        <v>38</v>
      </c>
      <c r="W1644" s="2" t="s">
        <v>38</v>
      </c>
      <c r="X1644" s="2" t="s">
        <v>38</v>
      </c>
      <c r="Y1644" s="2" t="s">
        <v>38</v>
      </c>
      <c r="Z1644" s="2" t="s">
        <v>38</v>
      </c>
      <c r="AA1644" s="2" t="s">
        <v>38</v>
      </c>
      <c r="AB1644" s="2" t="s">
        <v>39</v>
      </c>
      <c r="AC1644" s="2" t="s">
        <v>39</v>
      </c>
      <c r="AD1644" s="2" t="s">
        <v>38</v>
      </c>
      <c r="AE1644" s="2" t="s">
        <v>39</v>
      </c>
    </row>
    <row r="1645" spans="1:31" ht="409.5">
      <c r="A1645" s="2">
        <v>2533014</v>
      </c>
      <c r="B1645" s="2">
        <f>HYPERLINK("https://platform.v2.vetology.net/cases/2533014/screening-report/18?type=pdf&amp;v=v6&amp;scorecard=1&amp;secret_key=BX%25IJ%24%2F65ieZ%29f6", 2533014)</f>
        <v>2533014</v>
      </c>
      <c r="C1645" s="2">
        <f>HYPERLINK("https://platform.v2.vetology.net/report/v/final/"&amp;2533014, 2533014)</f>
        <v>2533014</v>
      </c>
      <c r="D1645" s="2" t="s">
        <v>4659</v>
      </c>
      <c r="E1645" s="2" t="s">
        <v>4660</v>
      </c>
      <c r="F1645" s="2" t="s">
        <v>81</v>
      </c>
      <c r="G1645" s="2" t="s">
        <v>268</v>
      </c>
      <c r="H1645" s="2" t="s">
        <v>54</v>
      </c>
      <c r="I1645" s="2" t="s">
        <v>44</v>
      </c>
      <c r="J1645" s="2"/>
      <c r="K1645" s="2" t="s">
        <v>38</v>
      </c>
      <c r="L1645" s="2" t="s">
        <v>39</v>
      </c>
      <c r="M1645" s="2" t="s">
        <v>39</v>
      </c>
      <c r="N1645" s="2" t="s">
        <v>38</v>
      </c>
      <c r="O1645" s="2" t="s">
        <v>38</v>
      </c>
      <c r="P1645" s="2" t="s">
        <v>38</v>
      </c>
      <c r="Q1645" s="2" t="s">
        <v>38</v>
      </c>
      <c r="R1645" s="2" t="s">
        <v>38</v>
      </c>
      <c r="S1645" s="2" t="s">
        <v>39</v>
      </c>
      <c r="T1645" s="2" t="s">
        <v>38</v>
      </c>
      <c r="U1645" s="2" t="s">
        <v>39</v>
      </c>
      <c r="V1645" s="2" t="s">
        <v>38</v>
      </c>
      <c r="W1645" s="2" t="s">
        <v>38</v>
      </c>
      <c r="X1645" s="2" t="s">
        <v>38</v>
      </c>
      <c r="Y1645" s="2" t="s">
        <v>38</v>
      </c>
      <c r="Z1645" s="2" t="s">
        <v>38</v>
      </c>
      <c r="AA1645" s="2" t="s">
        <v>38</v>
      </c>
      <c r="AB1645" s="2" t="s">
        <v>38</v>
      </c>
      <c r="AC1645" s="2" t="s">
        <v>38</v>
      </c>
      <c r="AD1645" s="2" t="s">
        <v>38</v>
      </c>
      <c r="AE1645" s="2" t="s">
        <v>38</v>
      </c>
    </row>
    <row r="1646" spans="1:31" ht="409.5">
      <c r="A1646" s="2">
        <v>2531907</v>
      </c>
      <c r="B1646" s="2">
        <f>HYPERLINK("https://platform.v2.vetology.net/cases/2531907/screening-report/18?type=pdf&amp;v=v6&amp;scorecard=1&amp;secret_key=BX%25IJ%24%2F65ieZ%29f6", 2531907)</f>
        <v>2531907</v>
      </c>
      <c r="C1646" s="2">
        <f>HYPERLINK("https://platform.v2.vetology.net/report/v/final/"&amp;2531907, 2531907)</f>
        <v>2531907</v>
      </c>
      <c r="D1646" s="2" t="s">
        <v>4661</v>
      </c>
      <c r="E1646" s="2" t="s">
        <v>4662</v>
      </c>
      <c r="F1646" s="2" t="s">
        <v>4663</v>
      </c>
      <c r="G1646" s="2" t="s">
        <v>268</v>
      </c>
      <c r="H1646" s="2" t="s">
        <v>4664</v>
      </c>
      <c r="I1646" s="2" t="s">
        <v>124</v>
      </c>
      <c r="J1646" s="2" t="s">
        <v>125</v>
      </c>
      <c r="K1646" s="2" t="s">
        <v>38</v>
      </c>
      <c r="L1646" s="2" t="s">
        <v>38</v>
      </c>
      <c r="M1646" s="2" t="s">
        <v>39</v>
      </c>
      <c r="N1646" s="2" t="s">
        <v>38</v>
      </c>
      <c r="O1646" s="2" t="s">
        <v>39</v>
      </c>
      <c r="P1646" s="2" t="s">
        <v>38</v>
      </c>
      <c r="Q1646" s="2" t="s">
        <v>38</v>
      </c>
      <c r="R1646" s="2" t="s">
        <v>38</v>
      </c>
      <c r="S1646" s="2" t="s">
        <v>39</v>
      </c>
      <c r="T1646" s="2" t="s">
        <v>39</v>
      </c>
      <c r="U1646" s="2" t="s">
        <v>38</v>
      </c>
      <c r="V1646" s="2" t="s">
        <v>39</v>
      </c>
      <c r="W1646" s="2" t="s">
        <v>38</v>
      </c>
      <c r="X1646" s="2" t="s">
        <v>39</v>
      </c>
      <c r="Y1646" s="2" t="s">
        <v>38</v>
      </c>
      <c r="Z1646" s="2" t="s">
        <v>39</v>
      </c>
      <c r="AA1646" s="2" t="s">
        <v>38</v>
      </c>
      <c r="AB1646" s="2" t="s">
        <v>39</v>
      </c>
      <c r="AC1646" s="2" t="s">
        <v>38</v>
      </c>
      <c r="AD1646" s="2" t="s">
        <v>38</v>
      </c>
      <c r="AE1646" s="2" t="s">
        <v>38</v>
      </c>
    </row>
    <row r="1647" spans="1:31" ht="409.5">
      <c r="A1647" s="2">
        <v>2531819</v>
      </c>
      <c r="B1647" s="2">
        <f>HYPERLINK("https://platform.v2.vetology.net/cases/2531819/screening-report/18?type=pdf&amp;v=v6&amp;scorecard=1&amp;secret_key=BX%25IJ%24%2F65ieZ%29f6", 2531819)</f>
        <v>2531819</v>
      </c>
      <c r="C1647" s="2">
        <f>HYPERLINK("https://platform.v2.vetology.net/report/v/final/"&amp;2531819, 2531819)</f>
        <v>2531819</v>
      </c>
      <c r="D1647" s="2" t="s">
        <v>4665</v>
      </c>
      <c r="E1647" s="2" t="s">
        <v>4666</v>
      </c>
      <c r="F1647" s="2" t="s">
        <v>81</v>
      </c>
      <c r="G1647" s="2" t="s">
        <v>82</v>
      </c>
      <c r="H1647" s="2" t="s">
        <v>377</v>
      </c>
      <c r="I1647" s="2" t="s">
        <v>245</v>
      </c>
      <c r="J1647" s="2" t="s">
        <v>246</v>
      </c>
      <c r="K1647" s="2" t="s">
        <v>38</v>
      </c>
      <c r="L1647" s="2" t="s">
        <v>39</v>
      </c>
      <c r="M1647" s="2" t="s">
        <v>39</v>
      </c>
      <c r="N1647" s="2" t="s">
        <v>38</v>
      </c>
      <c r="O1647" s="2" t="s">
        <v>38</v>
      </c>
      <c r="P1647" s="2" t="s">
        <v>39</v>
      </c>
      <c r="Q1647" s="2" t="s">
        <v>38</v>
      </c>
      <c r="R1647" s="2" t="s">
        <v>38</v>
      </c>
      <c r="S1647" s="2" t="s">
        <v>38</v>
      </c>
      <c r="T1647" s="2" t="s">
        <v>38</v>
      </c>
      <c r="U1647" s="2" t="s">
        <v>38</v>
      </c>
      <c r="V1647" s="2" t="s">
        <v>38</v>
      </c>
      <c r="W1647" s="2" t="s">
        <v>38</v>
      </c>
      <c r="X1647" s="2" t="s">
        <v>38</v>
      </c>
      <c r="Y1647" s="2" t="s">
        <v>38</v>
      </c>
      <c r="Z1647" s="2" t="s">
        <v>38</v>
      </c>
      <c r="AA1647" s="2" t="s">
        <v>38</v>
      </c>
      <c r="AB1647" s="2" t="s">
        <v>38</v>
      </c>
      <c r="AC1647" s="2" t="s">
        <v>38</v>
      </c>
      <c r="AD1647" s="2" t="s">
        <v>38</v>
      </c>
      <c r="AE1647" s="2" t="s">
        <v>38</v>
      </c>
    </row>
    <row r="1648" spans="1:31" ht="409.5">
      <c r="A1648" s="2">
        <v>2531507</v>
      </c>
      <c r="B1648" s="2">
        <f>HYPERLINK("https://platform.v2.vetology.net/cases/2531507/screening-report/18?type=pdf&amp;v=v6&amp;scorecard=1&amp;secret_key=BX%25IJ%24%2F65ieZ%29f6", 2531507)</f>
        <v>2531507</v>
      </c>
      <c r="C1648" s="2">
        <f>HYPERLINK("https://platform.v2.vetology.net/report/v/final/"&amp;2531507, 2531507)</f>
        <v>2531507</v>
      </c>
      <c r="D1648" s="2" t="s">
        <v>4667</v>
      </c>
      <c r="E1648" s="2" t="s">
        <v>4668</v>
      </c>
      <c r="F1648" s="2" t="s">
        <v>4669</v>
      </c>
      <c r="G1648" s="2" t="s">
        <v>58</v>
      </c>
      <c r="H1648" s="2" t="s">
        <v>4670</v>
      </c>
      <c r="I1648" s="2" t="s">
        <v>111</v>
      </c>
      <c r="J1648" s="2" t="s">
        <v>112</v>
      </c>
      <c r="K1648" s="2" t="s">
        <v>39</v>
      </c>
      <c r="L1648" s="2" t="s">
        <v>38</v>
      </c>
      <c r="M1648" s="2" t="s">
        <v>39</v>
      </c>
      <c r="N1648" s="2" t="s">
        <v>39</v>
      </c>
      <c r="O1648" s="2" t="s">
        <v>39</v>
      </c>
      <c r="P1648" s="2" t="s">
        <v>39</v>
      </c>
      <c r="Q1648" s="2" t="s">
        <v>39</v>
      </c>
      <c r="R1648" s="2" t="s">
        <v>39</v>
      </c>
      <c r="S1648" s="2" t="s">
        <v>39</v>
      </c>
      <c r="T1648" s="2" t="s">
        <v>39</v>
      </c>
      <c r="U1648" s="2" t="s">
        <v>39</v>
      </c>
      <c r="V1648" s="2" t="s">
        <v>39</v>
      </c>
      <c r="W1648" s="2" t="s">
        <v>39</v>
      </c>
      <c r="X1648" s="2" t="s">
        <v>39</v>
      </c>
      <c r="Y1648" s="2" t="s">
        <v>39</v>
      </c>
      <c r="Z1648" s="2" t="s">
        <v>39</v>
      </c>
      <c r="AA1648" s="2" t="s">
        <v>39</v>
      </c>
      <c r="AB1648" s="2" t="s">
        <v>39</v>
      </c>
      <c r="AC1648" s="2" t="s">
        <v>39</v>
      </c>
      <c r="AD1648" s="2" t="s">
        <v>38</v>
      </c>
      <c r="AE1648" s="2" t="s">
        <v>39</v>
      </c>
    </row>
    <row r="1649" spans="1:31" ht="409.5">
      <c r="A1649" s="2">
        <v>2531331</v>
      </c>
      <c r="B1649" s="2">
        <f>HYPERLINK("https://platform.v2.vetology.net/cases/2531331/screening-report/18?type=pdf&amp;v=v6&amp;scorecard=1&amp;secret_key=BX%25IJ%24%2F65ieZ%29f6", 2531331)</f>
        <v>2531331</v>
      </c>
      <c r="C1649" s="2">
        <f>HYPERLINK("https://platform.v2.vetology.net/report/v/final/"&amp;2531331, 2531331)</f>
        <v>2531331</v>
      </c>
      <c r="D1649" s="2" t="s">
        <v>4671</v>
      </c>
      <c r="E1649" s="2" t="s">
        <v>4672</v>
      </c>
      <c r="F1649" s="2" t="s">
        <v>4673</v>
      </c>
      <c r="G1649" s="2" t="s">
        <v>135</v>
      </c>
      <c r="H1649" s="2" t="s">
        <v>4674</v>
      </c>
      <c r="I1649" s="2" t="s">
        <v>407</v>
      </c>
      <c r="J1649" s="2" t="s">
        <v>66</v>
      </c>
      <c r="K1649" s="2" t="s">
        <v>38</v>
      </c>
      <c r="L1649" s="2" t="s">
        <v>39</v>
      </c>
      <c r="M1649" s="2" t="s">
        <v>39</v>
      </c>
      <c r="N1649" s="2" t="s">
        <v>39</v>
      </c>
      <c r="O1649" s="2" t="s">
        <v>39</v>
      </c>
      <c r="P1649" s="2" t="s">
        <v>39</v>
      </c>
      <c r="Q1649" s="2" t="s">
        <v>38</v>
      </c>
      <c r="R1649" s="2" t="s">
        <v>38</v>
      </c>
      <c r="S1649" s="2" t="s">
        <v>39</v>
      </c>
      <c r="T1649" s="2" t="s">
        <v>39</v>
      </c>
      <c r="U1649" s="2" t="s">
        <v>38</v>
      </c>
      <c r="V1649" s="2" t="s">
        <v>39</v>
      </c>
      <c r="W1649" s="2" t="s">
        <v>38</v>
      </c>
      <c r="X1649" s="2" t="s">
        <v>39</v>
      </c>
      <c r="Y1649" s="2" t="s">
        <v>39</v>
      </c>
      <c r="Z1649" s="2" t="s">
        <v>39</v>
      </c>
      <c r="AA1649" s="2" t="s">
        <v>39</v>
      </c>
      <c r="AB1649" s="2" t="s">
        <v>39</v>
      </c>
      <c r="AC1649" s="2" t="s">
        <v>39</v>
      </c>
      <c r="AD1649" s="2" t="s">
        <v>39</v>
      </c>
      <c r="AE1649" s="2" t="s">
        <v>39</v>
      </c>
    </row>
    <row r="1650" spans="1:31" ht="409.5">
      <c r="A1650" s="2">
        <v>2531330</v>
      </c>
      <c r="B1650" s="2">
        <f>HYPERLINK("https://platform.v2.vetology.net/cases/2531330/screening-report/18?type=pdf&amp;v=v6&amp;scorecard=1&amp;secret_key=BX%25IJ%24%2F65ieZ%29f6", 2531330)</f>
        <v>2531330</v>
      </c>
      <c r="C1650" s="2">
        <f>HYPERLINK("https://platform.v2.vetology.net/report/v/final/"&amp;2531330, 2531330)</f>
        <v>2531330</v>
      </c>
      <c r="D1650" s="2" t="s">
        <v>414</v>
      </c>
      <c r="E1650" s="2" t="s">
        <v>1093</v>
      </c>
      <c r="F1650" s="2" t="s">
        <v>4675</v>
      </c>
      <c r="G1650" s="2" t="s">
        <v>135</v>
      </c>
      <c r="H1650" s="2" t="s">
        <v>2742</v>
      </c>
      <c r="I1650" s="2" t="s">
        <v>89</v>
      </c>
      <c r="J1650" s="2" t="s">
        <v>66</v>
      </c>
      <c r="K1650" s="2" t="s">
        <v>38</v>
      </c>
      <c r="L1650" s="2" t="s">
        <v>38</v>
      </c>
      <c r="M1650" s="2" t="s">
        <v>39</v>
      </c>
      <c r="N1650" s="2" t="s">
        <v>38</v>
      </c>
      <c r="O1650" s="2" t="s">
        <v>39</v>
      </c>
      <c r="P1650" s="2" t="s">
        <v>39</v>
      </c>
      <c r="Q1650" s="2" t="s">
        <v>38</v>
      </c>
      <c r="R1650" s="2" t="s">
        <v>38</v>
      </c>
      <c r="S1650" s="2" t="s">
        <v>38</v>
      </c>
      <c r="T1650" s="2" t="s">
        <v>38</v>
      </c>
      <c r="U1650" s="2" t="s">
        <v>38</v>
      </c>
      <c r="V1650" s="2" t="s">
        <v>38</v>
      </c>
      <c r="W1650" s="2" t="s">
        <v>38</v>
      </c>
      <c r="X1650" s="2" t="s">
        <v>38</v>
      </c>
      <c r="Y1650" s="2" t="s">
        <v>38</v>
      </c>
      <c r="Z1650" s="2" t="s">
        <v>38</v>
      </c>
      <c r="AA1650" s="2" t="s">
        <v>38</v>
      </c>
      <c r="AB1650" s="2" t="s">
        <v>39</v>
      </c>
      <c r="AC1650" s="2" t="s">
        <v>39</v>
      </c>
      <c r="AD1650" s="2" t="s">
        <v>38</v>
      </c>
      <c r="AE1650" s="2" t="s">
        <v>39</v>
      </c>
    </row>
    <row r="1651" spans="1:31" ht="409.5">
      <c r="A1651" s="2">
        <v>2531165</v>
      </c>
      <c r="B1651" s="2">
        <f>HYPERLINK("https://platform.v2.vetology.net/cases/2531165/screening-report/18?type=pdf&amp;v=v6&amp;scorecard=1&amp;secret_key=BX%25IJ%24%2F65ieZ%29f6", 2531165)</f>
        <v>2531165</v>
      </c>
      <c r="C1651" s="2">
        <f>HYPERLINK("https://platform.v2.vetology.net/report/v/final/"&amp;2531165, 2531165)</f>
        <v>2531165</v>
      </c>
      <c r="D1651" s="2" t="s">
        <v>4676</v>
      </c>
      <c r="E1651" s="2" t="s">
        <v>4677</v>
      </c>
      <c r="F1651" s="2" t="s">
        <v>81</v>
      </c>
      <c r="G1651" s="2" t="s">
        <v>268</v>
      </c>
      <c r="H1651" s="2" t="s">
        <v>129</v>
      </c>
      <c r="I1651" s="2" t="s">
        <v>44</v>
      </c>
      <c r="J1651" s="2"/>
      <c r="K1651" s="2" t="s">
        <v>38</v>
      </c>
      <c r="L1651" s="2" t="s">
        <v>38</v>
      </c>
      <c r="M1651" s="2" t="s">
        <v>39</v>
      </c>
      <c r="N1651" s="2" t="s">
        <v>38</v>
      </c>
      <c r="O1651" s="2" t="s">
        <v>38</v>
      </c>
      <c r="P1651" s="2" t="s">
        <v>38</v>
      </c>
      <c r="Q1651" s="2" t="s">
        <v>38</v>
      </c>
      <c r="R1651" s="2" t="s">
        <v>38</v>
      </c>
      <c r="S1651" s="2" t="s">
        <v>38</v>
      </c>
      <c r="T1651" s="2" t="s">
        <v>39</v>
      </c>
      <c r="U1651" s="2" t="s">
        <v>38</v>
      </c>
      <c r="V1651" s="2" t="s">
        <v>38</v>
      </c>
      <c r="W1651" s="2" t="s">
        <v>38</v>
      </c>
      <c r="X1651" s="2" t="s">
        <v>39</v>
      </c>
      <c r="Y1651" s="2" t="s">
        <v>38</v>
      </c>
      <c r="Z1651" s="2" t="s">
        <v>38</v>
      </c>
      <c r="AA1651" s="2" t="s">
        <v>38</v>
      </c>
      <c r="AB1651" s="2" t="s">
        <v>39</v>
      </c>
      <c r="AC1651" s="2" t="s">
        <v>38</v>
      </c>
      <c r="AD1651" s="2" t="s">
        <v>38</v>
      </c>
      <c r="AE1651" s="2" t="s">
        <v>38</v>
      </c>
    </row>
    <row r="1652" spans="1:31" ht="409.5">
      <c r="A1652" s="2">
        <v>2531153</v>
      </c>
      <c r="B1652" s="2">
        <f>HYPERLINK("https://platform.v2.vetology.net/cases/2531153/screening-report/18?type=pdf&amp;v=v6&amp;scorecard=1&amp;secret_key=BX%25IJ%24%2F65ieZ%29f6", 2531153)</f>
        <v>2531153</v>
      </c>
      <c r="C1652" s="2">
        <f>HYPERLINK("https://platform.v2.vetology.net/report/v/final/"&amp;2531153, 2531153)</f>
        <v>2531153</v>
      </c>
      <c r="D1652" s="2" t="s">
        <v>4678</v>
      </c>
      <c r="E1652" s="2" t="s">
        <v>4679</v>
      </c>
      <c r="F1652" s="2" t="s">
        <v>919</v>
      </c>
      <c r="G1652" s="2" t="s">
        <v>58</v>
      </c>
      <c r="H1652" s="2" t="s">
        <v>1364</v>
      </c>
      <c r="I1652" s="2" t="s">
        <v>290</v>
      </c>
      <c r="J1652" s="2" t="s">
        <v>66</v>
      </c>
      <c r="K1652" s="2" t="s">
        <v>38</v>
      </c>
      <c r="L1652" s="2" t="s">
        <v>39</v>
      </c>
      <c r="M1652" s="2" t="s">
        <v>38</v>
      </c>
      <c r="N1652" s="2" t="s">
        <v>39</v>
      </c>
      <c r="O1652" s="2" t="s">
        <v>38</v>
      </c>
      <c r="P1652" s="2" t="s">
        <v>39</v>
      </c>
      <c r="Q1652" s="2" t="s">
        <v>38</v>
      </c>
      <c r="R1652" s="2" t="s">
        <v>38</v>
      </c>
      <c r="S1652" s="2" t="s">
        <v>38</v>
      </c>
      <c r="T1652" s="2" t="s">
        <v>39</v>
      </c>
      <c r="U1652" s="2" t="s">
        <v>39</v>
      </c>
      <c r="V1652" s="2" t="s">
        <v>38</v>
      </c>
      <c r="W1652" s="2" t="s">
        <v>38</v>
      </c>
      <c r="X1652" s="2" t="s">
        <v>39</v>
      </c>
      <c r="Y1652" s="2" t="s">
        <v>38</v>
      </c>
      <c r="Z1652" s="2" t="s">
        <v>39</v>
      </c>
      <c r="AA1652" s="2" t="s">
        <v>38</v>
      </c>
      <c r="AB1652" s="2" t="s">
        <v>39</v>
      </c>
      <c r="AC1652" s="2" t="s">
        <v>39</v>
      </c>
      <c r="AD1652" s="2" t="s">
        <v>38</v>
      </c>
      <c r="AE1652" s="2" t="s">
        <v>39</v>
      </c>
    </row>
    <row r="1653" spans="1:31" ht="409.5">
      <c r="A1653" s="2">
        <v>2530874</v>
      </c>
      <c r="B1653" s="2">
        <f>HYPERLINK("https://platform.v2.vetology.net/cases/2530874/screening-report/18?type=pdf&amp;v=v6&amp;scorecard=1&amp;secret_key=BX%25IJ%24%2F65ieZ%29f6", 2530874)</f>
        <v>2530874</v>
      </c>
      <c r="C1653" s="2">
        <f>HYPERLINK("https://platform.v2.vetology.net/report/v/final/"&amp;2530874, 2530874)</f>
        <v>2530874</v>
      </c>
      <c r="D1653" s="2" t="s">
        <v>4680</v>
      </c>
      <c r="E1653" s="2" t="s">
        <v>4681</v>
      </c>
      <c r="F1653" s="2" t="s">
        <v>81</v>
      </c>
      <c r="G1653" s="2" t="s">
        <v>82</v>
      </c>
      <c r="H1653" s="2" t="s">
        <v>129</v>
      </c>
      <c r="I1653" s="2" t="s">
        <v>44</v>
      </c>
      <c r="J1653" s="2" t="s">
        <v>106</v>
      </c>
      <c r="K1653" s="2" t="s">
        <v>38</v>
      </c>
      <c r="L1653" s="2" t="s">
        <v>38</v>
      </c>
      <c r="M1653" s="2" t="s">
        <v>38</v>
      </c>
      <c r="N1653" s="2" t="s">
        <v>38</v>
      </c>
      <c r="O1653" s="2" t="s">
        <v>38</v>
      </c>
      <c r="P1653" s="2" t="s">
        <v>38</v>
      </c>
      <c r="Q1653" s="2" t="s">
        <v>38</v>
      </c>
      <c r="R1653" s="2" t="s">
        <v>38</v>
      </c>
      <c r="S1653" s="2" t="s">
        <v>38</v>
      </c>
      <c r="T1653" s="2" t="s">
        <v>39</v>
      </c>
      <c r="U1653" s="2" t="s">
        <v>38</v>
      </c>
      <c r="V1653" s="2" t="s">
        <v>39</v>
      </c>
      <c r="W1653" s="2" t="s">
        <v>38</v>
      </c>
      <c r="X1653" s="2" t="s">
        <v>39</v>
      </c>
      <c r="Y1653" s="2" t="s">
        <v>38</v>
      </c>
      <c r="Z1653" s="2" t="s">
        <v>38</v>
      </c>
      <c r="AA1653" s="2" t="s">
        <v>38</v>
      </c>
      <c r="AB1653" s="2" t="s">
        <v>38</v>
      </c>
      <c r="AC1653" s="2" t="s">
        <v>38</v>
      </c>
      <c r="AD1653" s="2" t="s">
        <v>38</v>
      </c>
      <c r="AE1653" s="2" t="s">
        <v>38</v>
      </c>
    </row>
    <row r="1654" spans="1:31" ht="409.5">
      <c r="A1654" s="2">
        <v>2530762</v>
      </c>
      <c r="B1654" s="2">
        <f>HYPERLINK("https://platform.v2.vetology.net/cases/2530762/screening-report/18?type=pdf&amp;v=v6&amp;scorecard=1&amp;secret_key=BX%25IJ%24%2F65ieZ%29f6", 2530762)</f>
        <v>2530762</v>
      </c>
      <c r="C1654" s="2">
        <f>HYPERLINK("https://platform.v2.vetology.net/report/v/final/"&amp;2530762, 2530762)</f>
        <v>2530762</v>
      </c>
      <c r="D1654" s="2" t="s">
        <v>4682</v>
      </c>
      <c r="E1654" s="2" t="s">
        <v>4683</v>
      </c>
      <c r="F1654" s="2" t="s">
        <v>4684</v>
      </c>
      <c r="G1654" s="2" t="s">
        <v>135</v>
      </c>
      <c r="H1654" s="2" t="s">
        <v>3509</v>
      </c>
      <c r="I1654" s="2" t="s">
        <v>89</v>
      </c>
      <c r="J1654" s="2" t="s">
        <v>66</v>
      </c>
      <c r="K1654" s="2" t="s">
        <v>38</v>
      </c>
      <c r="L1654" s="2" t="s">
        <v>39</v>
      </c>
      <c r="M1654" s="2" t="s">
        <v>39</v>
      </c>
      <c r="N1654" s="2" t="s">
        <v>38</v>
      </c>
      <c r="O1654" s="2" t="s">
        <v>38</v>
      </c>
      <c r="P1654" s="2" t="s">
        <v>39</v>
      </c>
      <c r="Q1654" s="2" t="s">
        <v>38</v>
      </c>
      <c r="R1654" s="2" t="s">
        <v>38</v>
      </c>
      <c r="S1654" s="2" t="s">
        <v>38</v>
      </c>
      <c r="T1654" s="2" t="s">
        <v>39</v>
      </c>
      <c r="U1654" s="2" t="s">
        <v>38</v>
      </c>
      <c r="V1654" s="2" t="s">
        <v>39</v>
      </c>
      <c r="W1654" s="2" t="s">
        <v>38</v>
      </c>
      <c r="X1654" s="2" t="s">
        <v>39</v>
      </c>
      <c r="Y1654" s="2" t="s">
        <v>38</v>
      </c>
      <c r="Z1654" s="2" t="s">
        <v>38</v>
      </c>
      <c r="AA1654" s="2" t="s">
        <v>38</v>
      </c>
      <c r="AB1654" s="2" t="s">
        <v>38</v>
      </c>
      <c r="AC1654" s="2" t="s">
        <v>38</v>
      </c>
      <c r="AD1654" s="2" t="s">
        <v>38</v>
      </c>
      <c r="AE1654" s="2" t="s">
        <v>39</v>
      </c>
    </row>
    <row r="1655" spans="1:31" ht="409.5">
      <c r="A1655" s="2">
        <v>2530742</v>
      </c>
      <c r="B1655" s="2">
        <f>HYPERLINK("https://platform.v2.vetology.net/cases/2530742/screening-report/18?type=pdf&amp;v=v6&amp;scorecard=1&amp;secret_key=BX%25IJ%24%2F65ieZ%29f6", 2530742)</f>
        <v>2530742</v>
      </c>
      <c r="C1655" s="2">
        <f>HYPERLINK("https://platform.v2.vetology.net/report/v/final/"&amp;2530742, 2530742)</f>
        <v>2530742</v>
      </c>
      <c r="D1655" s="2" t="s">
        <v>4685</v>
      </c>
      <c r="E1655" s="2" t="s">
        <v>4686</v>
      </c>
      <c r="F1655" s="2" t="s">
        <v>4687</v>
      </c>
      <c r="G1655" s="2" t="s">
        <v>58</v>
      </c>
      <c r="H1655" s="2" t="s">
        <v>78</v>
      </c>
      <c r="I1655" s="2" t="s">
        <v>44</v>
      </c>
      <c r="J1655" s="2"/>
      <c r="K1655" s="2" t="s">
        <v>38</v>
      </c>
      <c r="L1655" s="2" t="s">
        <v>39</v>
      </c>
      <c r="M1655" s="2" t="s">
        <v>39</v>
      </c>
      <c r="N1655" s="2" t="s">
        <v>38</v>
      </c>
      <c r="O1655" s="2" t="s">
        <v>38</v>
      </c>
      <c r="P1655" s="2" t="s">
        <v>38</v>
      </c>
      <c r="Q1655" s="2" t="s">
        <v>38</v>
      </c>
      <c r="R1655" s="2" t="s">
        <v>38</v>
      </c>
      <c r="S1655" s="2" t="s">
        <v>38</v>
      </c>
      <c r="T1655" s="2" t="s">
        <v>38</v>
      </c>
      <c r="U1655" s="2" t="s">
        <v>38</v>
      </c>
      <c r="V1655" s="2" t="s">
        <v>38</v>
      </c>
      <c r="W1655" s="2" t="s">
        <v>38</v>
      </c>
      <c r="X1655" s="2" t="s">
        <v>38</v>
      </c>
      <c r="Y1655" s="2" t="s">
        <v>38</v>
      </c>
      <c r="Z1655" s="2" t="s">
        <v>39</v>
      </c>
      <c r="AA1655" s="2" t="s">
        <v>38</v>
      </c>
      <c r="AB1655" s="2" t="s">
        <v>39</v>
      </c>
      <c r="AC1655" s="2" t="s">
        <v>39</v>
      </c>
      <c r="AD1655" s="2" t="s">
        <v>38</v>
      </c>
      <c r="AE1655" s="2" t="s">
        <v>38</v>
      </c>
    </row>
    <row r="1656" spans="1:31" ht="409.5">
      <c r="A1656" s="2">
        <v>2529622</v>
      </c>
      <c r="B1656" s="2">
        <f>HYPERLINK("https://platform.v2.vetology.net/cases/2529622/screening-report/18?type=pdf&amp;v=v6&amp;scorecard=1&amp;secret_key=BX%25IJ%24%2F65ieZ%29f6", 2529622)</f>
        <v>2529622</v>
      </c>
      <c r="C1656" s="2">
        <f>HYPERLINK("https://platform.v2.vetology.net/report/v/final/"&amp;2529622, 2529622)</f>
        <v>2529622</v>
      </c>
      <c r="D1656" s="2" t="s">
        <v>4688</v>
      </c>
      <c r="E1656" s="2" t="s">
        <v>4689</v>
      </c>
      <c r="F1656" s="2" t="s">
        <v>4690</v>
      </c>
      <c r="G1656" s="2" t="s">
        <v>58</v>
      </c>
      <c r="H1656" s="2" t="s">
        <v>4691</v>
      </c>
      <c r="I1656" s="2" t="s">
        <v>1903</v>
      </c>
      <c r="J1656" s="2" t="s">
        <v>690</v>
      </c>
      <c r="K1656" s="2" t="s">
        <v>39</v>
      </c>
      <c r="L1656" s="2" t="s">
        <v>39</v>
      </c>
      <c r="M1656" s="2" t="s">
        <v>39</v>
      </c>
      <c r="N1656" s="2" t="s">
        <v>38</v>
      </c>
      <c r="O1656" s="2" t="s">
        <v>39</v>
      </c>
      <c r="P1656" s="2" t="s">
        <v>39</v>
      </c>
      <c r="Q1656" s="2" t="s">
        <v>38</v>
      </c>
      <c r="R1656" s="2" t="s">
        <v>38</v>
      </c>
      <c r="S1656" s="2" t="s">
        <v>39</v>
      </c>
      <c r="T1656" s="2" t="s">
        <v>39</v>
      </c>
      <c r="U1656" s="2" t="s">
        <v>39</v>
      </c>
      <c r="V1656" s="2" t="s">
        <v>39</v>
      </c>
      <c r="W1656" s="2" t="s">
        <v>38</v>
      </c>
      <c r="X1656" s="2" t="s">
        <v>39</v>
      </c>
      <c r="Y1656" s="2" t="s">
        <v>38</v>
      </c>
      <c r="Z1656" s="2" t="s">
        <v>39</v>
      </c>
      <c r="AA1656" s="2" t="s">
        <v>39</v>
      </c>
      <c r="AB1656" s="2" t="s">
        <v>39</v>
      </c>
      <c r="AC1656" s="2" t="s">
        <v>39</v>
      </c>
      <c r="AD1656" s="2" t="s">
        <v>38</v>
      </c>
      <c r="AE1656" s="2" t="s">
        <v>38</v>
      </c>
    </row>
    <row r="1657" spans="1:31" ht="409.5">
      <c r="A1657" s="2">
        <v>2529562</v>
      </c>
      <c r="B1657" s="2">
        <f>HYPERLINK("https://platform.v2.vetology.net/cases/2529562/screening-report/18?type=pdf&amp;v=v6&amp;scorecard=1&amp;secret_key=BX%25IJ%24%2F65ieZ%29f6", 2529562)</f>
        <v>2529562</v>
      </c>
      <c r="C1657" s="2">
        <f>HYPERLINK("https://platform.v2.vetology.net/report/v/final/"&amp;2529562, 2529562)</f>
        <v>2529562</v>
      </c>
      <c r="D1657" s="2" t="s">
        <v>4692</v>
      </c>
      <c r="E1657" s="2" t="s">
        <v>4693</v>
      </c>
      <c r="F1657" s="2" t="s">
        <v>4694</v>
      </c>
      <c r="G1657" s="2" t="s">
        <v>464</v>
      </c>
      <c r="H1657" s="2" t="s">
        <v>4695</v>
      </c>
      <c r="I1657" s="2" t="s">
        <v>2869</v>
      </c>
      <c r="J1657" s="2" t="s">
        <v>989</v>
      </c>
      <c r="K1657" s="2" t="s">
        <v>39</v>
      </c>
      <c r="L1657" s="2" t="s">
        <v>39</v>
      </c>
      <c r="M1657" s="2" t="s">
        <v>39</v>
      </c>
      <c r="N1657" s="2" t="s">
        <v>39</v>
      </c>
      <c r="O1657" s="2" t="s">
        <v>39</v>
      </c>
      <c r="P1657" s="2" t="s">
        <v>39</v>
      </c>
      <c r="Q1657" s="2" t="s">
        <v>39</v>
      </c>
      <c r="R1657" s="2" t="s">
        <v>39</v>
      </c>
      <c r="S1657" s="2" t="s">
        <v>39</v>
      </c>
      <c r="T1657" s="2" t="s">
        <v>39</v>
      </c>
      <c r="U1657" s="2" t="s">
        <v>39</v>
      </c>
      <c r="V1657" s="2" t="s">
        <v>39</v>
      </c>
      <c r="W1657" s="2" t="s">
        <v>39</v>
      </c>
      <c r="X1657" s="2" t="s">
        <v>39</v>
      </c>
      <c r="Y1657" s="2" t="s">
        <v>39</v>
      </c>
      <c r="Z1657" s="2" t="s">
        <v>39</v>
      </c>
      <c r="AA1657" s="2" t="s">
        <v>39</v>
      </c>
      <c r="AB1657" s="2" t="s">
        <v>39</v>
      </c>
      <c r="AC1657" s="2" t="s">
        <v>39</v>
      </c>
      <c r="AD1657" s="2" t="s">
        <v>39</v>
      </c>
      <c r="AE1657" s="2" t="s">
        <v>39</v>
      </c>
    </row>
    <row r="1658" spans="1:31" ht="409.5">
      <c r="A1658" s="2">
        <v>2529222</v>
      </c>
      <c r="B1658" s="2">
        <f>HYPERLINK("https://platform.v2.vetology.net/cases/2529222/screening-report/18?type=pdf&amp;v=v6&amp;scorecard=1&amp;secret_key=BX%25IJ%24%2F65ieZ%29f6", 2529222)</f>
        <v>2529222</v>
      </c>
      <c r="C1658" s="2">
        <f>HYPERLINK("https://platform.v2.vetology.net/report/v/final/"&amp;2529222, 2529222)</f>
        <v>2529222</v>
      </c>
      <c r="D1658" s="2" t="s">
        <v>4696</v>
      </c>
      <c r="E1658" s="2" t="s">
        <v>4697</v>
      </c>
      <c r="F1658" s="2" t="s">
        <v>4698</v>
      </c>
      <c r="G1658" s="2" t="s">
        <v>268</v>
      </c>
      <c r="H1658" s="2" t="s">
        <v>931</v>
      </c>
      <c r="I1658" s="2" t="s">
        <v>111</v>
      </c>
      <c r="J1658" s="2" t="s">
        <v>112</v>
      </c>
      <c r="K1658" s="2" t="s">
        <v>39</v>
      </c>
      <c r="L1658" s="2" t="s">
        <v>39</v>
      </c>
      <c r="M1658" s="2" t="s">
        <v>39</v>
      </c>
      <c r="N1658" s="2" t="s">
        <v>39</v>
      </c>
      <c r="O1658" s="2" t="s">
        <v>39</v>
      </c>
      <c r="P1658" s="2" t="s">
        <v>39</v>
      </c>
      <c r="Q1658" s="2" t="s">
        <v>39</v>
      </c>
      <c r="R1658" s="2" t="s">
        <v>39</v>
      </c>
      <c r="S1658" s="2" t="s">
        <v>39</v>
      </c>
      <c r="T1658" s="2" t="s">
        <v>39</v>
      </c>
      <c r="U1658" s="2" t="s">
        <v>39</v>
      </c>
      <c r="V1658" s="2" t="s">
        <v>39</v>
      </c>
      <c r="W1658" s="2" t="s">
        <v>39</v>
      </c>
      <c r="X1658" s="2" t="s">
        <v>39</v>
      </c>
      <c r="Y1658" s="2" t="s">
        <v>39</v>
      </c>
      <c r="Z1658" s="2" t="s">
        <v>39</v>
      </c>
      <c r="AA1658" s="2" t="s">
        <v>39</v>
      </c>
      <c r="AB1658" s="2" t="s">
        <v>39</v>
      </c>
      <c r="AC1658" s="2" t="s">
        <v>39</v>
      </c>
      <c r="AD1658" s="2" t="s">
        <v>38</v>
      </c>
      <c r="AE1658" s="2" t="s">
        <v>39</v>
      </c>
    </row>
    <row r="1659" spans="1:31" ht="409.5">
      <c r="A1659" s="2">
        <v>2528957</v>
      </c>
      <c r="B1659" s="2">
        <f>HYPERLINK("https://platform.v2.vetology.net/cases/2528957/screening-report/18?type=pdf&amp;v=v6&amp;scorecard=1&amp;secret_key=BX%25IJ%24%2F65ieZ%29f6", 2528957)</f>
        <v>2528957</v>
      </c>
      <c r="C1659" s="2">
        <f>HYPERLINK("https://platform.v2.vetology.net/report/v/final/"&amp;2528957, 2528957)</f>
        <v>2528957</v>
      </c>
      <c r="D1659" s="2" t="s">
        <v>4699</v>
      </c>
      <c r="E1659" s="2" t="s">
        <v>4700</v>
      </c>
      <c r="F1659" s="2" t="s">
        <v>81</v>
      </c>
      <c r="G1659" s="2" t="s">
        <v>82</v>
      </c>
      <c r="H1659" s="2" t="s">
        <v>54</v>
      </c>
      <c r="I1659" s="2" t="s">
        <v>44</v>
      </c>
      <c r="J1659" s="2" t="s">
        <v>106</v>
      </c>
      <c r="K1659" s="2" t="s">
        <v>38</v>
      </c>
      <c r="L1659" s="2" t="s">
        <v>38</v>
      </c>
      <c r="M1659" s="2" t="s">
        <v>38</v>
      </c>
      <c r="N1659" s="2" t="s">
        <v>38</v>
      </c>
      <c r="O1659" s="2" t="s">
        <v>38</v>
      </c>
      <c r="P1659" s="2" t="s">
        <v>38</v>
      </c>
      <c r="Q1659" s="2" t="s">
        <v>38</v>
      </c>
      <c r="R1659" s="2" t="s">
        <v>38</v>
      </c>
      <c r="S1659" s="2" t="s">
        <v>38</v>
      </c>
      <c r="T1659" s="2" t="s">
        <v>38</v>
      </c>
      <c r="U1659" s="2" t="s">
        <v>38</v>
      </c>
      <c r="V1659" s="2" t="s">
        <v>38</v>
      </c>
      <c r="W1659" s="2" t="s">
        <v>38</v>
      </c>
      <c r="X1659" s="2" t="s">
        <v>38</v>
      </c>
      <c r="Y1659" s="2" t="s">
        <v>38</v>
      </c>
      <c r="Z1659" s="2" t="s">
        <v>38</v>
      </c>
      <c r="AA1659" s="2" t="s">
        <v>38</v>
      </c>
      <c r="AB1659" s="2" t="s">
        <v>38</v>
      </c>
      <c r="AC1659" s="2" t="s">
        <v>38</v>
      </c>
      <c r="AD1659" s="2" t="s">
        <v>38</v>
      </c>
      <c r="AE1659" s="2" t="s">
        <v>38</v>
      </c>
    </row>
    <row r="1660" spans="1:31" ht="409.5">
      <c r="A1660" s="2">
        <v>2528850</v>
      </c>
      <c r="B1660" s="2">
        <f>HYPERLINK("https://platform.v2.vetology.net/cases/2528850/screening-report/18?type=pdf&amp;v=v6&amp;scorecard=1&amp;secret_key=BX%25IJ%24%2F65ieZ%29f6", 2528850)</f>
        <v>2528850</v>
      </c>
      <c r="C1660" s="2">
        <f>HYPERLINK("https://platform.v2.vetology.net/report/v/final/"&amp;2528850, 2528850)</f>
        <v>2528850</v>
      </c>
      <c r="D1660" s="2" t="s">
        <v>4701</v>
      </c>
      <c r="E1660" s="2" t="s">
        <v>4702</v>
      </c>
      <c r="F1660" s="2"/>
      <c r="G1660" s="2" t="s">
        <v>141</v>
      </c>
      <c r="H1660" s="2" t="s">
        <v>4703</v>
      </c>
      <c r="I1660" s="2" t="s">
        <v>111</v>
      </c>
      <c r="J1660" s="2" t="s">
        <v>112</v>
      </c>
      <c r="K1660" s="2" t="s">
        <v>39</v>
      </c>
      <c r="L1660" s="2" t="s">
        <v>39</v>
      </c>
      <c r="M1660" s="2" t="s">
        <v>39</v>
      </c>
      <c r="N1660" s="2" t="s">
        <v>39</v>
      </c>
      <c r="O1660" s="2" t="s">
        <v>39</v>
      </c>
      <c r="P1660" s="2" t="s">
        <v>39</v>
      </c>
      <c r="Q1660" s="2" t="s">
        <v>39</v>
      </c>
      <c r="R1660" s="2" t="s">
        <v>39</v>
      </c>
      <c r="S1660" s="2" t="s">
        <v>39</v>
      </c>
      <c r="T1660" s="2" t="s">
        <v>39</v>
      </c>
      <c r="U1660" s="2" t="s">
        <v>39</v>
      </c>
      <c r="V1660" s="2" t="s">
        <v>39</v>
      </c>
      <c r="W1660" s="2" t="s">
        <v>39</v>
      </c>
      <c r="X1660" s="2" t="s">
        <v>39</v>
      </c>
      <c r="Y1660" s="2" t="s">
        <v>39</v>
      </c>
      <c r="Z1660" s="2" t="s">
        <v>39</v>
      </c>
      <c r="AA1660" s="2" t="s">
        <v>39</v>
      </c>
      <c r="AB1660" s="2" t="s">
        <v>39</v>
      </c>
      <c r="AC1660" s="2" t="s">
        <v>39</v>
      </c>
      <c r="AD1660" s="2" t="s">
        <v>39</v>
      </c>
      <c r="AE1660" s="2" t="s">
        <v>39</v>
      </c>
    </row>
    <row r="1661" spans="1:31" ht="409.5">
      <c r="A1661" s="2">
        <v>2528772</v>
      </c>
      <c r="B1661" s="2">
        <f>HYPERLINK("https://platform.v2.vetology.net/cases/2528772/screening-report/18?type=pdf&amp;v=v6&amp;scorecard=1&amp;secret_key=BX%25IJ%24%2F65ieZ%29f6", 2528772)</f>
        <v>2528772</v>
      </c>
      <c r="C1661" s="2">
        <f>HYPERLINK("https://platform.v2.vetology.net/report/v/final/"&amp;2528772, 2528772)</f>
        <v>2528772</v>
      </c>
      <c r="D1661" s="2" t="s">
        <v>4704</v>
      </c>
      <c r="E1661" s="2" t="s">
        <v>4705</v>
      </c>
      <c r="F1661" s="2" t="s">
        <v>81</v>
      </c>
      <c r="G1661" s="2" t="s">
        <v>268</v>
      </c>
      <c r="H1661" s="2" t="s">
        <v>2278</v>
      </c>
      <c r="I1661" s="2" t="s">
        <v>1728</v>
      </c>
      <c r="J1661" s="2" t="s">
        <v>208</v>
      </c>
      <c r="K1661" s="2" t="s">
        <v>38</v>
      </c>
      <c r="L1661" s="2" t="s">
        <v>38</v>
      </c>
      <c r="M1661" s="2" t="s">
        <v>39</v>
      </c>
      <c r="N1661" s="2" t="s">
        <v>38</v>
      </c>
      <c r="O1661" s="2" t="s">
        <v>38</v>
      </c>
      <c r="P1661" s="2" t="s">
        <v>39</v>
      </c>
      <c r="Q1661" s="2" t="s">
        <v>38</v>
      </c>
      <c r="R1661" s="2" t="s">
        <v>38</v>
      </c>
      <c r="S1661" s="2" t="s">
        <v>38</v>
      </c>
      <c r="T1661" s="2" t="s">
        <v>39</v>
      </c>
      <c r="U1661" s="2" t="s">
        <v>38</v>
      </c>
      <c r="V1661" s="2" t="s">
        <v>39</v>
      </c>
      <c r="W1661" s="2" t="s">
        <v>38</v>
      </c>
      <c r="X1661" s="2" t="s">
        <v>39</v>
      </c>
      <c r="Y1661" s="2" t="s">
        <v>38</v>
      </c>
      <c r="Z1661" s="2" t="s">
        <v>39</v>
      </c>
      <c r="AA1661" s="2" t="s">
        <v>38</v>
      </c>
      <c r="AB1661" s="2" t="s">
        <v>39</v>
      </c>
      <c r="AC1661" s="2" t="s">
        <v>39</v>
      </c>
      <c r="AD1661" s="2" t="s">
        <v>38</v>
      </c>
      <c r="AE1661" s="2" t="s">
        <v>38</v>
      </c>
    </row>
    <row r="1662" spans="1:31" ht="409.5">
      <c r="A1662" s="2">
        <v>2528490</v>
      </c>
      <c r="B1662" s="2">
        <f>HYPERLINK("https://platform.v2.vetology.net/cases/2528490/screening-report/18?type=pdf&amp;v=v6&amp;scorecard=1&amp;secret_key=BX%25IJ%24%2F65ieZ%29f6", 2528490)</f>
        <v>2528490</v>
      </c>
      <c r="C1662" s="2">
        <f>HYPERLINK("https://platform.v2.vetology.net/report/v/final/"&amp;2528490, 2528490)</f>
        <v>2528490</v>
      </c>
      <c r="D1662" s="2" t="s">
        <v>4706</v>
      </c>
      <c r="E1662" s="2" t="s">
        <v>4707</v>
      </c>
      <c r="F1662" s="2" t="s">
        <v>4708</v>
      </c>
      <c r="G1662" s="2" t="s">
        <v>63</v>
      </c>
      <c r="H1662" s="2" t="s">
        <v>3719</v>
      </c>
      <c r="I1662" s="2" t="s">
        <v>36</v>
      </c>
      <c r="J1662" s="2" t="s">
        <v>37</v>
      </c>
      <c r="K1662" s="2" t="s">
        <v>38</v>
      </c>
      <c r="L1662" s="2" t="s">
        <v>38</v>
      </c>
      <c r="M1662" s="2" t="s">
        <v>38</v>
      </c>
      <c r="N1662" s="2" t="s">
        <v>38</v>
      </c>
      <c r="O1662" s="2" t="s">
        <v>38</v>
      </c>
      <c r="P1662" s="2" t="s">
        <v>38</v>
      </c>
      <c r="Q1662" s="2" t="s">
        <v>38</v>
      </c>
      <c r="R1662" s="2" t="s">
        <v>38</v>
      </c>
      <c r="S1662" s="2" t="s">
        <v>38</v>
      </c>
      <c r="T1662" s="2" t="s">
        <v>39</v>
      </c>
      <c r="U1662" s="2" t="s">
        <v>38</v>
      </c>
      <c r="V1662" s="2" t="s">
        <v>38</v>
      </c>
      <c r="W1662" s="2" t="s">
        <v>38</v>
      </c>
      <c r="X1662" s="2" t="s">
        <v>39</v>
      </c>
      <c r="Y1662" s="2" t="s">
        <v>38</v>
      </c>
      <c r="Z1662" s="2" t="s">
        <v>38</v>
      </c>
      <c r="AA1662" s="2" t="s">
        <v>38</v>
      </c>
      <c r="AB1662" s="2" t="s">
        <v>39</v>
      </c>
      <c r="AC1662" s="2" t="s">
        <v>38</v>
      </c>
      <c r="AD1662" s="2" t="s">
        <v>38</v>
      </c>
      <c r="AE1662" s="2" t="s">
        <v>38</v>
      </c>
    </row>
    <row r="1663" spans="1:31" ht="409.5">
      <c r="A1663" s="2">
        <v>2527785</v>
      </c>
      <c r="B1663" s="2">
        <f>HYPERLINK("https://platform.v2.vetology.net/cases/2527785/screening-report/18?type=pdf&amp;v=v6&amp;scorecard=1&amp;secret_key=BX%25IJ%24%2F65ieZ%29f6", 2527785)</f>
        <v>2527785</v>
      </c>
      <c r="C1663" s="2">
        <f>HYPERLINK("https://platform.v2.vetology.net/report/v/final/"&amp;2527785, 2527785)</f>
        <v>2527785</v>
      </c>
      <c r="D1663" s="2" t="s">
        <v>4709</v>
      </c>
      <c r="E1663" s="2" t="s">
        <v>4710</v>
      </c>
      <c r="F1663" s="2" t="s">
        <v>4711</v>
      </c>
      <c r="G1663" s="2" t="s">
        <v>135</v>
      </c>
      <c r="H1663" s="2" t="s">
        <v>129</v>
      </c>
      <c r="I1663" s="2" t="s">
        <v>44</v>
      </c>
      <c r="J1663" s="2" t="s">
        <v>106</v>
      </c>
      <c r="K1663" s="2" t="s">
        <v>38</v>
      </c>
      <c r="L1663" s="2" t="s">
        <v>38</v>
      </c>
      <c r="M1663" s="2" t="s">
        <v>39</v>
      </c>
      <c r="N1663" s="2" t="s">
        <v>38</v>
      </c>
      <c r="O1663" s="2" t="s">
        <v>38</v>
      </c>
      <c r="P1663" s="2" t="s">
        <v>38</v>
      </c>
      <c r="Q1663" s="2" t="s">
        <v>38</v>
      </c>
      <c r="R1663" s="2" t="s">
        <v>38</v>
      </c>
      <c r="S1663" s="2" t="s">
        <v>38</v>
      </c>
      <c r="T1663" s="2" t="s">
        <v>39</v>
      </c>
      <c r="U1663" s="2" t="s">
        <v>38</v>
      </c>
      <c r="V1663" s="2" t="s">
        <v>39</v>
      </c>
      <c r="W1663" s="2" t="s">
        <v>38</v>
      </c>
      <c r="X1663" s="2" t="s">
        <v>39</v>
      </c>
      <c r="Y1663" s="2" t="s">
        <v>38</v>
      </c>
      <c r="Z1663" s="2" t="s">
        <v>38</v>
      </c>
      <c r="AA1663" s="2" t="s">
        <v>38</v>
      </c>
      <c r="AB1663" s="2" t="s">
        <v>39</v>
      </c>
      <c r="AC1663" s="2" t="s">
        <v>38</v>
      </c>
      <c r="AD1663" s="2" t="s">
        <v>38</v>
      </c>
      <c r="AE1663" s="2" t="s">
        <v>38</v>
      </c>
    </row>
    <row r="1664" spans="1:31" ht="409.5">
      <c r="A1664" s="2">
        <v>2527576</v>
      </c>
      <c r="B1664" s="2">
        <f>HYPERLINK("https://platform.v2.vetology.net/cases/2527576/screening-report/18?type=pdf&amp;v=v6&amp;scorecard=1&amp;secret_key=BX%25IJ%24%2F65ieZ%29f6", 2527576)</f>
        <v>2527576</v>
      </c>
      <c r="C1664" s="2">
        <f>HYPERLINK("https://platform.v2.vetology.net/report/v/final/"&amp;2527576, 2527576)</f>
        <v>2527576</v>
      </c>
      <c r="D1664" s="2" t="s">
        <v>4712</v>
      </c>
      <c r="E1664" s="2" t="s">
        <v>850</v>
      </c>
      <c r="F1664" s="2"/>
      <c r="G1664" s="2" t="s">
        <v>150</v>
      </c>
      <c r="H1664" s="2" t="s">
        <v>4713</v>
      </c>
      <c r="I1664" s="2" t="s">
        <v>2873</v>
      </c>
      <c r="J1664" s="2" t="s">
        <v>2874</v>
      </c>
      <c r="K1664" s="2" t="s">
        <v>38</v>
      </c>
      <c r="L1664" s="2" t="s">
        <v>39</v>
      </c>
      <c r="M1664" s="2" t="s">
        <v>39</v>
      </c>
      <c r="N1664" s="2" t="s">
        <v>39</v>
      </c>
      <c r="O1664" s="2" t="s">
        <v>39</v>
      </c>
      <c r="P1664" s="2" t="s">
        <v>39</v>
      </c>
      <c r="Q1664" s="2" t="s">
        <v>39</v>
      </c>
      <c r="R1664" s="2" t="s">
        <v>38</v>
      </c>
      <c r="S1664" s="2" t="s">
        <v>39</v>
      </c>
      <c r="T1664" s="2" t="s">
        <v>39</v>
      </c>
      <c r="U1664" s="2" t="s">
        <v>39</v>
      </c>
      <c r="V1664" s="2" t="s">
        <v>39</v>
      </c>
      <c r="W1664" s="2" t="s">
        <v>38</v>
      </c>
      <c r="X1664" s="2" t="s">
        <v>39</v>
      </c>
      <c r="Y1664" s="2" t="s">
        <v>38</v>
      </c>
      <c r="Z1664" s="2" t="s">
        <v>39</v>
      </c>
      <c r="AA1664" s="2" t="s">
        <v>38</v>
      </c>
      <c r="AB1664" s="2" t="s">
        <v>39</v>
      </c>
      <c r="AC1664" s="2" t="s">
        <v>39</v>
      </c>
      <c r="AD1664" s="2" t="s">
        <v>38</v>
      </c>
      <c r="AE1664" s="2" t="s">
        <v>38</v>
      </c>
    </row>
    <row r="1665" spans="1:31" ht="409.5">
      <c r="A1665" s="2">
        <v>2527313</v>
      </c>
      <c r="B1665" s="2">
        <f>HYPERLINK("https://platform.v2.vetology.net/cases/2527313/screening-report/18?type=pdf&amp;v=v6&amp;scorecard=1&amp;secret_key=BX%25IJ%24%2F65ieZ%29f6", 2527313)</f>
        <v>2527313</v>
      </c>
      <c r="C1665" s="2">
        <f>HYPERLINK("https://platform.v2.vetology.net/report/v/final/"&amp;2527313, 2527313)</f>
        <v>2527313</v>
      </c>
      <c r="D1665" s="2" t="s">
        <v>3420</v>
      </c>
      <c r="E1665" s="2" t="s">
        <v>617</v>
      </c>
      <c r="F1665" s="2" t="s">
        <v>4714</v>
      </c>
      <c r="G1665" s="2" t="s">
        <v>135</v>
      </c>
      <c r="H1665" s="2" t="s">
        <v>3219</v>
      </c>
      <c r="I1665" s="2" t="s">
        <v>137</v>
      </c>
      <c r="J1665" s="2" t="s">
        <v>66</v>
      </c>
      <c r="K1665" s="2" t="s">
        <v>38</v>
      </c>
      <c r="L1665" s="2" t="s">
        <v>39</v>
      </c>
      <c r="M1665" s="2" t="s">
        <v>39</v>
      </c>
      <c r="N1665" s="2" t="s">
        <v>38</v>
      </c>
      <c r="O1665" s="2" t="s">
        <v>38</v>
      </c>
      <c r="P1665" s="2" t="s">
        <v>39</v>
      </c>
      <c r="Q1665" s="2" t="s">
        <v>38</v>
      </c>
      <c r="R1665" s="2" t="s">
        <v>38</v>
      </c>
      <c r="S1665" s="2" t="s">
        <v>39</v>
      </c>
      <c r="T1665" s="2" t="s">
        <v>39</v>
      </c>
      <c r="U1665" s="2" t="s">
        <v>38</v>
      </c>
      <c r="V1665" s="2" t="s">
        <v>39</v>
      </c>
      <c r="W1665" s="2" t="s">
        <v>38</v>
      </c>
      <c r="X1665" s="2" t="s">
        <v>39</v>
      </c>
      <c r="Y1665" s="2" t="s">
        <v>38</v>
      </c>
      <c r="Z1665" s="2" t="s">
        <v>38</v>
      </c>
      <c r="AA1665" s="2" t="s">
        <v>38</v>
      </c>
      <c r="AB1665" s="2" t="s">
        <v>39</v>
      </c>
      <c r="AC1665" s="2" t="s">
        <v>38</v>
      </c>
      <c r="AD1665" s="2" t="s">
        <v>38</v>
      </c>
      <c r="AE1665" s="2" t="s">
        <v>39</v>
      </c>
    </row>
    <row r="1666" spans="1:31" ht="409.5">
      <c r="A1666" s="2">
        <v>2527307</v>
      </c>
      <c r="B1666" s="2">
        <f>HYPERLINK("https://platform.v2.vetology.net/cases/2527307/screening-report/18?type=pdf&amp;v=v6&amp;scorecard=1&amp;secret_key=BX%25IJ%24%2F65ieZ%29f6", 2527307)</f>
        <v>2527307</v>
      </c>
      <c r="C1666" s="2">
        <f>HYPERLINK("https://platform.v2.vetology.net/report/v/final/"&amp;2527307, 2527307)</f>
        <v>2527307</v>
      </c>
      <c r="D1666" s="2" t="s">
        <v>4715</v>
      </c>
      <c r="E1666" s="2" t="s">
        <v>617</v>
      </c>
      <c r="F1666" s="2" t="s">
        <v>4716</v>
      </c>
      <c r="G1666" s="2" t="s">
        <v>135</v>
      </c>
      <c r="H1666" s="2" t="s">
        <v>2048</v>
      </c>
      <c r="I1666" s="2" t="s">
        <v>841</v>
      </c>
      <c r="J1666" s="2" t="s">
        <v>518</v>
      </c>
      <c r="K1666" s="2" t="s">
        <v>38</v>
      </c>
      <c r="L1666" s="2" t="s">
        <v>39</v>
      </c>
      <c r="M1666" s="2" t="s">
        <v>39</v>
      </c>
      <c r="N1666" s="2" t="s">
        <v>39</v>
      </c>
      <c r="O1666" s="2" t="s">
        <v>38</v>
      </c>
      <c r="P1666" s="2" t="s">
        <v>39</v>
      </c>
      <c r="Q1666" s="2" t="s">
        <v>38</v>
      </c>
      <c r="R1666" s="2" t="s">
        <v>38</v>
      </c>
      <c r="S1666" s="2" t="s">
        <v>38</v>
      </c>
      <c r="T1666" s="2" t="s">
        <v>38</v>
      </c>
      <c r="U1666" s="2" t="s">
        <v>39</v>
      </c>
      <c r="V1666" s="2" t="s">
        <v>38</v>
      </c>
      <c r="W1666" s="2" t="s">
        <v>38</v>
      </c>
      <c r="X1666" s="2" t="s">
        <v>38</v>
      </c>
      <c r="Y1666" s="2" t="s">
        <v>38</v>
      </c>
      <c r="Z1666" s="2" t="s">
        <v>39</v>
      </c>
      <c r="AA1666" s="2" t="s">
        <v>38</v>
      </c>
      <c r="AB1666" s="2" t="s">
        <v>39</v>
      </c>
      <c r="AC1666" s="2" t="s">
        <v>39</v>
      </c>
      <c r="AD1666" s="2" t="s">
        <v>38</v>
      </c>
      <c r="AE1666" s="2" t="s">
        <v>39</v>
      </c>
    </row>
    <row r="1667" spans="1:31" ht="409.5">
      <c r="A1667" s="2">
        <v>2527128</v>
      </c>
      <c r="B1667" s="2">
        <f>HYPERLINK("https://platform.v2.vetology.net/cases/2527128/screening-report/18?type=pdf&amp;v=v6&amp;scorecard=1&amp;secret_key=BX%25IJ%24%2F65ieZ%29f6", 2527128)</f>
        <v>2527128</v>
      </c>
      <c r="C1667" s="2">
        <f>HYPERLINK("https://platform.v2.vetology.net/report/v/final/"&amp;2527128, 2527128)</f>
        <v>2527128</v>
      </c>
      <c r="D1667" s="2" t="s">
        <v>4717</v>
      </c>
      <c r="E1667" s="2" t="s">
        <v>4718</v>
      </c>
      <c r="F1667" s="2" t="s">
        <v>1821</v>
      </c>
      <c r="G1667" s="2" t="s">
        <v>93</v>
      </c>
      <c r="H1667" s="2" t="s">
        <v>4719</v>
      </c>
      <c r="I1667" s="2" t="s">
        <v>1085</v>
      </c>
      <c r="J1667" s="2" t="s">
        <v>518</v>
      </c>
      <c r="K1667" s="2" t="s">
        <v>38</v>
      </c>
      <c r="L1667" s="2" t="s">
        <v>39</v>
      </c>
      <c r="M1667" s="2" t="s">
        <v>39</v>
      </c>
      <c r="N1667" s="2" t="s">
        <v>39</v>
      </c>
      <c r="O1667" s="2" t="s">
        <v>39</v>
      </c>
      <c r="P1667" s="2" t="s">
        <v>39</v>
      </c>
      <c r="Q1667" s="2" t="s">
        <v>38</v>
      </c>
      <c r="R1667" s="2" t="s">
        <v>39</v>
      </c>
      <c r="S1667" s="2" t="s">
        <v>39</v>
      </c>
      <c r="T1667" s="2" t="s">
        <v>39</v>
      </c>
      <c r="U1667" s="2" t="s">
        <v>39</v>
      </c>
      <c r="V1667" s="2" t="s">
        <v>39</v>
      </c>
      <c r="W1667" s="2" t="s">
        <v>39</v>
      </c>
      <c r="X1667" s="2" t="s">
        <v>39</v>
      </c>
      <c r="Y1667" s="2" t="s">
        <v>39</v>
      </c>
      <c r="Z1667" s="2" t="s">
        <v>39</v>
      </c>
      <c r="AA1667" s="2" t="s">
        <v>38</v>
      </c>
      <c r="AB1667" s="2" t="s">
        <v>39</v>
      </c>
      <c r="AC1667" s="2" t="s">
        <v>39</v>
      </c>
      <c r="AD1667" s="2" t="s">
        <v>38</v>
      </c>
      <c r="AE1667" s="2" t="s">
        <v>38</v>
      </c>
    </row>
    <row r="1668" spans="1:31" ht="409.5">
      <c r="A1668" s="2">
        <v>2527013</v>
      </c>
      <c r="B1668" s="2">
        <f>HYPERLINK("https://platform.v2.vetology.net/cases/2527013/screening-report/18?type=pdf&amp;v=v6&amp;scorecard=1&amp;secret_key=BX%25IJ%24%2F65ieZ%29f6", 2527013)</f>
        <v>2527013</v>
      </c>
      <c r="C1668" s="2">
        <f>HYPERLINK("https://platform.v2.vetology.net/report/v/final/"&amp;2527013, 2527013)</f>
        <v>2527013</v>
      </c>
      <c r="D1668" s="2" t="s">
        <v>4720</v>
      </c>
      <c r="E1668" s="2" t="s">
        <v>4721</v>
      </c>
      <c r="F1668" s="2" t="s">
        <v>4722</v>
      </c>
      <c r="G1668" s="2" t="s">
        <v>464</v>
      </c>
      <c r="H1668" s="2" t="s">
        <v>129</v>
      </c>
      <c r="I1668" s="2" t="s">
        <v>44</v>
      </c>
      <c r="J1668" s="2"/>
      <c r="K1668" s="2" t="s">
        <v>38</v>
      </c>
      <c r="L1668" s="2" t="s">
        <v>38</v>
      </c>
      <c r="M1668" s="2" t="s">
        <v>38</v>
      </c>
      <c r="N1668" s="2" t="s">
        <v>38</v>
      </c>
      <c r="O1668" s="2" t="s">
        <v>38</v>
      </c>
      <c r="P1668" s="2" t="s">
        <v>38</v>
      </c>
      <c r="Q1668" s="2" t="s">
        <v>38</v>
      </c>
      <c r="R1668" s="2" t="s">
        <v>38</v>
      </c>
      <c r="S1668" s="2" t="s">
        <v>38</v>
      </c>
      <c r="T1668" s="2" t="s">
        <v>39</v>
      </c>
      <c r="U1668" s="2" t="s">
        <v>38</v>
      </c>
      <c r="V1668" s="2" t="s">
        <v>39</v>
      </c>
      <c r="W1668" s="2" t="s">
        <v>38</v>
      </c>
      <c r="X1668" s="2" t="s">
        <v>38</v>
      </c>
      <c r="Y1668" s="2" t="s">
        <v>38</v>
      </c>
      <c r="Z1668" s="2" t="s">
        <v>38</v>
      </c>
      <c r="AA1668" s="2" t="s">
        <v>38</v>
      </c>
      <c r="AB1668" s="2" t="s">
        <v>38</v>
      </c>
      <c r="AC1668" s="2" t="s">
        <v>38</v>
      </c>
      <c r="AD1668" s="2" t="s">
        <v>38</v>
      </c>
      <c r="AE1668" s="2" t="s">
        <v>38</v>
      </c>
    </row>
    <row r="1669" spans="1:31" ht="409.5">
      <c r="A1669" s="2">
        <v>2525424</v>
      </c>
      <c r="B1669" s="2">
        <f>HYPERLINK("https://platform.v2.vetology.net/cases/2525424/screening-report/18?type=pdf&amp;v=v6&amp;scorecard=1&amp;secret_key=BX%25IJ%24%2F65ieZ%29f6", 2525424)</f>
        <v>2525424</v>
      </c>
      <c r="C1669" s="2">
        <f>HYPERLINK("https://platform.v2.vetology.net/report/v/final/"&amp;2525424, 2525424)</f>
        <v>2525424</v>
      </c>
      <c r="D1669" s="2" t="s">
        <v>4723</v>
      </c>
      <c r="E1669" s="2" t="s">
        <v>4724</v>
      </c>
      <c r="F1669" s="2" t="s">
        <v>4725</v>
      </c>
      <c r="G1669" s="2" t="s">
        <v>135</v>
      </c>
      <c r="H1669" s="2" t="s">
        <v>2742</v>
      </c>
      <c r="I1669" s="2" t="s">
        <v>89</v>
      </c>
      <c r="J1669" s="2" t="s">
        <v>66</v>
      </c>
      <c r="K1669" s="2" t="s">
        <v>38</v>
      </c>
      <c r="L1669" s="2" t="s">
        <v>39</v>
      </c>
      <c r="M1669" s="2" t="s">
        <v>39</v>
      </c>
      <c r="N1669" s="2" t="s">
        <v>38</v>
      </c>
      <c r="O1669" s="2" t="s">
        <v>39</v>
      </c>
      <c r="P1669" s="2" t="s">
        <v>38</v>
      </c>
      <c r="Q1669" s="2" t="s">
        <v>38</v>
      </c>
      <c r="R1669" s="2" t="s">
        <v>38</v>
      </c>
      <c r="S1669" s="2" t="s">
        <v>38</v>
      </c>
      <c r="T1669" s="2" t="s">
        <v>38</v>
      </c>
      <c r="U1669" s="2" t="s">
        <v>38</v>
      </c>
      <c r="V1669" s="2" t="s">
        <v>38</v>
      </c>
      <c r="W1669" s="2" t="s">
        <v>38</v>
      </c>
      <c r="X1669" s="2" t="s">
        <v>38</v>
      </c>
      <c r="Y1669" s="2" t="s">
        <v>38</v>
      </c>
      <c r="Z1669" s="2" t="s">
        <v>38</v>
      </c>
      <c r="AA1669" s="2" t="s">
        <v>38</v>
      </c>
      <c r="AB1669" s="2" t="s">
        <v>39</v>
      </c>
      <c r="AC1669" s="2" t="s">
        <v>38</v>
      </c>
      <c r="AD1669" s="2" t="s">
        <v>38</v>
      </c>
      <c r="AE1669" s="2" t="s">
        <v>39</v>
      </c>
    </row>
    <row r="1670" spans="1:31" ht="409.5">
      <c r="A1670" s="2">
        <v>2525302</v>
      </c>
      <c r="B1670" s="2">
        <f>HYPERLINK("https://platform.v2.vetology.net/cases/2525302/screening-report/18?type=pdf&amp;v=v6&amp;scorecard=1&amp;secret_key=BX%25IJ%24%2F65ieZ%29f6", 2525302)</f>
        <v>2525302</v>
      </c>
      <c r="C1670" s="2">
        <f>HYPERLINK("https://platform.v2.vetology.net/report/v/final/"&amp;2525302, 2525302)</f>
        <v>2525302</v>
      </c>
      <c r="D1670" s="2" t="s">
        <v>795</v>
      </c>
      <c r="E1670" s="2" t="s">
        <v>796</v>
      </c>
      <c r="F1670" s="2" t="s">
        <v>4726</v>
      </c>
      <c r="G1670" s="2" t="s">
        <v>135</v>
      </c>
      <c r="H1670" s="2" t="s">
        <v>71</v>
      </c>
      <c r="I1670" s="2" t="s">
        <v>44</v>
      </c>
      <c r="J1670" s="2" t="s">
        <v>106</v>
      </c>
      <c r="K1670" s="2" t="s">
        <v>38</v>
      </c>
      <c r="L1670" s="2" t="s">
        <v>38</v>
      </c>
      <c r="M1670" s="2" t="s">
        <v>39</v>
      </c>
      <c r="N1670" s="2" t="s">
        <v>38</v>
      </c>
      <c r="O1670" s="2" t="s">
        <v>38</v>
      </c>
      <c r="P1670" s="2" t="s">
        <v>38</v>
      </c>
      <c r="Q1670" s="2" t="s">
        <v>38</v>
      </c>
      <c r="R1670" s="2" t="s">
        <v>38</v>
      </c>
      <c r="S1670" s="2" t="s">
        <v>38</v>
      </c>
      <c r="T1670" s="2" t="s">
        <v>38</v>
      </c>
      <c r="U1670" s="2" t="s">
        <v>38</v>
      </c>
      <c r="V1670" s="2" t="s">
        <v>38</v>
      </c>
      <c r="W1670" s="2" t="s">
        <v>38</v>
      </c>
      <c r="X1670" s="2" t="s">
        <v>38</v>
      </c>
      <c r="Y1670" s="2" t="s">
        <v>38</v>
      </c>
      <c r="Z1670" s="2" t="s">
        <v>38</v>
      </c>
      <c r="AA1670" s="2" t="s">
        <v>38</v>
      </c>
      <c r="AB1670" s="2" t="s">
        <v>39</v>
      </c>
      <c r="AC1670" s="2" t="s">
        <v>38</v>
      </c>
      <c r="AD1670" s="2" t="s">
        <v>38</v>
      </c>
      <c r="AE1670" s="2" t="s">
        <v>38</v>
      </c>
    </row>
    <row r="1671" spans="1:31" ht="409.5">
      <c r="A1671" s="2">
        <v>2525117</v>
      </c>
      <c r="B1671" s="2">
        <f>HYPERLINK("https://platform.v2.vetology.net/cases/2525117/screening-report/18?type=pdf&amp;v=v6&amp;scorecard=1&amp;secret_key=BX%25IJ%24%2F65ieZ%29f6", 2525117)</f>
        <v>2525117</v>
      </c>
      <c r="C1671" s="2">
        <f>HYPERLINK("https://platform.v2.vetology.net/report/v/final/"&amp;2525117, 2525117)</f>
        <v>2525117</v>
      </c>
      <c r="D1671" s="2" t="s">
        <v>4727</v>
      </c>
      <c r="E1671" s="2" t="s">
        <v>4728</v>
      </c>
      <c r="F1671" s="2" t="s">
        <v>81</v>
      </c>
      <c r="G1671" s="2" t="s">
        <v>82</v>
      </c>
      <c r="H1671" s="2" t="s">
        <v>4729</v>
      </c>
      <c r="I1671" s="2" t="s">
        <v>137</v>
      </c>
      <c r="J1671" s="2" t="s">
        <v>66</v>
      </c>
      <c r="K1671" s="2" t="s">
        <v>38</v>
      </c>
      <c r="L1671" s="2" t="s">
        <v>39</v>
      </c>
      <c r="M1671" s="2" t="s">
        <v>39</v>
      </c>
      <c r="N1671" s="2" t="s">
        <v>38</v>
      </c>
      <c r="O1671" s="2" t="s">
        <v>39</v>
      </c>
      <c r="P1671" s="2" t="s">
        <v>39</v>
      </c>
      <c r="Q1671" s="2" t="s">
        <v>38</v>
      </c>
      <c r="R1671" s="2" t="s">
        <v>38</v>
      </c>
      <c r="S1671" s="2" t="s">
        <v>38</v>
      </c>
      <c r="T1671" s="2" t="s">
        <v>39</v>
      </c>
      <c r="U1671" s="2" t="s">
        <v>39</v>
      </c>
      <c r="V1671" s="2" t="s">
        <v>38</v>
      </c>
      <c r="W1671" s="2" t="s">
        <v>38</v>
      </c>
      <c r="X1671" s="2" t="s">
        <v>39</v>
      </c>
      <c r="Y1671" s="2" t="s">
        <v>38</v>
      </c>
      <c r="Z1671" s="2" t="s">
        <v>39</v>
      </c>
      <c r="AA1671" s="2" t="s">
        <v>38</v>
      </c>
      <c r="AB1671" s="2" t="s">
        <v>39</v>
      </c>
      <c r="AC1671" s="2" t="s">
        <v>39</v>
      </c>
      <c r="AD1671" s="2" t="s">
        <v>38</v>
      </c>
      <c r="AE1671" s="2" t="s">
        <v>39</v>
      </c>
    </row>
    <row r="1672" spans="1:31" ht="409.5">
      <c r="A1672" s="2">
        <v>2524877</v>
      </c>
      <c r="B1672" s="2">
        <f>HYPERLINK("https://platform.v2.vetology.net/cases/2524877/screening-report/18?type=pdf&amp;v=v6&amp;scorecard=1&amp;secret_key=BX%25IJ%24%2F65ieZ%29f6", 2524877)</f>
        <v>2524877</v>
      </c>
      <c r="C1672" s="2">
        <f>HYPERLINK("https://platform.v2.vetology.net/report/v/final/"&amp;2524877, 2524877)</f>
        <v>2524877</v>
      </c>
      <c r="D1672" s="2" t="s">
        <v>4730</v>
      </c>
      <c r="E1672" s="2" t="s">
        <v>4731</v>
      </c>
      <c r="F1672" s="2"/>
      <c r="G1672" s="2" t="s">
        <v>141</v>
      </c>
      <c r="H1672" s="2" t="s">
        <v>857</v>
      </c>
      <c r="I1672" s="2" t="s">
        <v>137</v>
      </c>
      <c r="J1672" s="2" t="s">
        <v>66</v>
      </c>
      <c r="K1672" s="2" t="s">
        <v>38</v>
      </c>
      <c r="L1672" s="2" t="s">
        <v>38</v>
      </c>
      <c r="M1672" s="2" t="s">
        <v>39</v>
      </c>
      <c r="N1672" s="2" t="s">
        <v>38</v>
      </c>
      <c r="O1672" s="2" t="s">
        <v>38</v>
      </c>
      <c r="P1672" s="2" t="s">
        <v>38</v>
      </c>
      <c r="Q1672" s="2" t="s">
        <v>38</v>
      </c>
      <c r="R1672" s="2" t="s">
        <v>38</v>
      </c>
      <c r="S1672" s="2" t="s">
        <v>38</v>
      </c>
      <c r="T1672" s="2" t="s">
        <v>39</v>
      </c>
      <c r="U1672" s="2" t="s">
        <v>38</v>
      </c>
      <c r="V1672" s="2" t="s">
        <v>39</v>
      </c>
      <c r="W1672" s="2" t="s">
        <v>38</v>
      </c>
      <c r="X1672" s="2" t="s">
        <v>39</v>
      </c>
      <c r="Y1672" s="2" t="s">
        <v>38</v>
      </c>
      <c r="Z1672" s="2" t="s">
        <v>38</v>
      </c>
      <c r="AA1672" s="2" t="s">
        <v>38</v>
      </c>
      <c r="AB1672" s="2" t="s">
        <v>39</v>
      </c>
      <c r="AC1672" s="2" t="s">
        <v>38</v>
      </c>
      <c r="AD1672" s="2" t="s">
        <v>38</v>
      </c>
      <c r="AE1672" s="2" t="s">
        <v>38</v>
      </c>
    </row>
    <row r="1673" spans="1:31" ht="409.5">
      <c r="A1673" s="2">
        <v>2524331</v>
      </c>
      <c r="B1673" s="2">
        <f>HYPERLINK("https://platform.v2.vetology.net/cases/2524331/screening-report/18?type=pdf&amp;v=v6&amp;scorecard=1&amp;secret_key=BX%25IJ%24%2F65ieZ%29f6", 2524331)</f>
        <v>2524331</v>
      </c>
      <c r="C1673" s="2">
        <f>HYPERLINK("https://platform.v2.vetology.net/report/v/final/"&amp;2524331, 2524331)</f>
        <v>2524331</v>
      </c>
      <c r="D1673" s="2" t="s">
        <v>4732</v>
      </c>
      <c r="E1673" s="2" t="s">
        <v>4733</v>
      </c>
      <c r="F1673" s="2" t="s">
        <v>81</v>
      </c>
      <c r="G1673" s="2" t="s">
        <v>150</v>
      </c>
      <c r="H1673" s="2" t="s">
        <v>4734</v>
      </c>
      <c r="I1673" s="2" t="s">
        <v>306</v>
      </c>
      <c r="J1673" s="2" t="s">
        <v>307</v>
      </c>
      <c r="K1673" s="2" t="s">
        <v>38</v>
      </c>
      <c r="L1673" s="2" t="s">
        <v>39</v>
      </c>
      <c r="M1673" s="2" t="s">
        <v>39</v>
      </c>
      <c r="N1673" s="2" t="s">
        <v>39</v>
      </c>
      <c r="O1673" s="2" t="s">
        <v>39</v>
      </c>
      <c r="P1673" s="2" t="s">
        <v>39</v>
      </c>
      <c r="Q1673" s="2" t="s">
        <v>38</v>
      </c>
      <c r="R1673" s="2" t="s">
        <v>38</v>
      </c>
      <c r="S1673" s="2" t="s">
        <v>38</v>
      </c>
      <c r="T1673" s="2" t="s">
        <v>38</v>
      </c>
      <c r="U1673" s="2" t="s">
        <v>38</v>
      </c>
      <c r="V1673" s="2" t="s">
        <v>38</v>
      </c>
      <c r="W1673" s="2" t="s">
        <v>38</v>
      </c>
      <c r="X1673" s="2" t="s">
        <v>38</v>
      </c>
      <c r="Y1673" s="2" t="s">
        <v>38</v>
      </c>
      <c r="Z1673" s="2" t="s">
        <v>39</v>
      </c>
      <c r="AA1673" s="2" t="s">
        <v>38</v>
      </c>
      <c r="AB1673" s="2" t="s">
        <v>39</v>
      </c>
      <c r="AC1673" s="2" t="s">
        <v>38</v>
      </c>
      <c r="AD1673" s="2" t="s">
        <v>38</v>
      </c>
      <c r="AE1673" s="2" t="s">
        <v>38</v>
      </c>
    </row>
    <row r="1674" spans="1:31" ht="409.5">
      <c r="A1674" s="2">
        <v>2524326</v>
      </c>
      <c r="B1674" s="2">
        <f>HYPERLINK("https://platform.v2.vetology.net/cases/2524326/screening-report/18?type=pdf&amp;v=v6&amp;scorecard=1&amp;secret_key=BX%25IJ%24%2F65ieZ%29f6", 2524326)</f>
        <v>2524326</v>
      </c>
      <c r="C1674" s="2">
        <f>HYPERLINK("https://platform.v2.vetology.net/report/v/final/"&amp;2524326, 2524326)</f>
        <v>2524326</v>
      </c>
      <c r="D1674" s="2" t="s">
        <v>4735</v>
      </c>
      <c r="E1674" s="2" t="s">
        <v>4736</v>
      </c>
      <c r="F1674" s="2" t="s">
        <v>81</v>
      </c>
      <c r="G1674" s="2" t="s">
        <v>268</v>
      </c>
      <c r="H1674" s="2" t="s">
        <v>71</v>
      </c>
      <c r="I1674" s="2" t="s">
        <v>44</v>
      </c>
      <c r="J1674" s="2" t="s">
        <v>106</v>
      </c>
      <c r="K1674" s="2" t="s">
        <v>38</v>
      </c>
      <c r="L1674" s="2" t="s">
        <v>38</v>
      </c>
      <c r="M1674" s="2" t="s">
        <v>38</v>
      </c>
      <c r="N1674" s="2" t="s">
        <v>38</v>
      </c>
      <c r="O1674" s="2" t="s">
        <v>38</v>
      </c>
      <c r="P1674" s="2" t="s">
        <v>38</v>
      </c>
      <c r="Q1674" s="2" t="s">
        <v>38</v>
      </c>
      <c r="R1674" s="2" t="s">
        <v>38</v>
      </c>
      <c r="S1674" s="2" t="s">
        <v>38</v>
      </c>
      <c r="T1674" s="2" t="s">
        <v>39</v>
      </c>
      <c r="U1674" s="2" t="s">
        <v>38</v>
      </c>
      <c r="V1674" s="2" t="s">
        <v>38</v>
      </c>
      <c r="W1674" s="2" t="s">
        <v>38</v>
      </c>
      <c r="X1674" s="2" t="s">
        <v>39</v>
      </c>
      <c r="Y1674" s="2" t="s">
        <v>38</v>
      </c>
      <c r="Z1674" s="2" t="s">
        <v>38</v>
      </c>
      <c r="AA1674" s="2" t="s">
        <v>38</v>
      </c>
      <c r="AB1674" s="2" t="s">
        <v>38</v>
      </c>
      <c r="AC1674" s="2" t="s">
        <v>38</v>
      </c>
      <c r="AD1674" s="2" t="s">
        <v>38</v>
      </c>
      <c r="AE1674" s="2" t="s">
        <v>38</v>
      </c>
    </row>
    <row r="1675" spans="1:31" ht="409.5">
      <c r="A1675" s="2">
        <v>2524211</v>
      </c>
      <c r="B1675" s="2">
        <f>HYPERLINK("https://platform.v2.vetology.net/cases/2524211/screening-report/18?type=pdf&amp;v=v6&amp;scorecard=1&amp;secret_key=BX%25IJ%24%2F65ieZ%29f6", 2524211)</f>
        <v>2524211</v>
      </c>
      <c r="C1675" s="2">
        <f>HYPERLINK("https://platform.v2.vetology.net/report/v/final/"&amp;2524211, 2524211)</f>
        <v>2524211</v>
      </c>
      <c r="D1675" s="2" t="s">
        <v>4737</v>
      </c>
      <c r="E1675" s="2" t="s">
        <v>4738</v>
      </c>
      <c r="F1675" s="2" t="s">
        <v>81</v>
      </c>
      <c r="G1675" s="2" t="s">
        <v>268</v>
      </c>
      <c r="H1675" s="2" t="s">
        <v>129</v>
      </c>
      <c r="I1675" s="2" t="s">
        <v>44</v>
      </c>
      <c r="J1675" s="2"/>
      <c r="K1675" s="2" t="s">
        <v>38</v>
      </c>
      <c r="L1675" s="2" t="s">
        <v>39</v>
      </c>
      <c r="M1675" s="2" t="s">
        <v>38</v>
      </c>
      <c r="N1675" s="2" t="s">
        <v>38</v>
      </c>
      <c r="O1675" s="2" t="s">
        <v>38</v>
      </c>
      <c r="P1675" s="2" t="s">
        <v>38</v>
      </c>
      <c r="Q1675" s="2" t="s">
        <v>38</v>
      </c>
      <c r="R1675" s="2" t="s">
        <v>38</v>
      </c>
      <c r="S1675" s="2" t="s">
        <v>38</v>
      </c>
      <c r="T1675" s="2" t="s">
        <v>39</v>
      </c>
      <c r="U1675" s="2" t="s">
        <v>38</v>
      </c>
      <c r="V1675" s="2" t="s">
        <v>39</v>
      </c>
      <c r="W1675" s="2" t="s">
        <v>38</v>
      </c>
      <c r="X1675" s="2" t="s">
        <v>39</v>
      </c>
      <c r="Y1675" s="2" t="s">
        <v>38</v>
      </c>
      <c r="Z1675" s="2" t="s">
        <v>38</v>
      </c>
      <c r="AA1675" s="2" t="s">
        <v>38</v>
      </c>
      <c r="AB1675" s="2" t="s">
        <v>38</v>
      </c>
      <c r="AC1675" s="2" t="s">
        <v>38</v>
      </c>
      <c r="AD1675" s="2" t="s">
        <v>38</v>
      </c>
      <c r="AE1675" s="2" t="s">
        <v>38</v>
      </c>
    </row>
    <row r="1676" spans="1:31" ht="409.5">
      <c r="A1676" s="2">
        <v>2523534</v>
      </c>
      <c r="B1676" s="2">
        <f>HYPERLINK("https://platform.v2.vetology.net/cases/2523534/screening-report/18?type=pdf&amp;v=v6&amp;scorecard=1&amp;secret_key=BX%25IJ%24%2F65ieZ%29f6", 2523534)</f>
        <v>2523534</v>
      </c>
      <c r="C1676" s="2">
        <f>HYPERLINK("https://platform.v2.vetology.net/report/v/final/"&amp;2523534, 2523534)</f>
        <v>2523534</v>
      </c>
      <c r="D1676" s="2" t="s">
        <v>4739</v>
      </c>
      <c r="E1676" s="2" t="s">
        <v>4740</v>
      </c>
      <c r="F1676" s="2" t="s">
        <v>81</v>
      </c>
      <c r="G1676" s="2" t="s">
        <v>268</v>
      </c>
      <c r="H1676" s="2" t="s">
        <v>180</v>
      </c>
      <c r="I1676" s="2" t="s">
        <v>124</v>
      </c>
      <c r="J1676" s="2" t="s">
        <v>125</v>
      </c>
      <c r="K1676" s="2" t="s">
        <v>38</v>
      </c>
      <c r="L1676" s="2" t="s">
        <v>38</v>
      </c>
      <c r="M1676" s="2" t="s">
        <v>39</v>
      </c>
      <c r="N1676" s="2" t="s">
        <v>38</v>
      </c>
      <c r="O1676" s="2" t="s">
        <v>38</v>
      </c>
      <c r="P1676" s="2" t="s">
        <v>38</v>
      </c>
      <c r="Q1676" s="2" t="s">
        <v>38</v>
      </c>
      <c r="R1676" s="2" t="s">
        <v>38</v>
      </c>
      <c r="S1676" s="2" t="s">
        <v>38</v>
      </c>
      <c r="T1676" s="2" t="s">
        <v>38</v>
      </c>
      <c r="U1676" s="2" t="s">
        <v>38</v>
      </c>
      <c r="V1676" s="2" t="s">
        <v>38</v>
      </c>
      <c r="W1676" s="2" t="s">
        <v>38</v>
      </c>
      <c r="X1676" s="2" t="s">
        <v>38</v>
      </c>
      <c r="Y1676" s="2" t="s">
        <v>38</v>
      </c>
      <c r="Z1676" s="2" t="s">
        <v>38</v>
      </c>
      <c r="AA1676" s="2" t="s">
        <v>38</v>
      </c>
      <c r="AB1676" s="2" t="s">
        <v>38</v>
      </c>
      <c r="AC1676" s="2" t="s">
        <v>38</v>
      </c>
      <c r="AD1676" s="2" t="s">
        <v>38</v>
      </c>
      <c r="AE1676" s="2" t="s">
        <v>38</v>
      </c>
    </row>
    <row r="1677" spans="1:31" ht="409.5">
      <c r="A1677" s="2">
        <v>2523504</v>
      </c>
      <c r="B1677" s="2">
        <f>HYPERLINK("https://platform.v2.vetology.net/cases/2523504/screening-report/18?type=pdf&amp;v=v6&amp;scorecard=1&amp;secret_key=BX%25IJ%24%2F65ieZ%29f6", 2523504)</f>
        <v>2523504</v>
      </c>
      <c r="C1677" s="2">
        <f>HYPERLINK("https://platform.v2.vetology.net/report/v/final/"&amp;2523504, 2523504)</f>
        <v>2523504</v>
      </c>
      <c r="D1677" s="2" t="s">
        <v>4741</v>
      </c>
      <c r="E1677" s="2" t="s">
        <v>4742</v>
      </c>
      <c r="F1677" s="2"/>
      <c r="G1677" s="2" t="s">
        <v>141</v>
      </c>
      <c r="H1677" s="2" t="s">
        <v>1162</v>
      </c>
      <c r="I1677" s="2" t="s">
        <v>190</v>
      </c>
      <c r="J1677" s="2" t="s">
        <v>112</v>
      </c>
      <c r="K1677" s="2" t="s">
        <v>39</v>
      </c>
      <c r="L1677" s="2" t="s">
        <v>39</v>
      </c>
      <c r="M1677" s="2" t="s">
        <v>39</v>
      </c>
      <c r="N1677" s="2" t="s">
        <v>39</v>
      </c>
      <c r="O1677" s="2" t="s">
        <v>39</v>
      </c>
      <c r="P1677" s="2" t="s">
        <v>39</v>
      </c>
      <c r="Q1677" s="2" t="s">
        <v>39</v>
      </c>
      <c r="R1677" s="2" t="s">
        <v>39</v>
      </c>
      <c r="S1677" s="2" t="s">
        <v>39</v>
      </c>
      <c r="T1677" s="2" t="s">
        <v>39</v>
      </c>
      <c r="U1677" s="2" t="s">
        <v>39</v>
      </c>
      <c r="V1677" s="2" t="s">
        <v>39</v>
      </c>
      <c r="W1677" s="2" t="s">
        <v>39</v>
      </c>
      <c r="X1677" s="2" t="s">
        <v>39</v>
      </c>
      <c r="Y1677" s="2" t="s">
        <v>39</v>
      </c>
      <c r="Z1677" s="2" t="s">
        <v>39</v>
      </c>
      <c r="AA1677" s="2" t="s">
        <v>39</v>
      </c>
      <c r="AB1677" s="2" t="s">
        <v>39</v>
      </c>
      <c r="AC1677" s="2" t="s">
        <v>39</v>
      </c>
      <c r="AD1677" s="2" t="s">
        <v>39</v>
      </c>
      <c r="AE1677" s="2" t="s">
        <v>39</v>
      </c>
    </row>
    <row r="1678" spans="1:31" ht="409.5">
      <c r="A1678" s="2">
        <v>2523355</v>
      </c>
      <c r="B1678" s="2">
        <f>HYPERLINK("https://platform.v2.vetology.net/cases/2523355/screening-report/18?type=pdf&amp;v=v6&amp;scorecard=1&amp;secret_key=BX%25IJ%24%2F65ieZ%29f6", 2523355)</f>
        <v>2523355</v>
      </c>
      <c r="C1678" s="2">
        <f>HYPERLINK("https://platform.v2.vetology.net/report/v/final/"&amp;2523355, 2523355)</f>
        <v>2523355</v>
      </c>
      <c r="D1678" s="2" t="s">
        <v>4743</v>
      </c>
      <c r="E1678" s="2" t="s">
        <v>4744</v>
      </c>
      <c r="F1678" s="2" t="s">
        <v>81</v>
      </c>
      <c r="G1678" s="2" t="s">
        <v>268</v>
      </c>
      <c r="H1678" s="2" t="s">
        <v>54</v>
      </c>
      <c r="I1678" s="2" t="s">
        <v>199</v>
      </c>
      <c r="J1678" s="2"/>
      <c r="K1678" s="2" t="s">
        <v>38</v>
      </c>
      <c r="L1678" s="2" t="s">
        <v>39</v>
      </c>
      <c r="M1678" s="2" t="s">
        <v>38</v>
      </c>
      <c r="N1678" s="2" t="s">
        <v>38</v>
      </c>
      <c r="O1678" s="2" t="s">
        <v>38</v>
      </c>
      <c r="P1678" s="2" t="s">
        <v>38</v>
      </c>
      <c r="Q1678" s="2" t="s">
        <v>38</v>
      </c>
      <c r="R1678" s="2" t="s">
        <v>38</v>
      </c>
      <c r="S1678" s="2" t="s">
        <v>38</v>
      </c>
      <c r="T1678" s="2" t="s">
        <v>38</v>
      </c>
      <c r="U1678" s="2" t="s">
        <v>38</v>
      </c>
      <c r="V1678" s="2" t="s">
        <v>38</v>
      </c>
      <c r="W1678" s="2" t="s">
        <v>38</v>
      </c>
      <c r="X1678" s="2" t="s">
        <v>38</v>
      </c>
      <c r="Y1678" s="2" t="s">
        <v>38</v>
      </c>
      <c r="Z1678" s="2" t="s">
        <v>38</v>
      </c>
      <c r="AA1678" s="2" t="s">
        <v>38</v>
      </c>
      <c r="AB1678" s="2" t="s">
        <v>38</v>
      </c>
      <c r="AC1678" s="2" t="s">
        <v>38</v>
      </c>
      <c r="AD1678" s="2" t="s">
        <v>38</v>
      </c>
      <c r="AE1678" s="2" t="s">
        <v>38</v>
      </c>
    </row>
    <row r="1679" spans="1:31" ht="409.5">
      <c r="A1679" s="2">
        <v>2522821</v>
      </c>
      <c r="B1679" s="2">
        <f>HYPERLINK("https://platform.v2.vetology.net/cases/2522821/screening-report/18?type=pdf&amp;v=v6&amp;scorecard=1&amp;secret_key=BX%25IJ%24%2F65ieZ%29f6", 2522821)</f>
        <v>2522821</v>
      </c>
      <c r="C1679" s="2">
        <f>HYPERLINK("https://platform.v2.vetology.net/report/v/final/"&amp;2522821, 2522821)</f>
        <v>2522821</v>
      </c>
      <c r="D1679" s="2" t="s">
        <v>4745</v>
      </c>
      <c r="E1679" s="2" t="s">
        <v>4746</v>
      </c>
      <c r="F1679" s="2" t="s">
        <v>4747</v>
      </c>
      <c r="G1679" s="2" t="s">
        <v>268</v>
      </c>
      <c r="H1679" s="2" t="s">
        <v>43</v>
      </c>
      <c r="I1679" s="2" t="s">
        <v>44</v>
      </c>
      <c r="J1679" s="2"/>
      <c r="K1679" s="2" t="s">
        <v>38</v>
      </c>
      <c r="L1679" s="2" t="s">
        <v>39</v>
      </c>
      <c r="M1679" s="2" t="s">
        <v>38</v>
      </c>
      <c r="N1679" s="2" t="s">
        <v>38</v>
      </c>
      <c r="O1679" s="2" t="s">
        <v>38</v>
      </c>
      <c r="P1679" s="2" t="s">
        <v>38</v>
      </c>
      <c r="Q1679" s="2" t="s">
        <v>38</v>
      </c>
      <c r="R1679" s="2" t="s">
        <v>38</v>
      </c>
      <c r="S1679" s="2" t="s">
        <v>38</v>
      </c>
      <c r="T1679" s="2" t="s">
        <v>39</v>
      </c>
      <c r="U1679" s="2" t="s">
        <v>38</v>
      </c>
      <c r="V1679" s="2" t="s">
        <v>38</v>
      </c>
      <c r="W1679" s="2" t="s">
        <v>38</v>
      </c>
      <c r="X1679" s="2" t="s">
        <v>38</v>
      </c>
      <c r="Y1679" s="2" t="s">
        <v>38</v>
      </c>
      <c r="Z1679" s="2" t="s">
        <v>38</v>
      </c>
      <c r="AA1679" s="2" t="s">
        <v>38</v>
      </c>
      <c r="AB1679" s="2" t="s">
        <v>38</v>
      </c>
      <c r="AC1679" s="2" t="s">
        <v>38</v>
      </c>
      <c r="AD1679" s="2" t="s">
        <v>38</v>
      </c>
      <c r="AE1679" s="2" t="s">
        <v>38</v>
      </c>
    </row>
    <row r="1680" spans="1:31" ht="409.5">
      <c r="A1680" s="2">
        <v>2522740</v>
      </c>
      <c r="B1680" s="2">
        <f>HYPERLINK("https://platform.v2.vetology.net/cases/2522740/screening-report/18?type=pdf&amp;v=v6&amp;scorecard=1&amp;secret_key=BX%25IJ%24%2F65ieZ%29f6", 2522740)</f>
        <v>2522740</v>
      </c>
      <c r="C1680" s="2">
        <f>HYPERLINK("https://platform.v2.vetology.net/report/v/final/"&amp;2522740, 2522740)</f>
        <v>2522740</v>
      </c>
      <c r="D1680" s="2" t="s">
        <v>4748</v>
      </c>
      <c r="E1680" s="2" t="s">
        <v>4749</v>
      </c>
      <c r="F1680" s="2" t="s">
        <v>4750</v>
      </c>
      <c r="G1680" s="2" t="s">
        <v>58</v>
      </c>
      <c r="H1680" s="2" t="s">
        <v>356</v>
      </c>
      <c r="I1680" s="2" t="s">
        <v>214</v>
      </c>
      <c r="J1680" s="2" t="s">
        <v>50</v>
      </c>
      <c r="K1680" s="2" t="s">
        <v>38</v>
      </c>
      <c r="L1680" s="2" t="s">
        <v>38</v>
      </c>
      <c r="M1680" s="2" t="s">
        <v>38</v>
      </c>
      <c r="N1680" s="2" t="s">
        <v>38</v>
      </c>
      <c r="O1680" s="2" t="s">
        <v>39</v>
      </c>
      <c r="P1680" s="2" t="s">
        <v>38</v>
      </c>
      <c r="Q1680" s="2" t="s">
        <v>38</v>
      </c>
      <c r="R1680" s="2" t="s">
        <v>38</v>
      </c>
      <c r="S1680" s="2" t="s">
        <v>38</v>
      </c>
      <c r="T1680" s="2" t="s">
        <v>38</v>
      </c>
      <c r="U1680" s="2" t="s">
        <v>39</v>
      </c>
      <c r="V1680" s="2" t="s">
        <v>38</v>
      </c>
      <c r="W1680" s="2" t="s">
        <v>38</v>
      </c>
      <c r="X1680" s="2" t="s">
        <v>38</v>
      </c>
      <c r="Y1680" s="2" t="s">
        <v>38</v>
      </c>
      <c r="Z1680" s="2" t="s">
        <v>39</v>
      </c>
      <c r="AA1680" s="2" t="s">
        <v>38</v>
      </c>
      <c r="AB1680" s="2" t="s">
        <v>38</v>
      </c>
      <c r="AC1680" s="2" t="s">
        <v>38</v>
      </c>
      <c r="AD1680" s="2" t="s">
        <v>38</v>
      </c>
      <c r="AE1680" s="2" t="s">
        <v>38</v>
      </c>
    </row>
    <row r="1681" spans="1:31" ht="409.5">
      <c r="A1681" s="2">
        <v>2522612</v>
      </c>
      <c r="B1681" s="2">
        <f>HYPERLINK("https://platform.v2.vetology.net/cases/2522612/screening-report/18?type=pdf&amp;v=v6&amp;scorecard=1&amp;secret_key=BX%25IJ%24%2F65ieZ%29f6", 2522612)</f>
        <v>2522612</v>
      </c>
      <c r="C1681" s="2">
        <f>HYPERLINK("https://platform.v2.vetology.net/report/v/final/"&amp;2522612, 2522612)</f>
        <v>2522612</v>
      </c>
      <c r="D1681" s="2" t="s">
        <v>4751</v>
      </c>
      <c r="E1681" s="2" t="s">
        <v>4752</v>
      </c>
      <c r="F1681" s="2" t="s">
        <v>81</v>
      </c>
      <c r="G1681" s="2" t="s">
        <v>150</v>
      </c>
      <c r="H1681" s="2" t="s">
        <v>502</v>
      </c>
      <c r="I1681" s="2" t="s">
        <v>503</v>
      </c>
      <c r="J1681" s="2" t="s">
        <v>66</v>
      </c>
      <c r="K1681" s="2" t="s">
        <v>38</v>
      </c>
      <c r="L1681" s="2" t="s">
        <v>39</v>
      </c>
      <c r="M1681" s="2" t="s">
        <v>39</v>
      </c>
      <c r="N1681" s="2" t="s">
        <v>39</v>
      </c>
      <c r="O1681" s="2" t="s">
        <v>38</v>
      </c>
      <c r="P1681" s="2" t="s">
        <v>39</v>
      </c>
      <c r="Q1681" s="2" t="s">
        <v>39</v>
      </c>
      <c r="R1681" s="2" t="s">
        <v>38</v>
      </c>
      <c r="S1681" s="2" t="s">
        <v>38</v>
      </c>
      <c r="T1681" s="2" t="s">
        <v>38</v>
      </c>
      <c r="U1681" s="2" t="s">
        <v>39</v>
      </c>
      <c r="V1681" s="2" t="s">
        <v>38</v>
      </c>
      <c r="W1681" s="2" t="s">
        <v>38</v>
      </c>
      <c r="X1681" s="2" t="s">
        <v>38</v>
      </c>
      <c r="Y1681" s="2" t="s">
        <v>39</v>
      </c>
      <c r="Z1681" s="2" t="s">
        <v>38</v>
      </c>
      <c r="AA1681" s="2" t="s">
        <v>38</v>
      </c>
      <c r="AB1681" s="2" t="s">
        <v>39</v>
      </c>
      <c r="AC1681" s="2" t="s">
        <v>39</v>
      </c>
      <c r="AD1681" s="2" t="s">
        <v>38</v>
      </c>
      <c r="AE1681" s="2" t="s">
        <v>39</v>
      </c>
    </row>
    <row r="1682" spans="1:31" ht="409.5">
      <c r="A1682" s="2">
        <v>2522303</v>
      </c>
      <c r="B1682" s="2">
        <f>HYPERLINK("https://platform.v2.vetology.net/cases/2522303/screening-report/18?type=pdf&amp;v=v6&amp;scorecard=1&amp;secret_key=BX%25IJ%24%2F65ieZ%29f6", 2522303)</f>
        <v>2522303</v>
      </c>
      <c r="C1682" s="2">
        <f>HYPERLINK("https://platform.v2.vetology.net/report/v/final/"&amp;2522303, 2522303)</f>
        <v>2522303</v>
      </c>
      <c r="D1682" s="2" t="s">
        <v>4753</v>
      </c>
      <c r="E1682" s="2" t="s">
        <v>4754</v>
      </c>
      <c r="F1682" s="2"/>
      <c r="G1682" s="2" t="s">
        <v>141</v>
      </c>
      <c r="H1682" s="2" t="s">
        <v>54</v>
      </c>
      <c r="I1682" s="2" t="s">
        <v>44</v>
      </c>
      <c r="J1682" s="2"/>
      <c r="K1682" s="2" t="s">
        <v>38</v>
      </c>
      <c r="L1682" s="2" t="s">
        <v>38</v>
      </c>
      <c r="M1682" s="2" t="s">
        <v>38</v>
      </c>
      <c r="N1682" s="2" t="s">
        <v>38</v>
      </c>
      <c r="O1682" s="2" t="s">
        <v>38</v>
      </c>
      <c r="P1682" s="2" t="s">
        <v>38</v>
      </c>
      <c r="Q1682" s="2" t="s">
        <v>38</v>
      </c>
      <c r="R1682" s="2" t="s">
        <v>38</v>
      </c>
      <c r="S1682" s="2" t="s">
        <v>38</v>
      </c>
      <c r="T1682" s="2" t="s">
        <v>39</v>
      </c>
      <c r="U1682" s="2" t="s">
        <v>38</v>
      </c>
      <c r="V1682" s="2" t="s">
        <v>38</v>
      </c>
      <c r="W1682" s="2" t="s">
        <v>38</v>
      </c>
      <c r="X1682" s="2" t="s">
        <v>38</v>
      </c>
      <c r="Y1682" s="2" t="s">
        <v>38</v>
      </c>
      <c r="Z1682" s="2" t="s">
        <v>38</v>
      </c>
      <c r="AA1682" s="2" t="s">
        <v>38</v>
      </c>
      <c r="AB1682" s="2" t="s">
        <v>38</v>
      </c>
      <c r="AC1682" s="2" t="s">
        <v>38</v>
      </c>
      <c r="AD1682" s="2" t="s">
        <v>38</v>
      </c>
      <c r="AE1682" s="2" t="s">
        <v>38</v>
      </c>
    </row>
    <row r="1683" spans="1:31" ht="409.5">
      <c r="A1683" s="2">
        <v>2522130</v>
      </c>
      <c r="B1683" s="2">
        <f>HYPERLINK("https://platform.v2.vetology.net/cases/2522130/screening-report/18?type=pdf&amp;v=v6&amp;scorecard=1&amp;secret_key=BX%25IJ%24%2F65ieZ%29f6", 2522130)</f>
        <v>2522130</v>
      </c>
      <c r="C1683" s="2">
        <f>HYPERLINK("https://platform.v2.vetology.net/report/v/final/"&amp;2522130, 2522130)</f>
        <v>2522130</v>
      </c>
      <c r="D1683" s="2" t="s">
        <v>4755</v>
      </c>
      <c r="E1683" s="2" t="s">
        <v>4756</v>
      </c>
      <c r="F1683" s="2" t="s">
        <v>81</v>
      </c>
      <c r="G1683" s="2" t="s">
        <v>82</v>
      </c>
      <c r="H1683" s="2" t="s">
        <v>162</v>
      </c>
      <c r="I1683" s="2" t="s">
        <v>124</v>
      </c>
      <c r="J1683" s="2" t="s">
        <v>125</v>
      </c>
      <c r="K1683" s="2" t="s">
        <v>38</v>
      </c>
      <c r="L1683" s="2" t="s">
        <v>38</v>
      </c>
      <c r="M1683" s="2" t="s">
        <v>39</v>
      </c>
      <c r="N1683" s="2" t="s">
        <v>38</v>
      </c>
      <c r="O1683" s="2" t="s">
        <v>38</v>
      </c>
      <c r="P1683" s="2" t="s">
        <v>38</v>
      </c>
      <c r="Q1683" s="2" t="s">
        <v>38</v>
      </c>
      <c r="R1683" s="2" t="s">
        <v>38</v>
      </c>
      <c r="S1683" s="2" t="s">
        <v>39</v>
      </c>
      <c r="T1683" s="2" t="s">
        <v>39</v>
      </c>
      <c r="U1683" s="2" t="s">
        <v>38</v>
      </c>
      <c r="V1683" s="2" t="s">
        <v>39</v>
      </c>
      <c r="W1683" s="2" t="s">
        <v>38</v>
      </c>
      <c r="X1683" s="2" t="s">
        <v>39</v>
      </c>
      <c r="Y1683" s="2" t="s">
        <v>38</v>
      </c>
      <c r="Z1683" s="2" t="s">
        <v>39</v>
      </c>
      <c r="AA1683" s="2" t="s">
        <v>38</v>
      </c>
      <c r="AB1683" s="2" t="s">
        <v>38</v>
      </c>
      <c r="AC1683" s="2" t="s">
        <v>38</v>
      </c>
      <c r="AD1683" s="2" t="s">
        <v>38</v>
      </c>
      <c r="AE1683" s="2" t="s">
        <v>38</v>
      </c>
    </row>
    <row r="1684" spans="1:31" ht="409.5">
      <c r="A1684" s="2">
        <v>2522064</v>
      </c>
      <c r="B1684" s="2">
        <f>HYPERLINK("https://platform.v2.vetology.net/cases/2522064/screening-report/18?type=pdf&amp;v=v6&amp;scorecard=1&amp;secret_key=BX%25IJ%24%2F65ieZ%29f6", 2522064)</f>
        <v>2522064</v>
      </c>
      <c r="C1684" s="2">
        <f>HYPERLINK("https://platform.v2.vetology.net/report/v/final/"&amp;2522064, 2522064)</f>
        <v>2522064</v>
      </c>
      <c r="D1684" s="2" t="s">
        <v>4757</v>
      </c>
      <c r="E1684" s="2" t="s">
        <v>4758</v>
      </c>
      <c r="F1684" s="2" t="s">
        <v>4759</v>
      </c>
      <c r="G1684" s="2" t="s">
        <v>268</v>
      </c>
      <c r="H1684" s="2" t="s">
        <v>4760</v>
      </c>
      <c r="I1684" s="2" t="s">
        <v>36</v>
      </c>
      <c r="J1684" s="2" t="s">
        <v>37</v>
      </c>
      <c r="K1684" s="2" t="s">
        <v>38</v>
      </c>
      <c r="L1684" s="2" t="s">
        <v>38</v>
      </c>
      <c r="M1684" s="2" t="s">
        <v>39</v>
      </c>
      <c r="N1684" s="2" t="s">
        <v>38</v>
      </c>
      <c r="O1684" s="2" t="s">
        <v>38</v>
      </c>
      <c r="P1684" s="2" t="s">
        <v>38</v>
      </c>
      <c r="Q1684" s="2" t="s">
        <v>38</v>
      </c>
      <c r="R1684" s="2" t="s">
        <v>38</v>
      </c>
      <c r="S1684" s="2" t="s">
        <v>38</v>
      </c>
      <c r="T1684" s="2" t="s">
        <v>39</v>
      </c>
      <c r="U1684" s="2" t="s">
        <v>38</v>
      </c>
      <c r="V1684" s="2" t="s">
        <v>39</v>
      </c>
      <c r="W1684" s="2" t="s">
        <v>38</v>
      </c>
      <c r="X1684" s="2" t="s">
        <v>38</v>
      </c>
      <c r="Y1684" s="2" t="s">
        <v>38</v>
      </c>
      <c r="Z1684" s="2" t="s">
        <v>38</v>
      </c>
      <c r="AA1684" s="2" t="s">
        <v>38</v>
      </c>
      <c r="AB1684" s="2" t="s">
        <v>38</v>
      </c>
      <c r="AC1684" s="2" t="s">
        <v>38</v>
      </c>
      <c r="AD1684" s="2" t="s">
        <v>38</v>
      </c>
      <c r="AE1684" s="2" t="s">
        <v>38</v>
      </c>
    </row>
    <row r="1685" spans="1:31" ht="409.5">
      <c r="A1685" s="2">
        <v>2521960</v>
      </c>
      <c r="B1685" s="2">
        <f>HYPERLINK("https://platform.v2.vetology.net/cases/2521960/screening-report/18?type=pdf&amp;v=v6&amp;scorecard=1&amp;secret_key=BX%25IJ%24%2F65ieZ%29f6", 2521960)</f>
        <v>2521960</v>
      </c>
      <c r="C1685" s="2">
        <f>HYPERLINK("https://platform.v2.vetology.net/report/v/final/"&amp;2521960, 2521960)</f>
        <v>2521960</v>
      </c>
      <c r="D1685" s="2" t="s">
        <v>4761</v>
      </c>
      <c r="E1685" s="2" t="s">
        <v>2582</v>
      </c>
      <c r="F1685" s="2" t="s">
        <v>81</v>
      </c>
      <c r="G1685" s="2" t="s">
        <v>150</v>
      </c>
      <c r="H1685" s="2" t="s">
        <v>78</v>
      </c>
      <c r="I1685" s="2" t="s">
        <v>44</v>
      </c>
      <c r="J1685" s="2" t="s">
        <v>106</v>
      </c>
      <c r="K1685" s="2" t="s">
        <v>38</v>
      </c>
      <c r="L1685" s="2" t="s">
        <v>38</v>
      </c>
      <c r="M1685" s="2" t="s">
        <v>39</v>
      </c>
      <c r="N1685" s="2" t="s">
        <v>38</v>
      </c>
      <c r="O1685" s="2" t="s">
        <v>38</v>
      </c>
      <c r="P1685" s="2" t="s">
        <v>38</v>
      </c>
      <c r="Q1685" s="2" t="s">
        <v>38</v>
      </c>
      <c r="R1685" s="2" t="s">
        <v>38</v>
      </c>
      <c r="S1685" s="2" t="s">
        <v>38</v>
      </c>
      <c r="T1685" s="2" t="s">
        <v>38</v>
      </c>
      <c r="U1685" s="2" t="s">
        <v>38</v>
      </c>
      <c r="V1685" s="2" t="s">
        <v>38</v>
      </c>
      <c r="W1685" s="2" t="s">
        <v>38</v>
      </c>
      <c r="X1685" s="2" t="s">
        <v>38</v>
      </c>
      <c r="Y1685" s="2" t="s">
        <v>38</v>
      </c>
      <c r="Z1685" s="2" t="s">
        <v>38</v>
      </c>
      <c r="AA1685" s="2" t="s">
        <v>38</v>
      </c>
      <c r="AB1685" s="2" t="s">
        <v>38</v>
      </c>
      <c r="AC1685" s="2" t="s">
        <v>38</v>
      </c>
      <c r="AD1685" s="2" t="s">
        <v>38</v>
      </c>
      <c r="AE1685" s="2" t="s">
        <v>38</v>
      </c>
    </row>
    <row r="1686" spans="1:31" ht="409.5">
      <c r="A1686" s="2">
        <v>2521739</v>
      </c>
      <c r="B1686" s="2">
        <f>HYPERLINK("https://platform.v2.vetology.net/cases/2521739/screening-report/18?type=pdf&amp;v=v6&amp;scorecard=1&amp;secret_key=BX%25IJ%24%2F65ieZ%29f6", 2521739)</f>
        <v>2521739</v>
      </c>
      <c r="C1686" s="2">
        <f>HYPERLINK("https://platform.v2.vetology.net/report/v/final/"&amp;2521739, 2521739)</f>
        <v>2521739</v>
      </c>
      <c r="D1686" s="2" t="s">
        <v>4762</v>
      </c>
      <c r="E1686" s="2" t="s">
        <v>4763</v>
      </c>
      <c r="F1686" s="2" t="s">
        <v>4764</v>
      </c>
      <c r="G1686" s="2" t="s">
        <v>135</v>
      </c>
      <c r="H1686" s="2" t="s">
        <v>162</v>
      </c>
      <c r="I1686" s="2" t="s">
        <v>124</v>
      </c>
      <c r="J1686" s="2" t="s">
        <v>125</v>
      </c>
      <c r="K1686" s="2" t="s">
        <v>38</v>
      </c>
      <c r="L1686" s="2" t="s">
        <v>38</v>
      </c>
      <c r="M1686" s="2" t="s">
        <v>39</v>
      </c>
      <c r="N1686" s="2" t="s">
        <v>38</v>
      </c>
      <c r="O1686" s="2" t="s">
        <v>38</v>
      </c>
      <c r="P1686" s="2" t="s">
        <v>38</v>
      </c>
      <c r="Q1686" s="2" t="s">
        <v>38</v>
      </c>
      <c r="R1686" s="2" t="s">
        <v>38</v>
      </c>
      <c r="S1686" s="2" t="s">
        <v>38</v>
      </c>
      <c r="T1686" s="2" t="s">
        <v>38</v>
      </c>
      <c r="U1686" s="2" t="s">
        <v>38</v>
      </c>
      <c r="V1686" s="2" t="s">
        <v>38</v>
      </c>
      <c r="W1686" s="2" t="s">
        <v>38</v>
      </c>
      <c r="X1686" s="2" t="s">
        <v>38</v>
      </c>
      <c r="Y1686" s="2" t="s">
        <v>38</v>
      </c>
      <c r="Z1686" s="2" t="s">
        <v>38</v>
      </c>
      <c r="AA1686" s="2" t="s">
        <v>38</v>
      </c>
      <c r="AB1686" s="2" t="s">
        <v>38</v>
      </c>
      <c r="AC1686" s="2" t="s">
        <v>38</v>
      </c>
      <c r="AD1686" s="2" t="s">
        <v>38</v>
      </c>
      <c r="AE1686" s="2" t="s">
        <v>38</v>
      </c>
    </row>
    <row r="1687" spans="1:31" ht="409.5">
      <c r="A1687" s="2">
        <v>2521651</v>
      </c>
      <c r="B1687" s="2">
        <f>HYPERLINK("https://platform.v2.vetology.net/cases/2521651/screening-report/18?type=pdf&amp;v=v6&amp;scorecard=1&amp;secret_key=BX%25IJ%24%2F65ieZ%29f6", 2521651)</f>
        <v>2521651</v>
      </c>
      <c r="C1687" s="2">
        <f>HYPERLINK("https://platform.v2.vetology.net/report/v/final/"&amp;2521651, 2521651)</f>
        <v>2521651</v>
      </c>
      <c r="D1687" s="2" t="s">
        <v>4765</v>
      </c>
      <c r="E1687" s="2" t="s">
        <v>4766</v>
      </c>
      <c r="F1687" s="2" t="s">
        <v>4767</v>
      </c>
      <c r="G1687" s="2" t="s">
        <v>150</v>
      </c>
      <c r="H1687" s="2" t="s">
        <v>446</v>
      </c>
      <c r="I1687" s="2" t="s">
        <v>321</v>
      </c>
      <c r="J1687" s="2" t="s">
        <v>66</v>
      </c>
      <c r="K1687" s="2" t="s">
        <v>38</v>
      </c>
      <c r="L1687" s="2" t="s">
        <v>39</v>
      </c>
      <c r="M1687" s="2" t="s">
        <v>39</v>
      </c>
      <c r="N1687" s="2" t="s">
        <v>38</v>
      </c>
      <c r="O1687" s="2" t="s">
        <v>39</v>
      </c>
      <c r="P1687" s="2" t="s">
        <v>39</v>
      </c>
      <c r="Q1687" s="2" t="s">
        <v>38</v>
      </c>
      <c r="R1687" s="2" t="s">
        <v>38</v>
      </c>
      <c r="S1687" s="2" t="s">
        <v>39</v>
      </c>
      <c r="T1687" s="2" t="s">
        <v>39</v>
      </c>
      <c r="U1687" s="2" t="s">
        <v>38</v>
      </c>
      <c r="V1687" s="2" t="s">
        <v>39</v>
      </c>
      <c r="W1687" s="2" t="s">
        <v>38</v>
      </c>
      <c r="X1687" s="2" t="s">
        <v>39</v>
      </c>
      <c r="Y1687" s="2" t="s">
        <v>38</v>
      </c>
      <c r="Z1687" s="2" t="s">
        <v>39</v>
      </c>
      <c r="AA1687" s="2" t="s">
        <v>38</v>
      </c>
      <c r="AB1687" s="2" t="s">
        <v>38</v>
      </c>
      <c r="AC1687" s="2" t="s">
        <v>38</v>
      </c>
      <c r="AD1687" s="2" t="s">
        <v>38</v>
      </c>
      <c r="AE1687" s="2" t="s">
        <v>38</v>
      </c>
    </row>
    <row r="1688" spans="1:31" ht="409.5">
      <c r="A1688" s="2">
        <v>2521613</v>
      </c>
      <c r="B1688" s="2">
        <f>HYPERLINK("https://platform.v2.vetology.net/cases/2521613/screening-report/18?type=pdf&amp;v=v6&amp;scorecard=1&amp;secret_key=BX%25IJ%24%2F65ieZ%29f6", 2521613)</f>
        <v>2521613</v>
      </c>
      <c r="C1688" s="2">
        <f>HYPERLINK("https://platform.v2.vetology.net/report/v/final/"&amp;2521613, 2521613)</f>
        <v>2521613</v>
      </c>
      <c r="D1688" s="2" t="s">
        <v>4768</v>
      </c>
      <c r="E1688" s="2" t="s">
        <v>4769</v>
      </c>
      <c r="F1688" s="2" t="s">
        <v>4770</v>
      </c>
      <c r="G1688" s="2" t="s">
        <v>268</v>
      </c>
      <c r="H1688" s="2" t="s">
        <v>723</v>
      </c>
      <c r="I1688" s="2" t="s">
        <v>44</v>
      </c>
      <c r="J1688" s="2"/>
      <c r="K1688" s="2" t="s">
        <v>38</v>
      </c>
      <c r="L1688" s="2" t="s">
        <v>38</v>
      </c>
      <c r="M1688" s="2" t="s">
        <v>38</v>
      </c>
      <c r="N1688" s="2" t="s">
        <v>38</v>
      </c>
      <c r="O1688" s="2" t="s">
        <v>38</v>
      </c>
      <c r="P1688" s="2" t="s">
        <v>38</v>
      </c>
      <c r="Q1688" s="2" t="s">
        <v>38</v>
      </c>
      <c r="R1688" s="2" t="s">
        <v>38</v>
      </c>
      <c r="S1688" s="2" t="s">
        <v>38</v>
      </c>
      <c r="T1688" s="2" t="s">
        <v>38</v>
      </c>
      <c r="U1688" s="2" t="s">
        <v>38</v>
      </c>
      <c r="V1688" s="2" t="s">
        <v>38</v>
      </c>
      <c r="W1688" s="2" t="s">
        <v>38</v>
      </c>
      <c r="X1688" s="2" t="s">
        <v>39</v>
      </c>
      <c r="Y1688" s="2" t="s">
        <v>38</v>
      </c>
      <c r="Z1688" s="2" t="s">
        <v>38</v>
      </c>
      <c r="AA1688" s="2" t="s">
        <v>38</v>
      </c>
      <c r="AB1688" s="2" t="s">
        <v>39</v>
      </c>
      <c r="AC1688" s="2" t="s">
        <v>38</v>
      </c>
      <c r="AD1688" s="2" t="s">
        <v>38</v>
      </c>
      <c r="AE1688" s="2" t="s">
        <v>38</v>
      </c>
    </row>
    <row r="1689" spans="1:31" ht="409.5">
      <c r="A1689" s="2">
        <v>2521607</v>
      </c>
      <c r="B1689" s="2">
        <f>HYPERLINK("https://platform.v2.vetology.net/cases/2521607/screening-report/18?type=pdf&amp;v=v6&amp;scorecard=1&amp;secret_key=BX%25IJ%24%2F65ieZ%29f6", 2521607)</f>
        <v>2521607</v>
      </c>
      <c r="C1689" s="2">
        <f>HYPERLINK("https://platform.v2.vetology.net/report/v/final/"&amp;2521607, 2521607)</f>
        <v>2521607</v>
      </c>
      <c r="D1689" s="2" t="s">
        <v>4771</v>
      </c>
      <c r="E1689" s="2" t="s">
        <v>4772</v>
      </c>
      <c r="F1689" s="2" t="s">
        <v>4773</v>
      </c>
      <c r="G1689" s="2" t="s">
        <v>58</v>
      </c>
      <c r="H1689" s="2" t="s">
        <v>4774</v>
      </c>
      <c r="I1689" s="2" t="s">
        <v>49</v>
      </c>
      <c r="J1689" s="2" t="s">
        <v>50</v>
      </c>
      <c r="K1689" s="2" t="s">
        <v>38</v>
      </c>
      <c r="L1689" s="2" t="s">
        <v>39</v>
      </c>
      <c r="M1689" s="2" t="s">
        <v>38</v>
      </c>
      <c r="N1689" s="2" t="s">
        <v>38</v>
      </c>
      <c r="O1689" s="2" t="s">
        <v>38</v>
      </c>
      <c r="P1689" s="2" t="s">
        <v>38</v>
      </c>
      <c r="Q1689" s="2" t="s">
        <v>38</v>
      </c>
      <c r="R1689" s="2" t="s">
        <v>38</v>
      </c>
      <c r="S1689" s="2" t="s">
        <v>38</v>
      </c>
      <c r="T1689" s="2" t="s">
        <v>39</v>
      </c>
      <c r="U1689" s="2" t="s">
        <v>38</v>
      </c>
      <c r="V1689" s="2" t="s">
        <v>39</v>
      </c>
      <c r="W1689" s="2" t="s">
        <v>38</v>
      </c>
      <c r="X1689" s="2" t="s">
        <v>39</v>
      </c>
      <c r="Y1689" s="2" t="s">
        <v>38</v>
      </c>
      <c r="Z1689" s="2" t="s">
        <v>38</v>
      </c>
      <c r="AA1689" s="2" t="s">
        <v>38</v>
      </c>
      <c r="AB1689" s="2" t="s">
        <v>38</v>
      </c>
      <c r="AC1689" s="2" t="s">
        <v>38</v>
      </c>
      <c r="AD1689" s="2" t="s">
        <v>38</v>
      </c>
      <c r="AE1689" s="2" t="s">
        <v>39</v>
      </c>
    </row>
    <row r="1690" spans="1:31" ht="409.5">
      <c r="A1690" s="2">
        <v>2521048</v>
      </c>
      <c r="B1690" s="2">
        <f>HYPERLINK("https://platform.v2.vetology.net/cases/2521048/screening-report/18?type=pdf&amp;v=v6&amp;scorecard=1&amp;secret_key=BX%25IJ%24%2F65ieZ%29f6", 2521048)</f>
        <v>2521048</v>
      </c>
      <c r="C1690" s="2">
        <f>HYPERLINK("https://platform.v2.vetology.net/report/v/final/"&amp;2521048, 2521048)</f>
        <v>2521048</v>
      </c>
      <c r="D1690" s="2" t="s">
        <v>4775</v>
      </c>
      <c r="E1690" s="2" t="s">
        <v>4776</v>
      </c>
      <c r="F1690" s="2" t="s">
        <v>4777</v>
      </c>
      <c r="G1690" s="2" t="s">
        <v>268</v>
      </c>
      <c r="H1690" s="2" t="s">
        <v>790</v>
      </c>
      <c r="I1690" s="2" t="s">
        <v>145</v>
      </c>
      <c r="J1690" s="2" t="s">
        <v>146</v>
      </c>
      <c r="K1690" s="2" t="s">
        <v>38</v>
      </c>
      <c r="L1690" s="2" t="s">
        <v>38</v>
      </c>
      <c r="M1690" s="2" t="s">
        <v>38</v>
      </c>
      <c r="N1690" s="2" t="s">
        <v>38</v>
      </c>
      <c r="O1690" s="2" t="s">
        <v>38</v>
      </c>
      <c r="P1690" s="2" t="s">
        <v>38</v>
      </c>
      <c r="Q1690" s="2" t="s">
        <v>38</v>
      </c>
      <c r="R1690" s="2" t="s">
        <v>38</v>
      </c>
      <c r="S1690" s="2" t="s">
        <v>38</v>
      </c>
      <c r="T1690" s="2" t="s">
        <v>39</v>
      </c>
      <c r="U1690" s="2" t="s">
        <v>38</v>
      </c>
      <c r="V1690" s="2" t="s">
        <v>39</v>
      </c>
      <c r="W1690" s="2" t="s">
        <v>38</v>
      </c>
      <c r="X1690" s="2" t="s">
        <v>38</v>
      </c>
      <c r="Y1690" s="2" t="s">
        <v>38</v>
      </c>
      <c r="Z1690" s="2" t="s">
        <v>38</v>
      </c>
      <c r="AA1690" s="2" t="s">
        <v>38</v>
      </c>
      <c r="AB1690" s="2" t="s">
        <v>38</v>
      </c>
      <c r="AC1690" s="2" t="s">
        <v>38</v>
      </c>
      <c r="AD1690" s="2" t="s">
        <v>38</v>
      </c>
      <c r="AE1690" s="2" t="s">
        <v>38</v>
      </c>
    </row>
    <row r="1691" spans="1:31" ht="409.5">
      <c r="A1691" s="2">
        <v>2520705</v>
      </c>
      <c r="B1691" s="2">
        <f>HYPERLINK("https://platform.v2.vetology.net/cases/2520705/screening-report/18?type=pdf&amp;v=v6&amp;scorecard=1&amp;secret_key=BX%25IJ%24%2F65ieZ%29f6", 2520705)</f>
        <v>2520705</v>
      </c>
      <c r="C1691" s="2">
        <f>HYPERLINK("https://platform.v2.vetology.net/report/v/final/"&amp;2520705, 2520705)</f>
        <v>2520705</v>
      </c>
      <c r="D1691" s="2" t="s">
        <v>4778</v>
      </c>
      <c r="E1691" s="2" t="s">
        <v>4779</v>
      </c>
      <c r="F1691" s="2" t="s">
        <v>4780</v>
      </c>
      <c r="G1691" s="2" t="s">
        <v>58</v>
      </c>
      <c r="H1691" s="2" t="s">
        <v>244</v>
      </c>
      <c r="I1691" s="2" t="s">
        <v>245</v>
      </c>
      <c r="J1691" s="2" t="s">
        <v>246</v>
      </c>
      <c r="K1691" s="2" t="s">
        <v>38</v>
      </c>
      <c r="L1691" s="2" t="s">
        <v>39</v>
      </c>
      <c r="M1691" s="2" t="s">
        <v>39</v>
      </c>
      <c r="N1691" s="2" t="s">
        <v>38</v>
      </c>
      <c r="O1691" s="2" t="s">
        <v>38</v>
      </c>
      <c r="P1691" s="2" t="s">
        <v>39</v>
      </c>
      <c r="Q1691" s="2" t="s">
        <v>38</v>
      </c>
      <c r="R1691" s="2" t="s">
        <v>38</v>
      </c>
      <c r="S1691" s="2" t="s">
        <v>38</v>
      </c>
      <c r="T1691" s="2" t="s">
        <v>39</v>
      </c>
      <c r="U1691" s="2" t="s">
        <v>38</v>
      </c>
      <c r="V1691" s="2" t="s">
        <v>39</v>
      </c>
      <c r="W1691" s="2" t="s">
        <v>38</v>
      </c>
      <c r="X1691" s="2" t="s">
        <v>39</v>
      </c>
      <c r="Y1691" s="2" t="s">
        <v>38</v>
      </c>
      <c r="Z1691" s="2" t="s">
        <v>38</v>
      </c>
      <c r="AA1691" s="2" t="s">
        <v>38</v>
      </c>
      <c r="AB1691" s="2" t="s">
        <v>39</v>
      </c>
      <c r="AC1691" s="2" t="s">
        <v>38</v>
      </c>
      <c r="AD1691" s="2" t="s">
        <v>38</v>
      </c>
      <c r="AE1691" s="2" t="s">
        <v>39</v>
      </c>
    </row>
    <row r="1692" spans="1:31" ht="409.5">
      <c r="A1692" s="2">
        <v>2520456</v>
      </c>
      <c r="B1692" s="2">
        <f>HYPERLINK("https://platform.v2.vetology.net/cases/2520456/screening-report/18?type=pdf&amp;v=v6&amp;scorecard=1&amp;secret_key=BX%25IJ%24%2F65ieZ%29f6", 2520456)</f>
        <v>2520456</v>
      </c>
      <c r="C1692" s="2">
        <f>HYPERLINK("https://platform.v2.vetology.net/report/v/final/"&amp;2520456, 2520456)</f>
        <v>2520456</v>
      </c>
      <c r="D1692" s="2" t="s">
        <v>4781</v>
      </c>
      <c r="E1692" s="2" t="s">
        <v>617</v>
      </c>
      <c r="F1692" s="2" t="s">
        <v>4782</v>
      </c>
      <c r="G1692" s="2" t="s">
        <v>135</v>
      </c>
      <c r="H1692" s="2" t="s">
        <v>1505</v>
      </c>
      <c r="I1692" s="2" t="s">
        <v>214</v>
      </c>
      <c r="J1692" s="2" t="s">
        <v>50</v>
      </c>
      <c r="K1692" s="2" t="s">
        <v>38</v>
      </c>
      <c r="L1692" s="2" t="s">
        <v>38</v>
      </c>
      <c r="M1692" s="2" t="s">
        <v>38</v>
      </c>
      <c r="N1692" s="2" t="s">
        <v>38</v>
      </c>
      <c r="O1692" s="2" t="s">
        <v>38</v>
      </c>
      <c r="P1692" s="2" t="s">
        <v>38</v>
      </c>
      <c r="Q1692" s="2" t="s">
        <v>38</v>
      </c>
      <c r="R1692" s="2" t="s">
        <v>38</v>
      </c>
      <c r="S1692" s="2" t="s">
        <v>38</v>
      </c>
      <c r="T1692" s="2" t="s">
        <v>38</v>
      </c>
      <c r="U1692" s="2" t="s">
        <v>38</v>
      </c>
      <c r="V1692" s="2" t="s">
        <v>38</v>
      </c>
      <c r="W1692" s="2" t="s">
        <v>38</v>
      </c>
      <c r="X1692" s="2" t="s">
        <v>38</v>
      </c>
      <c r="Y1692" s="2" t="s">
        <v>38</v>
      </c>
      <c r="Z1692" s="2" t="s">
        <v>38</v>
      </c>
      <c r="AA1692" s="2" t="s">
        <v>38</v>
      </c>
      <c r="AB1692" s="2" t="s">
        <v>38</v>
      </c>
      <c r="AC1692" s="2" t="s">
        <v>38</v>
      </c>
      <c r="AD1692" s="2" t="s">
        <v>38</v>
      </c>
      <c r="AE1692" s="2" t="s">
        <v>39</v>
      </c>
    </row>
    <row r="1693" spans="1:31" ht="409.5">
      <c r="A1693" s="2">
        <v>2520307</v>
      </c>
      <c r="B1693" s="2">
        <f>HYPERLINK("https://platform.v2.vetology.net/cases/2520307/screening-report/18?type=pdf&amp;v=v6&amp;scorecard=1&amp;secret_key=BX%25IJ%24%2F65ieZ%29f6", 2520307)</f>
        <v>2520307</v>
      </c>
      <c r="C1693" s="2">
        <f>HYPERLINK("https://platform.v2.vetology.net/report/v/final/"&amp;2520307, 2520307)</f>
        <v>2520307</v>
      </c>
      <c r="D1693" s="2" t="s">
        <v>4783</v>
      </c>
      <c r="E1693" s="2" t="s">
        <v>4784</v>
      </c>
      <c r="F1693" s="2" t="s">
        <v>455</v>
      </c>
      <c r="G1693" s="2" t="s">
        <v>58</v>
      </c>
      <c r="H1693" s="2" t="s">
        <v>136</v>
      </c>
      <c r="I1693" s="2" t="s">
        <v>137</v>
      </c>
      <c r="J1693" s="2" t="s">
        <v>66</v>
      </c>
      <c r="K1693" s="2" t="s">
        <v>38</v>
      </c>
      <c r="L1693" s="2" t="s">
        <v>39</v>
      </c>
      <c r="M1693" s="2" t="s">
        <v>39</v>
      </c>
      <c r="N1693" s="2" t="s">
        <v>38</v>
      </c>
      <c r="O1693" s="2" t="s">
        <v>38</v>
      </c>
      <c r="P1693" s="2" t="s">
        <v>38</v>
      </c>
      <c r="Q1693" s="2" t="s">
        <v>38</v>
      </c>
      <c r="R1693" s="2" t="s">
        <v>38</v>
      </c>
      <c r="S1693" s="2" t="s">
        <v>38</v>
      </c>
      <c r="T1693" s="2" t="s">
        <v>38</v>
      </c>
      <c r="U1693" s="2" t="s">
        <v>38</v>
      </c>
      <c r="V1693" s="2" t="s">
        <v>38</v>
      </c>
      <c r="W1693" s="2" t="s">
        <v>38</v>
      </c>
      <c r="X1693" s="2" t="s">
        <v>39</v>
      </c>
      <c r="Y1693" s="2" t="s">
        <v>38</v>
      </c>
      <c r="Z1693" s="2" t="s">
        <v>38</v>
      </c>
      <c r="AA1693" s="2" t="s">
        <v>38</v>
      </c>
      <c r="AB1693" s="2" t="s">
        <v>39</v>
      </c>
      <c r="AC1693" s="2" t="s">
        <v>38</v>
      </c>
      <c r="AD1693" s="2" t="s">
        <v>38</v>
      </c>
      <c r="AE1693" s="2" t="s">
        <v>38</v>
      </c>
    </row>
    <row r="1694" spans="1:31" ht="409.5">
      <c r="A1694" s="2">
        <v>2519953</v>
      </c>
      <c r="B1694" s="2">
        <f>HYPERLINK("https://platform.v2.vetology.net/cases/2519953/screening-report/18?type=pdf&amp;v=v6&amp;scorecard=1&amp;secret_key=BX%25IJ%24%2F65ieZ%29f6", 2519953)</f>
        <v>2519953</v>
      </c>
      <c r="C1694" s="2">
        <f>HYPERLINK("https://platform.v2.vetology.net/report/v/final/"&amp;2519953, 2519953)</f>
        <v>2519953</v>
      </c>
      <c r="D1694" s="2" t="s">
        <v>4785</v>
      </c>
      <c r="E1694" s="2" t="s">
        <v>4786</v>
      </c>
      <c r="F1694" s="2" t="s">
        <v>4787</v>
      </c>
      <c r="G1694" s="2" t="s">
        <v>135</v>
      </c>
      <c r="H1694" s="2" t="s">
        <v>733</v>
      </c>
      <c r="I1694" s="2" t="s">
        <v>158</v>
      </c>
      <c r="J1694" s="2" t="s">
        <v>50</v>
      </c>
      <c r="K1694" s="2" t="s">
        <v>38</v>
      </c>
      <c r="L1694" s="2" t="s">
        <v>39</v>
      </c>
      <c r="M1694" s="2" t="s">
        <v>39</v>
      </c>
      <c r="N1694" s="2" t="s">
        <v>38</v>
      </c>
      <c r="O1694" s="2" t="s">
        <v>38</v>
      </c>
      <c r="P1694" s="2" t="s">
        <v>39</v>
      </c>
      <c r="Q1694" s="2" t="s">
        <v>38</v>
      </c>
      <c r="R1694" s="2" t="s">
        <v>38</v>
      </c>
      <c r="S1694" s="2" t="s">
        <v>38</v>
      </c>
      <c r="T1694" s="2" t="s">
        <v>39</v>
      </c>
      <c r="U1694" s="2" t="s">
        <v>38</v>
      </c>
      <c r="V1694" s="2" t="s">
        <v>39</v>
      </c>
      <c r="W1694" s="2" t="s">
        <v>38</v>
      </c>
      <c r="X1694" s="2" t="s">
        <v>39</v>
      </c>
      <c r="Y1694" s="2" t="s">
        <v>38</v>
      </c>
      <c r="Z1694" s="2" t="s">
        <v>38</v>
      </c>
      <c r="AA1694" s="2" t="s">
        <v>38</v>
      </c>
      <c r="AB1694" s="2" t="s">
        <v>38</v>
      </c>
      <c r="AC1694" s="2" t="s">
        <v>38</v>
      </c>
      <c r="AD1694" s="2" t="s">
        <v>38</v>
      </c>
      <c r="AE1694" s="2" t="s">
        <v>39</v>
      </c>
    </row>
    <row r="1695" spans="1:31" ht="409.5">
      <c r="A1695" s="2">
        <v>2519739</v>
      </c>
      <c r="B1695" s="2">
        <f>HYPERLINK("https://platform.v2.vetology.net/cases/2519739/screening-report/18?type=pdf&amp;v=v6&amp;scorecard=1&amp;secret_key=BX%25IJ%24%2F65ieZ%29f6", 2519739)</f>
        <v>2519739</v>
      </c>
      <c r="C1695" s="2">
        <f>HYPERLINK("https://platform.v2.vetology.net/report/v/final/"&amp;2519739, 2519739)</f>
        <v>2519739</v>
      </c>
      <c r="D1695" s="2" t="s">
        <v>4788</v>
      </c>
      <c r="E1695" s="2" t="s">
        <v>4789</v>
      </c>
      <c r="F1695" s="2" t="s">
        <v>4790</v>
      </c>
      <c r="G1695" s="2" t="s">
        <v>268</v>
      </c>
      <c r="H1695" s="2" t="s">
        <v>978</v>
      </c>
      <c r="I1695" s="2" t="s">
        <v>284</v>
      </c>
      <c r="J1695" s="2" t="s">
        <v>285</v>
      </c>
      <c r="K1695" s="2" t="s">
        <v>38</v>
      </c>
      <c r="L1695" s="2" t="s">
        <v>38</v>
      </c>
      <c r="M1695" s="2" t="s">
        <v>38</v>
      </c>
      <c r="N1695" s="2" t="s">
        <v>38</v>
      </c>
      <c r="O1695" s="2" t="s">
        <v>38</v>
      </c>
      <c r="P1695" s="2" t="s">
        <v>38</v>
      </c>
      <c r="Q1695" s="2" t="s">
        <v>38</v>
      </c>
      <c r="R1695" s="2" t="s">
        <v>38</v>
      </c>
      <c r="S1695" s="2" t="s">
        <v>38</v>
      </c>
      <c r="T1695" s="2" t="s">
        <v>39</v>
      </c>
      <c r="U1695" s="2" t="s">
        <v>38</v>
      </c>
      <c r="V1695" s="2" t="s">
        <v>39</v>
      </c>
      <c r="W1695" s="2" t="s">
        <v>38</v>
      </c>
      <c r="X1695" s="2" t="s">
        <v>39</v>
      </c>
      <c r="Y1695" s="2" t="s">
        <v>38</v>
      </c>
      <c r="Z1695" s="2" t="s">
        <v>38</v>
      </c>
      <c r="AA1695" s="2" t="s">
        <v>38</v>
      </c>
      <c r="AB1695" s="2" t="s">
        <v>39</v>
      </c>
      <c r="AC1695" s="2" t="s">
        <v>38</v>
      </c>
      <c r="AD1695" s="2" t="s">
        <v>38</v>
      </c>
      <c r="AE1695" s="2" t="s">
        <v>38</v>
      </c>
    </row>
    <row r="1696" spans="1:31" ht="409.5">
      <c r="A1696" s="2">
        <v>2519374</v>
      </c>
      <c r="B1696" s="2">
        <f>HYPERLINK("https://platform.v2.vetology.net/cases/2519374/screening-report/18?type=pdf&amp;v=v6&amp;scorecard=1&amp;secret_key=BX%25IJ%24%2F65ieZ%29f6", 2519374)</f>
        <v>2519374</v>
      </c>
      <c r="C1696" s="2">
        <f>HYPERLINK("https://platform.v2.vetology.net/report/v/final/"&amp;2519374, 2519374)</f>
        <v>2519374</v>
      </c>
      <c r="D1696" s="2" t="s">
        <v>4791</v>
      </c>
      <c r="E1696" s="2" t="s">
        <v>4792</v>
      </c>
      <c r="F1696" s="2" t="s">
        <v>81</v>
      </c>
      <c r="G1696" s="2" t="s">
        <v>268</v>
      </c>
      <c r="H1696" s="2" t="s">
        <v>71</v>
      </c>
      <c r="I1696" s="2" t="s">
        <v>44</v>
      </c>
      <c r="J1696" s="2"/>
      <c r="K1696" s="2" t="s">
        <v>38</v>
      </c>
      <c r="L1696" s="2" t="s">
        <v>39</v>
      </c>
      <c r="M1696" s="2" t="s">
        <v>39</v>
      </c>
      <c r="N1696" s="2" t="s">
        <v>38</v>
      </c>
      <c r="O1696" s="2" t="s">
        <v>38</v>
      </c>
      <c r="P1696" s="2" t="s">
        <v>38</v>
      </c>
      <c r="Q1696" s="2" t="s">
        <v>38</v>
      </c>
      <c r="R1696" s="2" t="s">
        <v>38</v>
      </c>
      <c r="S1696" s="2" t="s">
        <v>38</v>
      </c>
      <c r="T1696" s="2" t="s">
        <v>39</v>
      </c>
      <c r="U1696" s="2" t="s">
        <v>38</v>
      </c>
      <c r="V1696" s="2" t="s">
        <v>38</v>
      </c>
      <c r="W1696" s="2" t="s">
        <v>38</v>
      </c>
      <c r="X1696" s="2" t="s">
        <v>39</v>
      </c>
      <c r="Y1696" s="2" t="s">
        <v>38</v>
      </c>
      <c r="Z1696" s="2" t="s">
        <v>38</v>
      </c>
      <c r="AA1696" s="2" t="s">
        <v>38</v>
      </c>
      <c r="AB1696" s="2" t="s">
        <v>38</v>
      </c>
      <c r="AC1696" s="2" t="s">
        <v>38</v>
      </c>
      <c r="AD1696" s="2" t="s">
        <v>38</v>
      </c>
      <c r="AE1696" s="2" t="s">
        <v>38</v>
      </c>
    </row>
    <row r="1697" spans="1:31" ht="409.5">
      <c r="A1697" s="2">
        <v>2519336</v>
      </c>
      <c r="B1697" s="2">
        <f>HYPERLINK("https://platform.v2.vetology.net/cases/2519336/screening-report/18?type=pdf&amp;v=v6&amp;scorecard=1&amp;secret_key=BX%25IJ%24%2F65ieZ%29f6", 2519336)</f>
        <v>2519336</v>
      </c>
      <c r="C1697" s="2">
        <f>HYPERLINK("https://platform.v2.vetology.net/report/v/final/"&amp;2519336, 2519336)</f>
        <v>2519336</v>
      </c>
      <c r="D1697" s="2" t="s">
        <v>4793</v>
      </c>
      <c r="E1697" s="2" t="s">
        <v>4794</v>
      </c>
      <c r="F1697" s="2" t="s">
        <v>4795</v>
      </c>
      <c r="G1697" s="2" t="s">
        <v>212</v>
      </c>
      <c r="H1697" s="2" t="s">
        <v>105</v>
      </c>
      <c r="I1697" s="2" t="s">
        <v>44</v>
      </c>
      <c r="J1697" s="2"/>
      <c r="K1697" s="2" t="s">
        <v>38</v>
      </c>
      <c r="L1697" s="2" t="s">
        <v>38</v>
      </c>
      <c r="M1697" s="2" t="s">
        <v>39</v>
      </c>
      <c r="N1697" s="2" t="s">
        <v>38</v>
      </c>
      <c r="O1697" s="2" t="s">
        <v>38</v>
      </c>
      <c r="P1697" s="2" t="s">
        <v>38</v>
      </c>
      <c r="Q1697" s="2" t="s">
        <v>38</v>
      </c>
      <c r="R1697" s="2" t="s">
        <v>38</v>
      </c>
      <c r="S1697" s="2" t="s">
        <v>38</v>
      </c>
      <c r="T1697" s="2" t="s">
        <v>39</v>
      </c>
      <c r="U1697" s="2" t="s">
        <v>38</v>
      </c>
      <c r="V1697" s="2" t="s">
        <v>39</v>
      </c>
      <c r="W1697" s="2" t="s">
        <v>38</v>
      </c>
      <c r="X1697" s="2" t="s">
        <v>39</v>
      </c>
      <c r="Y1697" s="2" t="s">
        <v>38</v>
      </c>
      <c r="Z1697" s="2" t="s">
        <v>38</v>
      </c>
      <c r="AA1697" s="2" t="s">
        <v>38</v>
      </c>
      <c r="AB1697" s="2" t="s">
        <v>38</v>
      </c>
      <c r="AC1697" s="2" t="s">
        <v>38</v>
      </c>
      <c r="AD1697" s="2" t="s">
        <v>38</v>
      </c>
      <c r="AE1697" s="2" t="s">
        <v>38</v>
      </c>
    </row>
    <row r="1698" spans="1:31" ht="409.5">
      <c r="A1698" s="2">
        <v>2519212</v>
      </c>
      <c r="B1698" s="2">
        <f>HYPERLINK("https://platform.v2.vetology.net/cases/2519212/screening-report/18?type=pdf&amp;v=v6&amp;scorecard=1&amp;secret_key=BX%25IJ%24%2F65ieZ%29f6", 2519212)</f>
        <v>2519212</v>
      </c>
      <c r="C1698" s="2">
        <f>HYPERLINK("https://platform.v2.vetology.net/report/v/final/"&amp;2519212, 2519212)</f>
        <v>2519212</v>
      </c>
      <c r="D1698" s="2" t="s">
        <v>4796</v>
      </c>
      <c r="E1698" s="2" t="s">
        <v>4797</v>
      </c>
      <c r="F1698" s="2" t="s">
        <v>81</v>
      </c>
      <c r="G1698" s="2" t="s">
        <v>150</v>
      </c>
      <c r="H1698" s="2" t="s">
        <v>1702</v>
      </c>
      <c r="I1698" s="2" t="s">
        <v>478</v>
      </c>
      <c r="J1698" s="2" t="s">
        <v>479</v>
      </c>
      <c r="K1698" s="2" t="s">
        <v>39</v>
      </c>
      <c r="L1698" s="2" t="s">
        <v>39</v>
      </c>
      <c r="M1698" s="2" t="s">
        <v>39</v>
      </c>
      <c r="N1698" s="2" t="s">
        <v>39</v>
      </c>
      <c r="O1698" s="2" t="s">
        <v>39</v>
      </c>
      <c r="P1698" s="2" t="s">
        <v>39</v>
      </c>
      <c r="Q1698" s="2" t="s">
        <v>38</v>
      </c>
      <c r="R1698" s="2" t="s">
        <v>38</v>
      </c>
      <c r="S1698" s="2" t="s">
        <v>39</v>
      </c>
      <c r="T1698" s="2" t="s">
        <v>39</v>
      </c>
      <c r="U1698" s="2" t="s">
        <v>38</v>
      </c>
      <c r="V1698" s="2" t="s">
        <v>38</v>
      </c>
      <c r="W1698" s="2" t="s">
        <v>38</v>
      </c>
      <c r="X1698" s="2" t="s">
        <v>38</v>
      </c>
      <c r="Y1698" s="2" t="s">
        <v>38</v>
      </c>
      <c r="Z1698" s="2" t="s">
        <v>39</v>
      </c>
      <c r="AA1698" s="2" t="s">
        <v>39</v>
      </c>
      <c r="AB1698" s="2" t="s">
        <v>39</v>
      </c>
      <c r="AC1698" s="2" t="s">
        <v>39</v>
      </c>
      <c r="AD1698" s="2" t="s">
        <v>38</v>
      </c>
      <c r="AE1698" s="2" t="s">
        <v>39</v>
      </c>
    </row>
    <row r="1699" spans="1:31" ht="409.5">
      <c r="A1699" s="2">
        <v>2519132</v>
      </c>
      <c r="B1699" s="2">
        <f>HYPERLINK("https://platform.v2.vetology.net/cases/2519132/screening-report/18?type=pdf&amp;v=v6&amp;scorecard=1&amp;secret_key=BX%25IJ%24%2F65ieZ%29f6", 2519132)</f>
        <v>2519132</v>
      </c>
      <c r="C1699" s="2">
        <f>HYPERLINK("https://platform.v2.vetology.net/report/v/final/"&amp;2519132, 2519132)</f>
        <v>2519132</v>
      </c>
      <c r="D1699" s="2" t="s">
        <v>4798</v>
      </c>
      <c r="E1699" s="2" t="s">
        <v>4799</v>
      </c>
      <c r="F1699" s="2" t="s">
        <v>81</v>
      </c>
      <c r="G1699" s="2" t="s">
        <v>82</v>
      </c>
      <c r="H1699" s="2" t="s">
        <v>54</v>
      </c>
      <c r="I1699" s="2" t="s">
        <v>44</v>
      </c>
      <c r="J1699" s="2"/>
      <c r="K1699" s="2" t="s">
        <v>38</v>
      </c>
      <c r="L1699" s="2" t="s">
        <v>38</v>
      </c>
      <c r="M1699" s="2" t="s">
        <v>38</v>
      </c>
      <c r="N1699" s="2" t="s">
        <v>38</v>
      </c>
      <c r="O1699" s="2" t="s">
        <v>38</v>
      </c>
      <c r="P1699" s="2" t="s">
        <v>38</v>
      </c>
      <c r="Q1699" s="2" t="s">
        <v>38</v>
      </c>
      <c r="R1699" s="2" t="s">
        <v>38</v>
      </c>
      <c r="S1699" s="2" t="s">
        <v>38</v>
      </c>
      <c r="T1699" s="2" t="s">
        <v>39</v>
      </c>
      <c r="U1699" s="2" t="s">
        <v>38</v>
      </c>
      <c r="V1699" s="2" t="s">
        <v>38</v>
      </c>
      <c r="W1699" s="2" t="s">
        <v>38</v>
      </c>
      <c r="X1699" s="2" t="s">
        <v>39</v>
      </c>
      <c r="Y1699" s="2" t="s">
        <v>38</v>
      </c>
      <c r="Z1699" s="2" t="s">
        <v>38</v>
      </c>
      <c r="AA1699" s="2" t="s">
        <v>38</v>
      </c>
      <c r="AB1699" s="2" t="s">
        <v>38</v>
      </c>
      <c r="AC1699" s="2" t="s">
        <v>38</v>
      </c>
      <c r="AD1699" s="2" t="s">
        <v>38</v>
      </c>
      <c r="AE1699" s="2" t="s">
        <v>38</v>
      </c>
    </row>
    <row r="1700" spans="1:31" ht="409.5">
      <c r="A1700" s="2">
        <v>2519072</v>
      </c>
      <c r="B1700" s="2">
        <f>HYPERLINK("https://platform.v2.vetology.net/cases/2519072/screening-report/18?type=pdf&amp;v=v6&amp;scorecard=1&amp;secret_key=BX%25IJ%24%2F65ieZ%29f6", 2519072)</f>
        <v>2519072</v>
      </c>
      <c r="C1700" s="2">
        <f>HYPERLINK("https://platform.v2.vetology.net/report/v/final/"&amp;2519072, 2519072)</f>
        <v>2519072</v>
      </c>
      <c r="D1700" s="2" t="s">
        <v>4800</v>
      </c>
      <c r="E1700" s="2" t="s">
        <v>4801</v>
      </c>
      <c r="F1700" s="2" t="s">
        <v>698</v>
      </c>
      <c r="G1700" s="2" t="s">
        <v>150</v>
      </c>
      <c r="H1700" s="2" t="s">
        <v>2839</v>
      </c>
      <c r="I1700" s="2" t="s">
        <v>214</v>
      </c>
      <c r="J1700" s="2" t="s">
        <v>50</v>
      </c>
      <c r="K1700" s="2" t="s">
        <v>38</v>
      </c>
      <c r="L1700" s="2" t="s">
        <v>39</v>
      </c>
      <c r="M1700" s="2" t="s">
        <v>38</v>
      </c>
      <c r="N1700" s="2" t="s">
        <v>38</v>
      </c>
      <c r="O1700" s="2" t="s">
        <v>38</v>
      </c>
      <c r="P1700" s="2" t="s">
        <v>38</v>
      </c>
      <c r="Q1700" s="2" t="s">
        <v>38</v>
      </c>
      <c r="R1700" s="2" t="s">
        <v>38</v>
      </c>
      <c r="S1700" s="2" t="s">
        <v>39</v>
      </c>
      <c r="T1700" s="2" t="s">
        <v>38</v>
      </c>
      <c r="U1700" s="2" t="s">
        <v>38</v>
      </c>
      <c r="V1700" s="2" t="s">
        <v>38</v>
      </c>
      <c r="W1700" s="2" t="s">
        <v>38</v>
      </c>
      <c r="X1700" s="2" t="s">
        <v>38</v>
      </c>
      <c r="Y1700" s="2" t="s">
        <v>38</v>
      </c>
      <c r="Z1700" s="2" t="s">
        <v>38</v>
      </c>
      <c r="AA1700" s="2" t="s">
        <v>38</v>
      </c>
      <c r="AB1700" s="2" t="s">
        <v>38</v>
      </c>
      <c r="AC1700" s="2" t="s">
        <v>38</v>
      </c>
      <c r="AD1700" s="2" t="s">
        <v>38</v>
      </c>
      <c r="AE1700" s="2" t="s">
        <v>38</v>
      </c>
    </row>
    <row r="1701" spans="1:31" ht="409.5">
      <c r="A1701" s="2">
        <v>2518977</v>
      </c>
      <c r="B1701" s="2">
        <f>HYPERLINK("https://platform.v2.vetology.net/cases/2518977/screening-report/18?type=pdf&amp;v=v6&amp;scorecard=1&amp;secret_key=BX%25IJ%24%2F65ieZ%29f6", 2518977)</f>
        <v>2518977</v>
      </c>
      <c r="C1701" s="2">
        <f>HYPERLINK("https://platform.v2.vetology.net/report/v/final/"&amp;2518977, 2518977)</f>
        <v>2518977</v>
      </c>
      <c r="D1701" s="2" t="s">
        <v>4802</v>
      </c>
      <c r="E1701" s="2" t="s">
        <v>4803</v>
      </c>
      <c r="F1701" s="2" t="s">
        <v>81</v>
      </c>
      <c r="G1701" s="2" t="s">
        <v>268</v>
      </c>
      <c r="H1701" s="2" t="s">
        <v>129</v>
      </c>
      <c r="I1701" s="2" t="s">
        <v>44</v>
      </c>
      <c r="J1701" s="2"/>
      <c r="K1701" s="2" t="s">
        <v>38</v>
      </c>
      <c r="L1701" s="2" t="s">
        <v>39</v>
      </c>
      <c r="M1701" s="2" t="s">
        <v>39</v>
      </c>
      <c r="N1701" s="2" t="s">
        <v>38</v>
      </c>
      <c r="O1701" s="2" t="s">
        <v>39</v>
      </c>
      <c r="P1701" s="2" t="s">
        <v>38</v>
      </c>
      <c r="Q1701" s="2" t="s">
        <v>38</v>
      </c>
      <c r="R1701" s="2" t="s">
        <v>38</v>
      </c>
      <c r="S1701" s="2" t="s">
        <v>39</v>
      </c>
      <c r="T1701" s="2" t="s">
        <v>39</v>
      </c>
      <c r="U1701" s="2" t="s">
        <v>38</v>
      </c>
      <c r="V1701" s="2" t="s">
        <v>39</v>
      </c>
      <c r="W1701" s="2" t="s">
        <v>38</v>
      </c>
      <c r="X1701" s="2" t="s">
        <v>39</v>
      </c>
      <c r="Y1701" s="2" t="s">
        <v>38</v>
      </c>
      <c r="Z1701" s="2" t="s">
        <v>39</v>
      </c>
      <c r="AA1701" s="2" t="s">
        <v>38</v>
      </c>
      <c r="AB1701" s="2" t="s">
        <v>38</v>
      </c>
      <c r="AC1701" s="2" t="s">
        <v>38</v>
      </c>
      <c r="AD1701" s="2" t="s">
        <v>38</v>
      </c>
      <c r="AE1701" s="2" t="s">
        <v>38</v>
      </c>
    </row>
    <row r="1702" spans="1:31" ht="409.5">
      <c r="A1702" s="2">
        <v>2518754</v>
      </c>
      <c r="B1702" s="2">
        <f>HYPERLINK("https://platform.v2.vetology.net/cases/2518754/screening-report/18?type=pdf&amp;v=v6&amp;scorecard=1&amp;secret_key=BX%25IJ%24%2F65ieZ%29f6", 2518754)</f>
        <v>2518754</v>
      </c>
      <c r="C1702" s="2">
        <f>HYPERLINK("https://platform.v2.vetology.net/report/v/final/"&amp;2518754, 2518754)</f>
        <v>2518754</v>
      </c>
      <c r="D1702" s="2" t="s">
        <v>4804</v>
      </c>
      <c r="E1702" s="2" t="s">
        <v>4805</v>
      </c>
      <c r="F1702" s="2" t="s">
        <v>4806</v>
      </c>
      <c r="G1702" s="2" t="s">
        <v>34</v>
      </c>
      <c r="H1702" s="2" t="s">
        <v>105</v>
      </c>
      <c r="I1702" s="2" t="s">
        <v>44</v>
      </c>
      <c r="J1702" s="2" t="s">
        <v>106</v>
      </c>
      <c r="K1702" s="2" t="s">
        <v>38</v>
      </c>
      <c r="L1702" s="2" t="s">
        <v>38</v>
      </c>
      <c r="M1702" s="2" t="s">
        <v>38</v>
      </c>
      <c r="N1702" s="2" t="s">
        <v>38</v>
      </c>
      <c r="O1702" s="2" t="s">
        <v>38</v>
      </c>
      <c r="P1702" s="2" t="s">
        <v>38</v>
      </c>
      <c r="Q1702" s="2" t="s">
        <v>38</v>
      </c>
      <c r="R1702" s="2" t="s">
        <v>38</v>
      </c>
      <c r="S1702" s="2" t="s">
        <v>38</v>
      </c>
      <c r="T1702" s="2" t="s">
        <v>38</v>
      </c>
      <c r="U1702" s="2" t="s">
        <v>38</v>
      </c>
      <c r="V1702" s="2" t="s">
        <v>38</v>
      </c>
      <c r="W1702" s="2" t="s">
        <v>38</v>
      </c>
      <c r="X1702" s="2" t="s">
        <v>38</v>
      </c>
      <c r="Y1702" s="2" t="s">
        <v>38</v>
      </c>
      <c r="Z1702" s="2" t="s">
        <v>38</v>
      </c>
      <c r="AA1702" s="2" t="s">
        <v>38</v>
      </c>
      <c r="AB1702" s="2" t="s">
        <v>38</v>
      </c>
      <c r="AC1702" s="2" t="s">
        <v>38</v>
      </c>
      <c r="AD1702" s="2" t="s">
        <v>38</v>
      </c>
      <c r="AE1702" s="2" t="s">
        <v>38</v>
      </c>
    </row>
    <row r="1703" spans="1:31" ht="409.5">
      <c r="A1703" s="2">
        <v>2518369</v>
      </c>
      <c r="B1703" s="2">
        <f>HYPERLINK("https://platform.v2.vetology.net/cases/2518369/screening-report/18?type=pdf&amp;v=v6&amp;scorecard=1&amp;secret_key=BX%25IJ%24%2F65ieZ%29f6", 2518369)</f>
        <v>2518369</v>
      </c>
      <c r="C1703" s="2">
        <f>HYPERLINK("https://platform.v2.vetology.net/report/v/final/"&amp;2518369, 2518369)</f>
        <v>2518369</v>
      </c>
      <c r="D1703" s="2" t="s">
        <v>4807</v>
      </c>
      <c r="E1703" s="2" t="s">
        <v>4808</v>
      </c>
      <c r="F1703" s="2" t="s">
        <v>4809</v>
      </c>
      <c r="G1703" s="2" t="s">
        <v>268</v>
      </c>
      <c r="H1703" s="2" t="s">
        <v>54</v>
      </c>
      <c r="I1703" s="2" t="s">
        <v>44</v>
      </c>
      <c r="J1703" s="2"/>
      <c r="K1703" s="2" t="s">
        <v>38</v>
      </c>
      <c r="L1703" s="2" t="s">
        <v>39</v>
      </c>
      <c r="M1703" s="2" t="s">
        <v>38</v>
      </c>
      <c r="N1703" s="2" t="s">
        <v>38</v>
      </c>
      <c r="O1703" s="2" t="s">
        <v>38</v>
      </c>
      <c r="P1703" s="2" t="s">
        <v>38</v>
      </c>
      <c r="Q1703" s="2" t="s">
        <v>38</v>
      </c>
      <c r="R1703" s="2" t="s">
        <v>38</v>
      </c>
      <c r="S1703" s="2" t="s">
        <v>38</v>
      </c>
      <c r="T1703" s="2" t="s">
        <v>38</v>
      </c>
      <c r="U1703" s="2" t="s">
        <v>38</v>
      </c>
      <c r="V1703" s="2" t="s">
        <v>38</v>
      </c>
      <c r="W1703" s="2" t="s">
        <v>38</v>
      </c>
      <c r="X1703" s="2" t="s">
        <v>38</v>
      </c>
      <c r="Y1703" s="2" t="s">
        <v>38</v>
      </c>
      <c r="Z1703" s="2" t="s">
        <v>38</v>
      </c>
      <c r="AA1703" s="2" t="s">
        <v>38</v>
      </c>
      <c r="AB1703" s="2" t="s">
        <v>38</v>
      </c>
      <c r="AC1703" s="2" t="s">
        <v>38</v>
      </c>
      <c r="AD1703" s="2" t="s">
        <v>38</v>
      </c>
      <c r="AE1703" s="2" t="s">
        <v>38</v>
      </c>
    </row>
    <row r="1704" spans="1:31" ht="409.5">
      <c r="A1704" s="2">
        <v>2518325</v>
      </c>
      <c r="B1704" s="2">
        <f>HYPERLINK("https://platform.v2.vetology.net/cases/2518325/screening-report/18?type=pdf&amp;v=v6&amp;scorecard=1&amp;secret_key=BX%25IJ%24%2F65ieZ%29f6", 2518325)</f>
        <v>2518325</v>
      </c>
      <c r="C1704" s="2">
        <f>HYPERLINK("https://platform.v2.vetology.net/report/v/final/"&amp;2518325, 2518325)</f>
        <v>2518325</v>
      </c>
      <c r="D1704" s="2" t="s">
        <v>4810</v>
      </c>
      <c r="E1704" s="2" t="s">
        <v>4811</v>
      </c>
      <c r="F1704" s="2"/>
      <c r="G1704" s="2" t="s">
        <v>141</v>
      </c>
      <c r="H1704" s="2" t="s">
        <v>2000</v>
      </c>
      <c r="I1704" s="2" t="s">
        <v>65</v>
      </c>
      <c r="J1704" s="2" t="s">
        <v>66</v>
      </c>
      <c r="K1704" s="2" t="s">
        <v>38</v>
      </c>
      <c r="L1704" s="2" t="s">
        <v>39</v>
      </c>
      <c r="M1704" s="2" t="s">
        <v>39</v>
      </c>
      <c r="N1704" s="2" t="s">
        <v>39</v>
      </c>
      <c r="O1704" s="2" t="s">
        <v>39</v>
      </c>
      <c r="P1704" s="2" t="s">
        <v>39</v>
      </c>
      <c r="Q1704" s="2" t="s">
        <v>39</v>
      </c>
      <c r="R1704" s="2" t="s">
        <v>38</v>
      </c>
      <c r="S1704" s="2" t="s">
        <v>38</v>
      </c>
      <c r="T1704" s="2" t="s">
        <v>39</v>
      </c>
      <c r="U1704" s="2" t="s">
        <v>38</v>
      </c>
      <c r="V1704" s="2" t="s">
        <v>39</v>
      </c>
      <c r="W1704" s="2" t="s">
        <v>38</v>
      </c>
      <c r="X1704" s="2" t="s">
        <v>39</v>
      </c>
      <c r="Y1704" s="2" t="s">
        <v>38</v>
      </c>
      <c r="Z1704" s="2" t="s">
        <v>39</v>
      </c>
      <c r="AA1704" s="2" t="s">
        <v>38</v>
      </c>
      <c r="AB1704" s="2" t="s">
        <v>39</v>
      </c>
      <c r="AC1704" s="2" t="s">
        <v>38</v>
      </c>
      <c r="AD1704" s="2" t="s">
        <v>38</v>
      </c>
      <c r="AE1704" s="2" t="s">
        <v>38</v>
      </c>
    </row>
    <row r="1705" spans="1:31" ht="409.5">
      <c r="A1705" s="2">
        <v>2518126</v>
      </c>
      <c r="B1705" s="2">
        <f>HYPERLINK("https://platform.v2.vetology.net/cases/2518126/screening-report/18?type=pdf&amp;v=v6&amp;scorecard=1&amp;secret_key=BX%25IJ%24%2F65ieZ%29f6", 2518126)</f>
        <v>2518126</v>
      </c>
      <c r="C1705" s="2">
        <f>HYPERLINK("https://platform.v2.vetology.net/report/v/final/"&amp;2518126, 2518126)</f>
        <v>2518126</v>
      </c>
      <c r="D1705" s="2" t="s">
        <v>4812</v>
      </c>
      <c r="E1705" s="2" t="s">
        <v>686</v>
      </c>
      <c r="F1705" s="2" t="s">
        <v>4813</v>
      </c>
      <c r="G1705" s="2" t="s">
        <v>150</v>
      </c>
      <c r="H1705" s="2" t="s">
        <v>4814</v>
      </c>
      <c r="I1705" s="2" t="s">
        <v>214</v>
      </c>
      <c r="J1705" s="2" t="s">
        <v>50</v>
      </c>
      <c r="K1705" s="2" t="s">
        <v>38</v>
      </c>
      <c r="L1705" s="2" t="s">
        <v>38</v>
      </c>
      <c r="M1705" s="2" t="s">
        <v>38</v>
      </c>
      <c r="N1705" s="2" t="s">
        <v>38</v>
      </c>
      <c r="O1705" s="2" t="s">
        <v>38</v>
      </c>
      <c r="P1705" s="2" t="s">
        <v>39</v>
      </c>
      <c r="Q1705" s="2" t="s">
        <v>39</v>
      </c>
      <c r="R1705" s="2" t="s">
        <v>38</v>
      </c>
      <c r="S1705" s="2" t="s">
        <v>38</v>
      </c>
      <c r="T1705" s="2" t="s">
        <v>39</v>
      </c>
      <c r="U1705" s="2" t="s">
        <v>38</v>
      </c>
      <c r="V1705" s="2" t="s">
        <v>38</v>
      </c>
      <c r="W1705" s="2" t="s">
        <v>38</v>
      </c>
      <c r="X1705" s="2" t="s">
        <v>39</v>
      </c>
      <c r="Y1705" s="2" t="s">
        <v>38</v>
      </c>
      <c r="Z1705" s="2" t="s">
        <v>38</v>
      </c>
      <c r="AA1705" s="2" t="s">
        <v>38</v>
      </c>
      <c r="AB1705" s="2" t="s">
        <v>39</v>
      </c>
      <c r="AC1705" s="2" t="s">
        <v>38</v>
      </c>
      <c r="AD1705" s="2" t="s">
        <v>38</v>
      </c>
      <c r="AE1705" s="2" t="s">
        <v>38</v>
      </c>
    </row>
    <row r="1706" spans="1:31" ht="409.5">
      <c r="A1706" s="2">
        <v>2518123</v>
      </c>
      <c r="B1706" s="2">
        <f>HYPERLINK("https://platform.v2.vetology.net/cases/2518123/screening-report/18?type=pdf&amp;v=v6&amp;scorecard=1&amp;secret_key=BX%25IJ%24%2F65ieZ%29f6", 2518123)</f>
        <v>2518123</v>
      </c>
      <c r="C1706" s="2">
        <f>HYPERLINK("https://platform.v2.vetology.net/report/v/final/"&amp;2518123, 2518123)</f>
        <v>2518123</v>
      </c>
      <c r="D1706" s="2" t="s">
        <v>4815</v>
      </c>
      <c r="E1706" s="2" t="s">
        <v>4816</v>
      </c>
      <c r="F1706" s="2" t="s">
        <v>4817</v>
      </c>
      <c r="G1706" s="2" t="s">
        <v>58</v>
      </c>
      <c r="H1706" s="2" t="s">
        <v>4818</v>
      </c>
      <c r="I1706" s="2" t="s">
        <v>382</v>
      </c>
      <c r="J1706" s="2" t="s">
        <v>710</v>
      </c>
      <c r="K1706" s="2" t="s">
        <v>38</v>
      </c>
      <c r="L1706" s="2" t="s">
        <v>39</v>
      </c>
      <c r="M1706" s="2" t="s">
        <v>38</v>
      </c>
      <c r="N1706" s="2" t="s">
        <v>38</v>
      </c>
      <c r="O1706" s="2" t="s">
        <v>38</v>
      </c>
      <c r="P1706" s="2" t="s">
        <v>38</v>
      </c>
      <c r="Q1706" s="2" t="s">
        <v>38</v>
      </c>
      <c r="R1706" s="2" t="s">
        <v>38</v>
      </c>
      <c r="S1706" s="2" t="s">
        <v>39</v>
      </c>
      <c r="T1706" s="2" t="s">
        <v>39</v>
      </c>
      <c r="U1706" s="2" t="s">
        <v>38</v>
      </c>
      <c r="V1706" s="2" t="s">
        <v>39</v>
      </c>
      <c r="W1706" s="2" t="s">
        <v>38</v>
      </c>
      <c r="X1706" s="2" t="s">
        <v>39</v>
      </c>
      <c r="Y1706" s="2" t="s">
        <v>38</v>
      </c>
      <c r="Z1706" s="2" t="s">
        <v>39</v>
      </c>
      <c r="AA1706" s="2" t="s">
        <v>38</v>
      </c>
      <c r="AB1706" s="2" t="s">
        <v>39</v>
      </c>
      <c r="AC1706" s="2" t="s">
        <v>38</v>
      </c>
      <c r="AD1706" s="2" t="s">
        <v>38</v>
      </c>
      <c r="AE1706" s="2" t="s">
        <v>38</v>
      </c>
    </row>
    <row r="1707" spans="1:31" ht="409.5">
      <c r="A1707" s="2">
        <v>2518107</v>
      </c>
      <c r="B1707" s="2">
        <f>HYPERLINK("https://platform.v2.vetology.net/cases/2518107/screening-report/18?type=pdf&amp;v=v6&amp;scorecard=1&amp;secret_key=BX%25IJ%24%2F65ieZ%29f6", 2518107)</f>
        <v>2518107</v>
      </c>
      <c r="C1707" s="2">
        <f>HYPERLINK("https://platform.v2.vetology.net/report/v/final/"&amp;2518107, 2518107)</f>
        <v>2518107</v>
      </c>
      <c r="D1707" s="2" t="s">
        <v>4819</v>
      </c>
      <c r="E1707" s="2" t="s">
        <v>4820</v>
      </c>
      <c r="F1707" s="2" t="s">
        <v>4821</v>
      </c>
      <c r="G1707" s="2" t="s">
        <v>93</v>
      </c>
      <c r="H1707" s="2" t="s">
        <v>2278</v>
      </c>
      <c r="I1707" s="2" t="s">
        <v>1728</v>
      </c>
      <c r="J1707" s="2" t="s">
        <v>208</v>
      </c>
      <c r="K1707" s="2" t="s">
        <v>38</v>
      </c>
      <c r="L1707" s="2" t="s">
        <v>39</v>
      </c>
      <c r="M1707" s="2" t="s">
        <v>39</v>
      </c>
      <c r="N1707" s="2" t="s">
        <v>39</v>
      </c>
      <c r="O1707" s="2" t="s">
        <v>38</v>
      </c>
      <c r="P1707" s="2" t="s">
        <v>39</v>
      </c>
      <c r="Q1707" s="2" t="s">
        <v>38</v>
      </c>
      <c r="R1707" s="2" t="s">
        <v>38</v>
      </c>
      <c r="S1707" s="2" t="s">
        <v>38</v>
      </c>
      <c r="T1707" s="2" t="s">
        <v>38</v>
      </c>
      <c r="U1707" s="2" t="s">
        <v>38</v>
      </c>
      <c r="V1707" s="2" t="s">
        <v>38</v>
      </c>
      <c r="W1707" s="2" t="s">
        <v>38</v>
      </c>
      <c r="X1707" s="2" t="s">
        <v>38</v>
      </c>
      <c r="Y1707" s="2" t="s">
        <v>38</v>
      </c>
      <c r="Z1707" s="2" t="s">
        <v>39</v>
      </c>
      <c r="AA1707" s="2" t="s">
        <v>38</v>
      </c>
      <c r="AB1707" s="2" t="s">
        <v>39</v>
      </c>
      <c r="AC1707" s="2" t="s">
        <v>38</v>
      </c>
      <c r="AD1707" s="2" t="s">
        <v>38</v>
      </c>
      <c r="AE1707" s="2" t="s">
        <v>38</v>
      </c>
    </row>
    <row r="1708" spans="1:31" ht="409.5">
      <c r="A1708" s="2">
        <v>2517961</v>
      </c>
      <c r="B1708" s="2">
        <f>HYPERLINK("https://platform.v2.vetology.net/cases/2517961/screening-report/18?type=pdf&amp;v=v6&amp;scorecard=1&amp;secret_key=BX%25IJ%24%2F65ieZ%29f6", 2517961)</f>
        <v>2517961</v>
      </c>
      <c r="C1708" s="2">
        <f>HYPERLINK("https://platform.v2.vetology.net/report/v/final/"&amp;2517961, 2517961)</f>
        <v>2517961</v>
      </c>
      <c r="D1708" s="2" t="s">
        <v>4822</v>
      </c>
      <c r="E1708" s="2" t="s">
        <v>4823</v>
      </c>
      <c r="F1708" s="2" t="s">
        <v>4824</v>
      </c>
      <c r="G1708" s="2" t="s">
        <v>93</v>
      </c>
      <c r="H1708" s="2" t="s">
        <v>78</v>
      </c>
      <c r="I1708" s="2" t="s">
        <v>44</v>
      </c>
      <c r="J1708" s="2"/>
      <c r="K1708" s="2" t="s">
        <v>38</v>
      </c>
      <c r="L1708" s="2" t="s">
        <v>38</v>
      </c>
      <c r="M1708" s="2" t="s">
        <v>38</v>
      </c>
      <c r="N1708" s="2" t="s">
        <v>38</v>
      </c>
      <c r="O1708" s="2" t="s">
        <v>38</v>
      </c>
      <c r="P1708" s="2" t="s">
        <v>38</v>
      </c>
      <c r="Q1708" s="2" t="s">
        <v>38</v>
      </c>
      <c r="R1708" s="2" t="s">
        <v>38</v>
      </c>
      <c r="S1708" s="2" t="s">
        <v>38</v>
      </c>
      <c r="T1708" s="2" t="s">
        <v>39</v>
      </c>
      <c r="U1708" s="2" t="s">
        <v>38</v>
      </c>
      <c r="V1708" s="2" t="s">
        <v>38</v>
      </c>
      <c r="W1708" s="2" t="s">
        <v>38</v>
      </c>
      <c r="X1708" s="2" t="s">
        <v>39</v>
      </c>
      <c r="Y1708" s="2" t="s">
        <v>38</v>
      </c>
      <c r="Z1708" s="2" t="s">
        <v>38</v>
      </c>
      <c r="AA1708" s="2" t="s">
        <v>38</v>
      </c>
      <c r="AB1708" s="2" t="s">
        <v>38</v>
      </c>
      <c r="AC1708" s="2" t="s">
        <v>38</v>
      </c>
      <c r="AD1708" s="2" t="s">
        <v>38</v>
      </c>
      <c r="AE1708" s="2" t="s">
        <v>38</v>
      </c>
    </row>
    <row r="1709" spans="1:31" ht="409.5">
      <c r="A1709" s="2">
        <v>2517906</v>
      </c>
      <c r="B1709" s="2">
        <f>HYPERLINK("https://platform.v2.vetology.net/cases/2517906/screening-report/18?type=pdf&amp;v=v6&amp;scorecard=1&amp;secret_key=BX%25IJ%24%2F65ieZ%29f6", 2517906)</f>
        <v>2517906</v>
      </c>
      <c r="C1709" s="2">
        <f>HYPERLINK("https://platform.v2.vetology.net/report/v/final/"&amp;2517906, 2517906)</f>
        <v>2517906</v>
      </c>
      <c r="D1709" s="2" t="s">
        <v>4825</v>
      </c>
      <c r="E1709" s="2" t="s">
        <v>4826</v>
      </c>
      <c r="F1709" s="2" t="s">
        <v>81</v>
      </c>
      <c r="G1709" s="2" t="s">
        <v>82</v>
      </c>
      <c r="H1709" s="2" t="s">
        <v>4507</v>
      </c>
      <c r="I1709" s="2" t="s">
        <v>841</v>
      </c>
      <c r="J1709" s="2" t="s">
        <v>518</v>
      </c>
      <c r="K1709" s="2" t="s">
        <v>38</v>
      </c>
      <c r="L1709" s="2" t="s">
        <v>38</v>
      </c>
      <c r="M1709" s="2" t="s">
        <v>38</v>
      </c>
      <c r="N1709" s="2" t="s">
        <v>39</v>
      </c>
      <c r="O1709" s="2" t="s">
        <v>38</v>
      </c>
      <c r="P1709" s="2" t="s">
        <v>38</v>
      </c>
      <c r="Q1709" s="2" t="s">
        <v>38</v>
      </c>
      <c r="R1709" s="2" t="s">
        <v>38</v>
      </c>
      <c r="S1709" s="2" t="s">
        <v>38</v>
      </c>
      <c r="T1709" s="2" t="s">
        <v>39</v>
      </c>
      <c r="U1709" s="2" t="s">
        <v>38</v>
      </c>
      <c r="V1709" s="2" t="s">
        <v>38</v>
      </c>
      <c r="W1709" s="2" t="s">
        <v>38</v>
      </c>
      <c r="X1709" s="2" t="s">
        <v>39</v>
      </c>
      <c r="Y1709" s="2" t="s">
        <v>38</v>
      </c>
      <c r="Z1709" s="2" t="s">
        <v>38</v>
      </c>
      <c r="AA1709" s="2" t="s">
        <v>38</v>
      </c>
      <c r="AB1709" s="2" t="s">
        <v>38</v>
      </c>
      <c r="AC1709" s="2" t="s">
        <v>38</v>
      </c>
      <c r="AD1709" s="2" t="s">
        <v>38</v>
      </c>
      <c r="AE1709" s="2" t="s">
        <v>38</v>
      </c>
    </row>
    <row r="1710" spans="1:31" ht="409.5">
      <c r="A1710" s="2">
        <v>2517871</v>
      </c>
      <c r="B1710" s="2">
        <f>HYPERLINK("https://platform.v2.vetology.net/cases/2517871/screening-report/18?type=pdf&amp;v=v6&amp;scorecard=1&amp;secret_key=BX%25IJ%24%2F65ieZ%29f6", 2517871)</f>
        <v>2517871</v>
      </c>
      <c r="C1710" s="2">
        <f>HYPERLINK("https://platform.v2.vetology.net/report/v/final/"&amp;2517871, 2517871)</f>
        <v>2517871</v>
      </c>
      <c r="D1710" s="2" t="s">
        <v>4827</v>
      </c>
      <c r="E1710" s="2" t="s">
        <v>1998</v>
      </c>
      <c r="F1710" s="2" t="s">
        <v>4828</v>
      </c>
      <c r="G1710" s="2" t="s">
        <v>135</v>
      </c>
      <c r="H1710" s="2" t="s">
        <v>1585</v>
      </c>
      <c r="I1710" s="2" t="s">
        <v>418</v>
      </c>
      <c r="J1710" s="2" t="s">
        <v>419</v>
      </c>
      <c r="K1710" s="2" t="s">
        <v>38</v>
      </c>
      <c r="L1710" s="2" t="s">
        <v>39</v>
      </c>
      <c r="M1710" s="2" t="s">
        <v>39</v>
      </c>
      <c r="N1710" s="2" t="s">
        <v>38</v>
      </c>
      <c r="O1710" s="2" t="s">
        <v>38</v>
      </c>
      <c r="P1710" s="2" t="s">
        <v>38</v>
      </c>
      <c r="Q1710" s="2" t="s">
        <v>38</v>
      </c>
      <c r="R1710" s="2" t="s">
        <v>38</v>
      </c>
      <c r="S1710" s="2" t="s">
        <v>38</v>
      </c>
      <c r="T1710" s="2" t="s">
        <v>39</v>
      </c>
      <c r="U1710" s="2" t="s">
        <v>39</v>
      </c>
      <c r="V1710" s="2" t="s">
        <v>39</v>
      </c>
      <c r="W1710" s="2" t="s">
        <v>38</v>
      </c>
      <c r="X1710" s="2" t="s">
        <v>39</v>
      </c>
      <c r="Y1710" s="2" t="s">
        <v>38</v>
      </c>
      <c r="Z1710" s="2" t="s">
        <v>39</v>
      </c>
      <c r="AA1710" s="2" t="s">
        <v>38</v>
      </c>
      <c r="AB1710" s="2" t="s">
        <v>38</v>
      </c>
      <c r="AC1710" s="2" t="s">
        <v>38</v>
      </c>
      <c r="AD1710" s="2" t="s">
        <v>38</v>
      </c>
      <c r="AE1710" s="2" t="s">
        <v>38</v>
      </c>
    </row>
    <row r="1711" spans="1:31" ht="409.5">
      <c r="A1711" s="2">
        <v>2517867</v>
      </c>
      <c r="B1711" s="2">
        <f>HYPERLINK("https://platform.v2.vetology.net/cases/2517867/screening-report/18?type=pdf&amp;v=v6&amp;scorecard=1&amp;secret_key=BX%25IJ%24%2F65ieZ%29f6", 2517867)</f>
        <v>2517867</v>
      </c>
      <c r="C1711" s="2">
        <f>HYPERLINK("https://platform.v2.vetology.net/report/v/final/"&amp;2517867, 2517867)</f>
        <v>2517867</v>
      </c>
      <c r="D1711" s="2" t="s">
        <v>4829</v>
      </c>
      <c r="E1711" s="2" t="s">
        <v>4830</v>
      </c>
      <c r="F1711" s="2" t="s">
        <v>81</v>
      </c>
      <c r="G1711" s="2" t="s">
        <v>82</v>
      </c>
      <c r="H1711" s="2" t="s">
        <v>360</v>
      </c>
      <c r="I1711" s="2" t="s">
        <v>284</v>
      </c>
      <c r="J1711" s="2" t="s">
        <v>285</v>
      </c>
      <c r="K1711" s="2" t="s">
        <v>38</v>
      </c>
      <c r="L1711" s="2" t="s">
        <v>38</v>
      </c>
      <c r="M1711" s="2" t="s">
        <v>38</v>
      </c>
      <c r="N1711" s="2" t="s">
        <v>38</v>
      </c>
      <c r="O1711" s="2" t="s">
        <v>38</v>
      </c>
      <c r="P1711" s="2" t="s">
        <v>38</v>
      </c>
      <c r="Q1711" s="2" t="s">
        <v>38</v>
      </c>
      <c r="R1711" s="2" t="s">
        <v>38</v>
      </c>
      <c r="S1711" s="2" t="s">
        <v>38</v>
      </c>
      <c r="T1711" s="2" t="s">
        <v>38</v>
      </c>
      <c r="U1711" s="2" t="s">
        <v>38</v>
      </c>
      <c r="V1711" s="2" t="s">
        <v>38</v>
      </c>
      <c r="W1711" s="2" t="s">
        <v>38</v>
      </c>
      <c r="X1711" s="2" t="s">
        <v>39</v>
      </c>
      <c r="Y1711" s="2" t="s">
        <v>38</v>
      </c>
      <c r="Z1711" s="2" t="s">
        <v>38</v>
      </c>
      <c r="AA1711" s="2" t="s">
        <v>38</v>
      </c>
      <c r="AB1711" s="2" t="s">
        <v>38</v>
      </c>
      <c r="AC1711" s="2" t="s">
        <v>38</v>
      </c>
      <c r="AD1711" s="2" t="s">
        <v>38</v>
      </c>
      <c r="AE1711" s="2" t="s">
        <v>38</v>
      </c>
    </row>
    <row r="1712" spans="1:31" ht="409.5">
      <c r="A1712" s="2">
        <v>2517693</v>
      </c>
      <c r="B1712" s="2">
        <f>HYPERLINK("https://platform.v2.vetology.net/cases/2517693/screening-report/18?type=pdf&amp;v=v6&amp;scorecard=1&amp;secret_key=BX%25IJ%24%2F65ieZ%29f6", 2517693)</f>
        <v>2517693</v>
      </c>
      <c r="C1712" s="2">
        <f>HYPERLINK("https://platform.v2.vetology.net/report/v/final/"&amp;2517693, 2517693)</f>
        <v>2517693</v>
      </c>
      <c r="D1712" s="2" t="s">
        <v>4831</v>
      </c>
      <c r="E1712" s="2" t="s">
        <v>4832</v>
      </c>
      <c r="F1712" s="2" t="s">
        <v>4833</v>
      </c>
      <c r="G1712" s="2" t="s">
        <v>464</v>
      </c>
      <c r="H1712" s="2" t="s">
        <v>54</v>
      </c>
      <c r="I1712" s="2" t="s">
        <v>44</v>
      </c>
      <c r="J1712" s="2" t="s">
        <v>106</v>
      </c>
      <c r="K1712" s="2" t="s">
        <v>38</v>
      </c>
      <c r="L1712" s="2" t="s">
        <v>39</v>
      </c>
      <c r="M1712" s="2" t="s">
        <v>39</v>
      </c>
      <c r="N1712" s="2" t="s">
        <v>38</v>
      </c>
      <c r="O1712" s="2" t="s">
        <v>38</v>
      </c>
      <c r="P1712" s="2" t="s">
        <v>39</v>
      </c>
      <c r="Q1712" s="2" t="s">
        <v>38</v>
      </c>
      <c r="R1712" s="2" t="s">
        <v>38</v>
      </c>
      <c r="S1712" s="2" t="s">
        <v>38</v>
      </c>
      <c r="T1712" s="2" t="s">
        <v>38</v>
      </c>
      <c r="U1712" s="2" t="s">
        <v>38</v>
      </c>
      <c r="V1712" s="2" t="s">
        <v>39</v>
      </c>
      <c r="W1712" s="2" t="s">
        <v>38</v>
      </c>
      <c r="X1712" s="2" t="s">
        <v>39</v>
      </c>
      <c r="Y1712" s="2" t="s">
        <v>38</v>
      </c>
      <c r="Z1712" s="2" t="s">
        <v>38</v>
      </c>
      <c r="AA1712" s="2" t="s">
        <v>38</v>
      </c>
      <c r="AB1712" s="2" t="s">
        <v>39</v>
      </c>
      <c r="AC1712" s="2" t="s">
        <v>39</v>
      </c>
      <c r="AD1712" s="2" t="s">
        <v>38</v>
      </c>
      <c r="AE1712" s="2" t="s">
        <v>38</v>
      </c>
    </row>
    <row r="1713" spans="1:31" ht="409.5">
      <c r="A1713" s="2">
        <v>2517606</v>
      </c>
      <c r="B1713" s="2">
        <f>HYPERLINK("https://platform.v2.vetology.net/cases/2517606/screening-report/18?type=pdf&amp;v=v6&amp;scorecard=1&amp;secret_key=BX%25IJ%24%2F65ieZ%29f6", 2517606)</f>
        <v>2517606</v>
      </c>
      <c r="C1713" s="2">
        <f>HYPERLINK("https://platform.v2.vetology.net/report/v/final/"&amp;2517606, 2517606)</f>
        <v>2517606</v>
      </c>
      <c r="D1713" s="2" t="s">
        <v>4834</v>
      </c>
      <c r="E1713" s="2" t="s">
        <v>4835</v>
      </c>
      <c r="F1713" s="2" t="s">
        <v>4836</v>
      </c>
      <c r="G1713" s="2" t="s">
        <v>150</v>
      </c>
      <c r="H1713" s="2" t="s">
        <v>413</v>
      </c>
      <c r="I1713" s="2" t="s">
        <v>214</v>
      </c>
      <c r="J1713" s="2" t="s">
        <v>50</v>
      </c>
      <c r="K1713" s="2" t="s">
        <v>38</v>
      </c>
      <c r="L1713" s="2" t="s">
        <v>39</v>
      </c>
      <c r="M1713" s="2" t="s">
        <v>38</v>
      </c>
      <c r="N1713" s="2" t="s">
        <v>38</v>
      </c>
      <c r="O1713" s="2" t="s">
        <v>38</v>
      </c>
      <c r="P1713" s="2" t="s">
        <v>38</v>
      </c>
      <c r="Q1713" s="2" t="s">
        <v>38</v>
      </c>
      <c r="R1713" s="2" t="s">
        <v>38</v>
      </c>
      <c r="S1713" s="2" t="s">
        <v>38</v>
      </c>
      <c r="T1713" s="2" t="s">
        <v>39</v>
      </c>
      <c r="U1713" s="2" t="s">
        <v>38</v>
      </c>
      <c r="V1713" s="2" t="s">
        <v>38</v>
      </c>
      <c r="W1713" s="2" t="s">
        <v>38</v>
      </c>
      <c r="X1713" s="2" t="s">
        <v>39</v>
      </c>
      <c r="Y1713" s="2" t="s">
        <v>38</v>
      </c>
      <c r="Z1713" s="2" t="s">
        <v>38</v>
      </c>
      <c r="AA1713" s="2" t="s">
        <v>38</v>
      </c>
      <c r="AB1713" s="2" t="s">
        <v>39</v>
      </c>
      <c r="AC1713" s="2" t="s">
        <v>38</v>
      </c>
      <c r="AD1713" s="2" t="s">
        <v>38</v>
      </c>
      <c r="AE1713" s="2" t="s">
        <v>38</v>
      </c>
    </row>
    <row r="1714" spans="1:31" ht="409.5">
      <c r="A1714" s="2">
        <v>2517597</v>
      </c>
      <c r="B1714" s="2">
        <f>HYPERLINK("https://platform.v2.vetology.net/cases/2517597/screening-report/18?type=pdf&amp;v=v6&amp;scorecard=1&amp;secret_key=BX%25IJ%24%2F65ieZ%29f6", 2517597)</f>
        <v>2517597</v>
      </c>
      <c r="C1714" s="2">
        <f>HYPERLINK("https://platform.v2.vetology.net/report/v/final/"&amp;2517597, 2517597)</f>
        <v>2517597</v>
      </c>
      <c r="D1714" s="2" t="s">
        <v>4837</v>
      </c>
      <c r="E1714" s="2" t="s">
        <v>911</v>
      </c>
      <c r="F1714" s="2"/>
      <c r="G1714" s="2" t="s">
        <v>150</v>
      </c>
      <c r="H1714" s="2" t="s">
        <v>2642</v>
      </c>
      <c r="I1714" s="2" t="s">
        <v>214</v>
      </c>
      <c r="J1714" s="2" t="s">
        <v>50</v>
      </c>
      <c r="K1714" s="2" t="s">
        <v>38</v>
      </c>
      <c r="L1714" s="2" t="s">
        <v>39</v>
      </c>
      <c r="M1714" s="2" t="s">
        <v>38</v>
      </c>
      <c r="N1714" s="2" t="s">
        <v>38</v>
      </c>
      <c r="O1714" s="2" t="s">
        <v>38</v>
      </c>
      <c r="P1714" s="2" t="s">
        <v>38</v>
      </c>
      <c r="Q1714" s="2" t="s">
        <v>38</v>
      </c>
      <c r="R1714" s="2" t="s">
        <v>38</v>
      </c>
      <c r="S1714" s="2" t="s">
        <v>38</v>
      </c>
      <c r="T1714" s="2" t="s">
        <v>39</v>
      </c>
      <c r="U1714" s="2" t="s">
        <v>39</v>
      </c>
      <c r="V1714" s="2" t="s">
        <v>38</v>
      </c>
      <c r="W1714" s="2" t="s">
        <v>38</v>
      </c>
      <c r="X1714" s="2" t="s">
        <v>39</v>
      </c>
      <c r="Y1714" s="2" t="s">
        <v>38</v>
      </c>
      <c r="Z1714" s="2" t="s">
        <v>39</v>
      </c>
      <c r="AA1714" s="2" t="s">
        <v>38</v>
      </c>
      <c r="AB1714" s="2" t="s">
        <v>39</v>
      </c>
      <c r="AC1714" s="2" t="s">
        <v>39</v>
      </c>
      <c r="AD1714" s="2" t="s">
        <v>38</v>
      </c>
      <c r="AE1714" s="2" t="s">
        <v>38</v>
      </c>
    </row>
    <row r="1715" spans="1:31" ht="409.5">
      <c r="A1715" s="2">
        <v>2517205</v>
      </c>
      <c r="B1715" s="2">
        <f>HYPERLINK("https://platform.v2.vetology.net/cases/2517205/screening-report/18?type=pdf&amp;v=v6&amp;scorecard=1&amp;secret_key=BX%25IJ%24%2F65ieZ%29f6", 2517205)</f>
        <v>2517205</v>
      </c>
      <c r="C1715" s="2">
        <f>HYPERLINK("https://platform.v2.vetology.net/report/v/final/"&amp;2517205, 2517205)</f>
        <v>2517205</v>
      </c>
      <c r="D1715" s="2" t="s">
        <v>4838</v>
      </c>
      <c r="E1715" s="2" t="s">
        <v>4839</v>
      </c>
      <c r="F1715" s="2" t="s">
        <v>4840</v>
      </c>
      <c r="G1715" s="2" t="s">
        <v>268</v>
      </c>
      <c r="H1715" s="2" t="s">
        <v>688</v>
      </c>
      <c r="I1715" s="2" t="s">
        <v>689</v>
      </c>
      <c r="J1715" s="2" t="s">
        <v>690</v>
      </c>
      <c r="K1715" s="2" t="s">
        <v>38</v>
      </c>
      <c r="L1715" s="2" t="s">
        <v>39</v>
      </c>
      <c r="M1715" s="2" t="s">
        <v>39</v>
      </c>
      <c r="N1715" s="2" t="s">
        <v>38</v>
      </c>
      <c r="O1715" s="2" t="s">
        <v>38</v>
      </c>
      <c r="P1715" s="2" t="s">
        <v>39</v>
      </c>
      <c r="Q1715" s="2" t="s">
        <v>38</v>
      </c>
      <c r="R1715" s="2" t="s">
        <v>38</v>
      </c>
      <c r="S1715" s="2" t="s">
        <v>38</v>
      </c>
      <c r="T1715" s="2" t="s">
        <v>39</v>
      </c>
      <c r="U1715" s="2" t="s">
        <v>38</v>
      </c>
      <c r="V1715" s="2" t="s">
        <v>39</v>
      </c>
      <c r="W1715" s="2" t="s">
        <v>39</v>
      </c>
      <c r="X1715" s="2" t="s">
        <v>39</v>
      </c>
      <c r="Y1715" s="2" t="s">
        <v>39</v>
      </c>
      <c r="Z1715" s="2" t="s">
        <v>38</v>
      </c>
      <c r="AA1715" s="2" t="s">
        <v>38</v>
      </c>
      <c r="AB1715" s="2" t="s">
        <v>39</v>
      </c>
      <c r="AC1715" s="2" t="s">
        <v>39</v>
      </c>
      <c r="AD1715" s="2" t="s">
        <v>38</v>
      </c>
      <c r="AE1715" s="2" t="s">
        <v>38</v>
      </c>
    </row>
    <row r="1716" spans="1:31" ht="409.5">
      <c r="A1716" s="2">
        <v>2517144</v>
      </c>
      <c r="B1716" s="2">
        <f>HYPERLINK("https://platform.v2.vetology.net/cases/2517144/screening-report/18?type=pdf&amp;v=v6&amp;scorecard=1&amp;secret_key=BX%25IJ%24%2F65ieZ%29f6", 2517144)</f>
        <v>2517144</v>
      </c>
      <c r="C1716" s="2">
        <f>HYPERLINK("https://platform.v2.vetology.net/report/v/final/"&amp;2517144, 2517144)</f>
        <v>2517144</v>
      </c>
      <c r="D1716" s="2" t="s">
        <v>4841</v>
      </c>
      <c r="E1716" s="2" t="s">
        <v>4842</v>
      </c>
      <c r="F1716" s="2" t="s">
        <v>4843</v>
      </c>
      <c r="G1716" s="2" t="s">
        <v>93</v>
      </c>
      <c r="H1716" s="2" t="s">
        <v>157</v>
      </c>
      <c r="I1716" s="2" t="s">
        <v>158</v>
      </c>
      <c r="J1716" s="2" t="s">
        <v>50</v>
      </c>
      <c r="K1716" s="2" t="s">
        <v>38</v>
      </c>
      <c r="L1716" s="2" t="s">
        <v>39</v>
      </c>
      <c r="M1716" s="2" t="s">
        <v>39</v>
      </c>
      <c r="N1716" s="2" t="s">
        <v>38</v>
      </c>
      <c r="O1716" s="2" t="s">
        <v>38</v>
      </c>
      <c r="P1716" s="2" t="s">
        <v>39</v>
      </c>
      <c r="Q1716" s="2" t="s">
        <v>38</v>
      </c>
      <c r="R1716" s="2" t="s">
        <v>38</v>
      </c>
      <c r="S1716" s="2" t="s">
        <v>39</v>
      </c>
      <c r="T1716" s="2" t="s">
        <v>38</v>
      </c>
      <c r="U1716" s="2" t="s">
        <v>38</v>
      </c>
      <c r="V1716" s="2" t="s">
        <v>38</v>
      </c>
      <c r="W1716" s="2" t="s">
        <v>38</v>
      </c>
      <c r="X1716" s="2" t="s">
        <v>38</v>
      </c>
      <c r="Y1716" s="2" t="s">
        <v>38</v>
      </c>
      <c r="Z1716" s="2" t="s">
        <v>39</v>
      </c>
      <c r="AA1716" s="2" t="s">
        <v>38</v>
      </c>
      <c r="AB1716" s="2" t="s">
        <v>38</v>
      </c>
      <c r="AC1716" s="2" t="s">
        <v>38</v>
      </c>
      <c r="AD1716" s="2" t="s">
        <v>38</v>
      </c>
      <c r="AE1716" s="2" t="s">
        <v>38</v>
      </c>
    </row>
    <row r="1717" spans="1:31" ht="409.5">
      <c r="A1717" s="2">
        <v>2516768</v>
      </c>
      <c r="B1717" s="2">
        <f>HYPERLINK("https://platform.v2.vetology.net/cases/2516768/screening-report/18?type=pdf&amp;v=v6&amp;scorecard=1&amp;secret_key=BX%25IJ%24%2F65ieZ%29f6", 2516768)</f>
        <v>2516768</v>
      </c>
      <c r="C1717" s="2">
        <f>HYPERLINK("https://platform.v2.vetology.net/report/v/final/"&amp;2516768, 2516768)</f>
        <v>2516768</v>
      </c>
      <c r="D1717" s="2" t="s">
        <v>4844</v>
      </c>
      <c r="E1717" s="2" t="s">
        <v>4845</v>
      </c>
      <c r="F1717" s="2" t="s">
        <v>4846</v>
      </c>
      <c r="G1717" s="2" t="s">
        <v>268</v>
      </c>
      <c r="H1717" s="2" t="s">
        <v>4847</v>
      </c>
      <c r="I1717" s="2" t="s">
        <v>870</v>
      </c>
      <c r="J1717" s="2" t="s">
        <v>518</v>
      </c>
      <c r="K1717" s="2" t="s">
        <v>38</v>
      </c>
      <c r="L1717" s="2" t="s">
        <v>39</v>
      </c>
      <c r="M1717" s="2" t="s">
        <v>39</v>
      </c>
      <c r="N1717" s="2" t="s">
        <v>38</v>
      </c>
      <c r="O1717" s="2" t="s">
        <v>39</v>
      </c>
      <c r="P1717" s="2" t="s">
        <v>39</v>
      </c>
      <c r="Q1717" s="2" t="s">
        <v>39</v>
      </c>
      <c r="R1717" s="2" t="s">
        <v>38</v>
      </c>
      <c r="S1717" s="2" t="s">
        <v>39</v>
      </c>
      <c r="T1717" s="2" t="s">
        <v>39</v>
      </c>
      <c r="U1717" s="2" t="s">
        <v>39</v>
      </c>
      <c r="V1717" s="2" t="s">
        <v>39</v>
      </c>
      <c r="W1717" s="2" t="s">
        <v>38</v>
      </c>
      <c r="X1717" s="2" t="s">
        <v>39</v>
      </c>
      <c r="Y1717" s="2" t="s">
        <v>38</v>
      </c>
      <c r="Z1717" s="2" t="s">
        <v>39</v>
      </c>
      <c r="AA1717" s="2" t="s">
        <v>38</v>
      </c>
      <c r="AB1717" s="2" t="s">
        <v>39</v>
      </c>
      <c r="AC1717" s="2" t="s">
        <v>39</v>
      </c>
      <c r="AD1717" s="2" t="s">
        <v>38</v>
      </c>
      <c r="AE1717" s="2" t="s">
        <v>38</v>
      </c>
    </row>
    <row r="1718" spans="1:31" ht="409.5">
      <c r="A1718" s="2">
        <v>2516588</v>
      </c>
      <c r="B1718" s="2">
        <f>HYPERLINK("https://platform.v2.vetology.net/cases/2516588/screening-report/18?type=pdf&amp;v=v6&amp;scorecard=1&amp;secret_key=BX%25IJ%24%2F65ieZ%29f6", 2516588)</f>
        <v>2516588</v>
      </c>
      <c r="C1718" s="2">
        <f>HYPERLINK("https://platform.v2.vetology.net/report/v/final/"&amp;2516588, 2516588)</f>
        <v>2516588</v>
      </c>
      <c r="D1718" s="2" t="s">
        <v>4848</v>
      </c>
      <c r="E1718" s="2" t="s">
        <v>4849</v>
      </c>
      <c r="F1718" s="2" t="s">
        <v>4850</v>
      </c>
      <c r="G1718" s="2" t="s">
        <v>93</v>
      </c>
      <c r="H1718" s="2" t="s">
        <v>78</v>
      </c>
      <c r="I1718" s="2" t="s">
        <v>44</v>
      </c>
      <c r="J1718" s="2"/>
      <c r="K1718" s="2" t="s">
        <v>38</v>
      </c>
      <c r="L1718" s="2" t="s">
        <v>38</v>
      </c>
      <c r="M1718" s="2" t="s">
        <v>39</v>
      </c>
      <c r="N1718" s="2" t="s">
        <v>38</v>
      </c>
      <c r="O1718" s="2" t="s">
        <v>38</v>
      </c>
      <c r="P1718" s="2" t="s">
        <v>38</v>
      </c>
      <c r="Q1718" s="2" t="s">
        <v>38</v>
      </c>
      <c r="R1718" s="2" t="s">
        <v>38</v>
      </c>
      <c r="S1718" s="2" t="s">
        <v>38</v>
      </c>
      <c r="T1718" s="2" t="s">
        <v>38</v>
      </c>
      <c r="U1718" s="2" t="s">
        <v>38</v>
      </c>
      <c r="V1718" s="2" t="s">
        <v>38</v>
      </c>
      <c r="W1718" s="2" t="s">
        <v>38</v>
      </c>
      <c r="X1718" s="2" t="s">
        <v>38</v>
      </c>
      <c r="Y1718" s="2" t="s">
        <v>38</v>
      </c>
      <c r="Z1718" s="2" t="s">
        <v>38</v>
      </c>
      <c r="AA1718" s="2" t="s">
        <v>38</v>
      </c>
      <c r="AB1718" s="2" t="s">
        <v>38</v>
      </c>
      <c r="AC1718" s="2" t="s">
        <v>38</v>
      </c>
      <c r="AD1718" s="2" t="s">
        <v>38</v>
      </c>
      <c r="AE1718" s="2" t="s">
        <v>38</v>
      </c>
    </row>
    <row r="1719" spans="1:31" ht="409.5">
      <c r="A1719" s="2">
        <v>2516577</v>
      </c>
      <c r="B1719" s="2">
        <f>HYPERLINK("https://platform.v2.vetology.net/cases/2516577/screening-report/18?type=pdf&amp;v=v6&amp;scorecard=1&amp;secret_key=BX%25IJ%24%2F65ieZ%29f6", 2516577)</f>
        <v>2516577</v>
      </c>
      <c r="C1719" s="2">
        <f>HYPERLINK("https://platform.v2.vetology.net/report/v/final/"&amp;2516577, 2516577)</f>
        <v>2516577</v>
      </c>
      <c r="D1719" s="2" t="s">
        <v>4851</v>
      </c>
      <c r="E1719" s="2" t="s">
        <v>4852</v>
      </c>
      <c r="F1719" s="2" t="s">
        <v>81</v>
      </c>
      <c r="G1719" s="2" t="s">
        <v>82</v>
      </c>
      <c r="H1719" s="2" t="s">
        <v>254</v>
      </c>
      <c r="I1719" s="2" t="s">
        <v>89</v>
      </c>
      <c r="J1719" s="2" t="s">
        <v>66</v>
      </c>
      <c r="K1719" s="2" t="s">
        <v>38</v>
      </c>
      <c r="L1719" s="2" t="s">
        <v>38</v>
      </c>
      <c r="M1719" s="2" t="s">
        <v>39</v>
      </c>
      <c r="N1719" s="2" t="s">
        <v>38</v>
      </c>
      <c r="O1719" s="2" t="s">
        <v>38</v>
      </c>
      <c r="P1719" s="2" t="s">
        <v>38</v>
      </c>
      <c r="Q1719" s="2" t="s">
        <v>38</v>
      </c>
      <c r="R1719" s="2" t="s">
        <v>38</v>
      </c>
      <c r="S1719" s="2" t="s">
        <v>38</v>
      </c>
      <c r="T1719" s="2" t="s">
        <v>38</v>
      </c>
      <c r="U1719" s="2" t="s">
        <v>38</v>
      </c>
      <c r="V1719" s="2" t="s">
        <v>38</v>
      </c>
      <c r="W1719" s="2" t="s">
        <v>38</v>
      </c>
      <c r="X1719" s="2" t="s">
        <v>38</v>
      </c>
      <c r="Y1719" s="2" t="s">
        <v>38</v>
      </c>
      <c r="Z1719" s="2" t="s">
        <v>38</v>
      </c>
      <c r="AA1719" s="2" t="s">
        <v>38</v>
      </c>
      <c r="AB1719" s="2" t="s">
        <v>38</v>
      </c>
      <c r="AC1719" s="2" t="s">
        <v>39</v>
      </c>
      <c r="AD1719" s="2" t="s">
        <v>38</v>
      </c>
      <c r="AE1719" s="2" t="s">
        <v>38</v>
      </c>
    </row>
    <row r="1720" spans="1:31" ht="409.5">
      <c r="A1720" s="2">
        <v>2516554</v>
      </c>
      <c r="B1720" s="2">
        <f>HYPERLINK("https://platform.v2.vetology.net/cases/2516554/screening-report/18?type=pdf&amp;v=v6&amp;scorecard=1&amp;secret_key=BX%25IJ%24%2F65ieZ%29f6", 2516554)</f>
        <v>2516554</v>
      </c>
      <c r="C1720" s="2">
        <f>HYPERLINK("https://platform.v2.vetology.net/report/v/final/"&amp;2516554, 2516554)</f>
        <v>2516554</v>
      </c>
      <c r="D1720" s="2" t="s">
        <v>4853</v>
      </c>
      <c r="E1720" s="2" t="s">
        <v>4854</v>
      </c>
      <c r="F1720" s="2" t="s">
        <v>4855</v>
      </c>
      <c r="G1720" s="2" t="s">
        <v>93</v>
      </c>
      <c r="H1720" s="2" t="s">
        <v>78</v>
      </c>
      <c r="I1720" s="2" t="s">
        <v>44</v>
      </c>
      <c r="J1720" s="2"/>
      <c r="K1720" s="2" t="s">
        <v>38</v>
      </c>
      <c r="L1720" s="2" t="s">
        <v>38</v>
      </c>
      <c r="M1720" s="2" t="s">
        <v>38</v>
      </c>
      <c r="N1720" s="2" t="s">
        <v>38</v>
      </c>
      <c r="O1720" s="2" t="s">
        <v>38</v>
      </c>
      <c r="P1720" s="2" t="s">
        <v>38</v>
      </c>
      <c r="Q1720" s="2" t="s">
        <v>38</v>
      </c>
      <c r="R1720" s="2" t="s">
        <v>38</v>
      </c>
      <c r="S1720" s="2" t="s">
        <v>38</v>
      </c>
      <c r="T1720" s="2" t="s">
        <v>38</v>
      </c>
      <c r="U1720" s="2" t="s">
        <v>38</v>
      </c>
      <c r="V1720" s="2" t="s">
        <v>38</v>
      </c>
      <c r="W1720" s="2" t="s">
        <v>38</v>
      </c>
      <c r="X1720" s="2" t="s">
        <v>38</v>
      </c>
      <c r="Y1720" s="2" t="s">
        <v>38</v>
      </c>
      <c r="Z1720" s="2" t="s">
        <v>38</v>
      </c>
      <c r="AA1720" s="2" t="s">
        <v>38</v>
      </c>
      <c r="AB1720" s="2" t="s">
        <v>38</v>
      </c>
      <c r="AC1720" s="2" t="s">
        <v>38</v>
      </c>
      <c r="AD1720" s="2" t="s">
        <v>38</v>
      </c>
      <c r="AE1720" s="2" t="s">
        <v>38</v>
      </c>
    </row>
    <row r="1721" spans="1:31" ht="409.5">
      <c r="A1721" s="2">
        <v>2516380</v>
      </c>
      <c r="B1721" s="2">
        <f>HYPERLINK("https://platform.v2.vetology.net/cases/2516380/screening-report/18?type=pdf&amp;v=v6&amp;scorecard=1&amp;secret_key=BX%25IJ%24%2F65ieZ%29f6", 2516380)</f>
        <v>2516380</v>
      </c>
      <c r="C1721" s="2">
        <f>HYPERLINK("https://platform.v2.vetology.net/report/v/final/"&amp;2516380, 2516380)</f>
        <v>2516380</v>
      </c>
      <c r="D1721" s="2" t="s">
        <v>4856</v>
      </c>
      <c r="E1721" s="2" t="s">
        <v>4857</v>
      </c>
      <c r="F1721" s="2" t="s">
        <v>81</v>
      </c>
      <c r="G1721" s="2" t="s">
        <v>82</v>
      </c>
      <c r="H1721" s="2" t="s">
        <v>1205</v>
      </c>
      <c r="I1721" s="2" t="s">
        <v>245</v>
      </c>
      <c r="J1721" s="2" t="s">
        <v>246</v>
      </c>
      <c r="K1721" s="2" t="s">
        <v>38</v>
      </c>
      <c r="L1721" s="2" t="s">
        <v>39</v>
      </c>
      <c r="M1721" s="2" t="s">
        <v>39</v>
      </c>
      <c r="N1721" s="2" t="s">
        <v>38</v>
      </c>
      <c r="O1721" s="2" t="s">
        <v>38</v>
      </c>
      <c r="P1721" s="2" t="s">
        <v>38</v>
      </c>
      <c r="Q1721" s="2" t="s">
        <v>38</v>
      </c>
      <c r="R1721" s="2" t="s">
        <v>38</v>
      </c>
      <c r="S1721" s="2" t="s">
        <v>39</v>
      </c>
      <c r="T1721" s="2" t="s">
        <v>39</v>
      </c>
      <c r="U1721" s="2" t="s">
        <v>38</v>
      </c>
      <c r="V1721" s="2" t="s">
        <v>38</v>
      </c>
      <c r="W1721" s="2" t="s">
        <v>38</v>
      </c>
      <c r="X1721" s="2" t="s">
        <v>39</v>
      </c>
      <c r="Y1721" s="2" t="s">
        <v>38</v>
      </c>
      <c r="Z1721" s="2" t="s">
        <v>38</v>
      </c>
      <c r="AA1721" s="2" t="s">
        <v>38</v>
      </c>
      <c r="AB1721" s="2" t="s">
        <v>39</v>
      </c>
      <c r="AC1721" s="2" t="s">
        <v>39</v>
      </c>
      <c r="AD1721" s="2" t="s">
        <v>38</v>
      </c>
      <c r="AE1721" s="2" t="s">
        <v>39</v>
      </c>
    </row>
    <row r="1722" spans="1:31" ht="409.5">
      <c r="A1722" s="2">
        <v>2516140</v>
      </c>
      <c r="B1722" s="2">
        <f>HYPERLINK("https://platform.v2.vetology.net/cases/2516140/screening-report/18?type=pdf&amp;v=v6&amp;scorecard=1&amp;secret_key=BX%25IJ%24%2F65ieZ%29f6", 2516140)</f>
        <v>2516140</v>
      </c>
      <c r="C1722" s="2">
        <f>HYPERLINK("https://platform.v2.vetology.net/report/v/final/"&amp;2516140, 2516140)</f>
        <v>2516140</v>
      </c>
      <c r="D1722" s="2" t="s">
        <v>4858</v>
      </c>
      <c r="E1722" s="2" t="s">
        <v>915</v>
      </c>
      <c r="F1722" s="2" t="s">
        <v>149</v>
      </c>
      <c r="G1722" s="2" t="s">
        <v>150</v>
      </c>
      <c r="H1722" s="2" t="s">
        <v>901</v>
      </c>
      <c r="I1722" s="2" t="s">
        <v>689</v>
      </c>
      <c r="J1722" s="2" t="s">
        <v>690</v>
      </c>
      <c r="K1722" s="2" t="s">
        <v>38</v>
      </c>
      <c r="L1722" s="2" t="s">
        <v>39</v>
      </c>
      <c r="M1722" s="2" t="s">
        <v>39</v>
      </c>
      <c r="N1722" s="2" t="s">
        <v>38</v>
      </c>
      <c r="O1722" s="2" t="s">
        <v>38</v>
      </c>
      <c r="P1722" s="2" t="s">
        <v>39</v>
      </c>
      <c r="Q1722" s="2" t="s">
        <v>39</v>
      </c>
      <c r="R1722" s="2" t="s">
        <v>38</v>
      </c>
      <c r="S1722" s="2" t="s">
        <v>38</v>
      </c>
      <c r="T1722" s="2" t="s">
        <v>38</v>
      </c>
      <c r="U1722" s="2" t="s">
        <v>38</v>
      </c>
      <c r="V1722" s="2" t="s">
        <v>38</v>
      </c>
      <c r="W1722" s="2" t="s">
        <v>38</v>
      </c>
      <c r="X1722" s="2" t="s">
        <v>38</v>
      </c>
      <c r="Y1722" s="2" t="s">
        <v>38</v>
      </c>
      <c r="Z1722" s="2" t="s">
        <v>39</v>
      </c>
      <c r="AA1722" s="2" t="s">
        <v>38</v>
      </c>
      <c r="AB1722" s="2" t="s">
        <v>39</v>
      </c>
      <c r="AC1722" s="2" t="s">
        <v>39</v>
      </c>
      <c r="AD1722" s="2" t="s">
        <v>38</v>
      </c>
      <c r="AE1722" s="2" t="s">
        <v>38</v>
      </c>
    </row>
    <row r="1723" spans="1:31" ht="409.5">
      <c r="A1723" s="2">
        <v>2515835</v>
      </c>
      <c r="B1723" s="2">
        <f>HYPERLINK("https://platform.v2.vetology.net/cases/2515835/screening-report/18?type=pdf&amp;v=v6&amp;scorecard=1&amp;secret_key=BX%25IJ%24%2F65ieZ%29f6", 2515835)</f>
        <v>2515835</v>
      </c>
      <c r="C1723" s="2">
        <f>HYPERLINK("https://platform.v2.vetology.net/report/v/final/"&amp;2515835, 2515835)</f>
        <v>2515835</v>
      </c>
      <c r="D1723" s="2" t="s">
        <v>4859</v>
      </c>
      <c r="E1723" s="2" t="s">
        <v>4860</v>
      </c>
      <c r="F1723" s="2" t="s">
        <v>4861</v>
      </c>
      <c r="G1723" s="2" t="s">
        <v>268</v>
      </c>
      <c r="H1723" s="2" t="s">
        <v>54</v>
      </c>
      <c r="I1723" s="2" t="s">
        <v>44</v>
      </c>
      <c r="J1723" s="2"/>
      <c r="K1723" s="2" t="s">
        <v>38</v>
      </c>
      <c r="L1723" s="2" t="s">
        <v>38</v>
      </c>
      <c r="M1723" s="2" t="s">
        <v>38</v>
      </c>
      <c r="N1723" s="2" t="s">
        <v>38</v>
      </c>
      <c r="O1723" s="2" t="s">
        <v>38</v>
      </c>
      <c r="P1723" s="2" t="s">
        <v>38</v>
      </c>
      <c r="Q1723" s="2" t="s">
        <v>38</v>
      </c>
      <c r="R1723" s="2" t="s">
        <v>38</v>
      </c>
      <c r="S1723" s="2" t="s">
        <v>38</v>
      </c>
      <c r="T1723" s="2" t="s">
        <v>39</v>
      </c>
      <c r="U1723" s="2" t="s">
        <v>38</v>
      </c>
      <c r="V1723" s="2" t="s">
        <v>39</v>
      </c>
      <c r="W1723" s="2" t="s">
        <v>38</v>
      </c>
      <c r="X1723" s="2" t="s">
        <v>39</v>
      </c>
      <c r="Y1723" s="2" t="s">
        <v>38</v>
      </c>
      <c r="Z1723" s="2" t="s">
        <v>38</v>
      </c>
      <c r="AA1723" s="2" t="s">
        <v>38</v>
      </c>
      <c r="AB1723" s="2" t="s">
        <v>38</v>
      </c>
      <c r="AC1723" s="2" t="s">
        <v>38</v>
      </c>
      <c r="AD1723" s="2" t="s">
        <v>38</v>
      </c>
      <c r="AE1723" s="2" t="s">
        <v>38</v>
      </c>
    </row>
    <row r="1724" spans="1:31" ht="409.5">
      <c r="A1724" s="2">
        <v>2515423</v>
      </c>
      <c r="B1724" s="2">
        <f>HYPERLINK("https://platform.v2.vetology.net/cases/2515423/screening-report/18?type=pdf&amp;v=v6&amp;scorecard=1&amp;secret_key=BX%25IJ%24%2F65ieZ%29f6", 2515423)</f>
        <v>2515423</v>
      </c>
      <c r="C1724" s="2">
        <f>HYPERLINK("https://platform.v2.vetology.net/report/v/final/"&amp;2515423, 2515423)</f>
        <v>2515423</v>
      </c>
      <c r="D1724" s="2" t="s">
        <v>4862</v>
      </c>
      <c r="E1724" s="2" t="s">
        <v>4863</v>
      </c>
      <c r="F1724" s="2" t="s">
        <v>4864</v>
      </c>
      <c r="G1724" s="2" t="s">
        <v>268</v>
      </c>
      <c r="H1724" s="2" t="s">
        <v>3930</v>
      </c>
      <c r="I1724" s="2" t="s">
        <v>89</v>
      </c>
      <c r="J1724" s="2" t="s">
        <v>66</v>
      </c>
      <c r="K1724" s="2" t="s">
        <v>38</v>
      </c>
      <c r="L1724" s="2" t="s">
        <v>38</v>
      </c>
      <c r="M1724" s="2" t="s">
        <v>39</v>
      </c>
      <c r="N1724" s="2" t="s">
        <v>38</v>
      </c>
      <c r="O1724" s="2" t="s">
        <v>38</v>
      </c>
      <c r="P1724" s="2" t="s">
        <v>39</v>
      </c>
      <c r="Q1724" s="2" t="s">
        <v>38</v>
      </c>
      <c r="R1724" s="2" t="s">
        <v>38</v>
      </c>
      <c r="S1724" s="2" t="s">
        <v>38</v>
      </c>
      <c r="T1724" s="2" t="s">
        <v>38</v>
      </c>
      <c r="U1724" s="2" t="s">
        <v>38</v>
      </c>
      <c r="V1724" s="2" t="s">
        <v>38</v>
      </c>
      <c r="W1724" s="2" t="s">
        <v>38</v>
      </c>
      <c r="X1724" s="2" t="s">
        <v>38</v>
      </c>
      <c r="Y1724" s="2" t="s">
        <v>38</v>
      </c>
      <c r="Z1724" s="2" t="s">
        <v>38</v>
      </c>
      <c r="AA1724" s="2" t="s">
        <v>38</v>
      </c>
      <c r="AB1724" s="2" t="s">
        <v>38</v>
      </c>
      <c r="AC1724" s="2" t="s">
        <v>39</v>
      </c>
      <c r="AD1724" s="2" t="s">
        <v>38</v>
      </c>
      <c r="AE1724" s="2" t="s">
        <v>39</v>
      </c>
    </row>
    <row r="1725" spans="1:31" ht="409.5">
      <c r="A1725" s="2">
        <v>2515269</v>
      </c>
      <c r="B1725" s="2">
        <f>HYPERLINK("https://platform.v2.vetology.net/cases/2515269/screening-report/18?type=pdf&amp;v=v6&amp;scorecard=1&amp;secret_key=BX%25IJ%24%2F65ieZ%29f6", 2515269)</f>
        <v>2515269</v>
      </c>
      <c r="C1725" s="2">
        <f>HYPERLINK("https://platform.v2.vetology.net/report/v/final/"&amp;2515269, 2515269)</f>
        <v>2515269</v>
      </c>
      <c r="D1725" s="2" t="s">
        <v>4865</v>
      </c>
      <c r="E1725" s="2" t="s">
        <v>4866</v>
      </c>
      <c r="F1725" s="2" t="s">
        <v>4867</v>
      </c>
      <c r="G1725" s="2" t="s">
        <v>93</v>
      </c>
      <c r="H1725" s="2" t="s">
        <v>105</v>
      </c>
      <c r="I1725" s="2" t="s">
        <v>44</v>
      </c>
      <c r="J1725" s="2"/>
      <c r="K1725" s="2" t="s">
        <v>38</v>
      </c>
      <c r="L1725" s="2" t="s">
        <v>38</v>
      </c>
      <c r="M1725" s="2" t="s">
        <v>38</v>
      </c>
      <c r="N1725" s="2" t="s">
        <v>38</v>
      </c>
      <c r="O1725" s="2" t="s">
        <v>38</v>
      </c>
      <c r="P1725" s="2" t="s">
        <v>39</v>
      </c>
      <c r="Q1725" s="2" t="s">
        <v>38</v>
      </c>
      <c r="R1725" s="2" t="s">
        <v>38</v>
      </c>
      <c r="S1725" s="2" t="s">
        <v>38</v>
      </c>
      <c r="T1725" s="2" t="s">
        <v>38</v>
      </c>
      <c r="U1725" s="2" t="s">
        <v>38</v>
      </c>
      <c r="V1725" s="2" t="s">
        <v>38</v>
      </c>
      <c r="W1725" s="2" t="s">
        <v>38</v>
      </c>
      <c r="X1725" s="2" t="s">
        <v>38</v>
      </c>
      <c r="Y1725" s="2" t="s">
        <v>38</v>
      </c>
      <c r="Z1725" s="2" t="s">
        <v>38</v>
      </c>
      <c r="AA1725" s="2" t="s">
        <v>38</v>
      </c>
      <c r="AB1725" s="2" t="s">
        <v>38</v>
      </c>
      <c r="AC1725" s="2" t="s">
        <v>38</v>
      </c>
      <c r="AD1725" s="2" t="s">
        <v>38</v>
      </c>
      <c r="AE1725" s="2" t="s">
        <v>38</v>
      </c>
    </row>
    <row r="1726" spans="1:31" ht="409.5">
      <c r="A1726" s="2">
        <v>2515100</v>
      </c>
      <c r="B1726" s="2">
        <f>HYPERLINK("https://platform.v2.vetology.net/cases/2515100/screening-report/18?type=pdf&amp;v=v6&amp;scorecard=1&amp;secret_key=BX%25IJ%24%2F65ieZ%29f6", 2515100)</f>
        <v>2515100</v>
      </c>
      <c r="C1726" s="2">
        <f>HYPERLINK("https://platform.v2.vetology.net/report/v/final/"&amp;2515100, 2515100)</f>
        <v>2515100</v>
      </c>
      <c r="D1726" s="2" t="s">
        <v>4868</v>
      </c>
      <c r="E1726" s="2" t="s">
        <v>4869</v>
      </c>
      <c r="F1726" s="2" t="s">
        <v>4870</v>
      </c>
      <c r="G1726" s="2" t="s">
        <v>70</v>
      </c>
      <c r="H1726" s="2" t="s">
        <v>688</v>
      </c>
      <c r="I1726" s="2" t="s">
        <v>689</v>
      </c>
      <c r="J1726" s="2" t="s">
        <v>690</v>
      </c>
      <c r="K1726" s="2" t="s">
        <v>38</v>
      </c>
      <c r="L1726" s="2" t="s">
        <v>38</v>
      </c>
      <c r="M1726" s="2" t="s">
        <v>39</v>
      </c>
      <c r="N1726" s="2" t="s">
        <v>38</v>
      </c>
      <c r="O1726" s="2" t="s">
        <v>38</v>
      </c>
      <c r="P1726" s="2" t="s">
        <v>38</v>
      </c>
      <c r="Q1726" s="2" t="s">
        <v>38</v>
      </c>
      <c r="R1726" s="2" t="s">
        <v>38</v>
      </c>
      <c r="S1726" s="2" t="s">
        <v>38</v>
      </c>
      <c r="T1726" s="2" t="s">
        <v>38</v>
      </c>
      <c r="U1726" s="2" t="s">
        <v>38</v>
      </c>
      <c r="V1726" s="2" t="s">
        <v>38</v>
      </c>
      <c r="W1726" s="2" t="s">
        <v>38</v>
      </c>
      <c r="X1726" s="2" t="s">
        <v>38</v>
      </c>
      <c r="Y1726" s="2" t="s">
        <v>38</v>
      </c>
      <c r="Z1726" s="2" t="s">
        <v>39</v>
      </c>
      <c r="AA1726" s="2" t="s">
        <v>38</v>
      </c>
      <c r="AB1726" s="2" t="s">
        <v>38</v>
      </c>
      <c r="AC1726" s="2" t="s">
        <v>38</v>
      </c>
      <c r="AD1726" s="2" t="s">
        <v>38</v>
      </c>
      <c r="AE1726" s="2" t="s">
        <v>38</v>
      </c>
    </row>
    <row r="1727" spans="1:31" ht="409.5">
      <c r="A1727" s="2">
        <v>2514649</v>
      </c>
      <c r="B1727" s="2">
        <f>HYPERLINK("https://platform.v2.vetology.net/cases/2514649/screening-report/18?type=pdf&amp;v=v6&amp;scorecard=1&amp;secret_key=BX%25IJ%24%2F65ieZ%29f6", 2514649)</f>
        <v>2514649</v>
      </c>
      <c r="C1727" s="2">
        <f>HYPERLINK("https://platform.v2.vetology.net/report/v/final/"&amp;2514649, 2514649)</f>
        <v>2514649</v>
      </c>
      <c r="D1727" s="2" t="s">
        <v>4871</v>
      </c>
      <c r="E1727" s="2" t="s">
        <v>4872</v>
      </c>
      <c r="F1727" s="2" t="s">
        <v>4873</v>
      </c>
      <c r="G1727" s="2" t="s">
        <v>93</v>
      </c>
      <c r="H1727" s="2" t="s">
        <v>607</v>
      </c>
      <c r="I1727" s="2" t="s">
        <v>137</v>
      </c>
      <c r="J1727" s="2" t="s">
        <v>66</v>
      </c>
      <c r="K1727" s="2" t="s">
        <v>38</v>
      </c>
      <c r="L1727" s="2" t="s">
        <v>39</v>
      </c>
      <c r="M1727" s="2" t="s">
        <v>39</v>
      </c>
      <c r="N1727" s="2" t="s">
        <v>38</v>
      </c>
      <c r="O1727" s="2" t="s">
        <v>38</v>
      </c>
      <c r="P1727" s="2" t="s">
        <v>39</v>
      </c>
      <c r="Q1727" s="2" t="s">
        <v>39</v>
      </c>
      <c r="R1727" s="2" t="s">
        <v>38</v>
      </c>
      <c r="S1727" s="2" t="s">
        <v>38</v>
      </c>
      <c r="T1727" s="2" t="s">
        <v>39</v>
      </c>
      <c r="U1727" s="2" t="s">
        <v>38</v>
      </c>
      <c r="V1727" s="2" t="s">
        <v>38</v>
      </c>
      <c r="W1727" s="2" t="s">
        <v>38</v>
      </c>
      <c r="X1727" s="2" t="s">
        <v>39</v>
      </c>
      <c r="Y1727" s="2" t="s">
        <v>38</v>
      </c>
      <c r="Z1727" s="2" t="s">
        <v>38</v>
      </c>
      <c r="AA1727" s="2" t="s">
        <v>38</v>
      </c>
      <c r="AB1727" s="2" t="s">
        <v>39</v>
      </c>
      <c r="AC1727" s="2" t="s">
        <v>38</v>
      </c>
      <c r="AD1727" s="2" t="s">
        <v>38</v>
      </c>
      <c r="AE1727" s="2" t="s">
        <v>39</v>
      </c>
    </row>
    <row r="1728" spans="1:31" ht="409.5">
      <c r="A1728" s="2">
        <v>2514540</v>
      </c>
      <c r="B1728" s="2">
        <f>HYPERLINK("https://platform.v2.vetology.net/cases/2514540/screening-report/18?type=pdf&amp;v=v6&amp;scorecard=1&amp;secret_key=BX%25IJ%24%2F65ieZ%29f6", 2514540)</f>
        <v>2514540</v>
      </c>
      <c r="C1728" s="2">
        <f>HYPERLINK("https://platform.v2.vetology.net/report/v/final/"&amp;2514540, 2514540)</f>
        <v>2514540</v>
      </c>
      <c r="D1728" s="2" t="s">
        <v>4874</v>
      </c>
      <c r="E1728" s="2" t="s">
        <v>4875</v>
      </c>
      <c r="F1728" s="2" t="s">
        <v>4876</v>
      </c>
      <c r="G1728" s="2" t="s">
        <v>268</v>
      </c>
      <c r="H1728" s="2" t="s">
        <v>129</v>
      </c>
      <c r="I1728" s="2" t="s">
        <v>44</v>
      </c>
      <c r="J1728" s="2"/>
      <c r="K1728" s="2" t="s">
        <v>38</v>
      </c>
      <c r="L1728" s="2" t="s">
        <v>39</v>
      </c>
      <c r="M1728" s="2" t="s">
        <v>39</v>
      </c>
      <c r="N1728" s="2" t="s">
        <v>38</v>
      </c>
      <c r="O1728" s="2" t="s">
        <v>38</v>
      </c>
      <c r="P1728" s="2" t="s">
        <v>38</v>
      </c>
      <c r="Q1728" s="2" t="s">
        <v>38</v>
      </c>
      <c r="R1728" s="2" t="s">
        <v>38</v>
      </c>
      <c r="S1728" s="2" t="s">
        <v>38</v>
      </c>
      <c r="T1728" s="2" t="s">
        <v>38</v>
      </c>
      <c r="U1728" s="2" t="s">
        <v>38</v>
      </c>
      <c r="V1728" s="2" t="s">
        <v>38</v>
      </c>
      <c r="W1728" s="2" t="s">
        <v>38</v>
      </c>
      <c r="X1728" s="2" t="s">
        <v>39</v>
      </c>
      <c r="Y1728" s="2" t="s">
        <v>38</v>
      </c>
      <c r="Z1728" s="2" t="s">
        <v>38</v>
      </c>
      <c r="AA1728" s="2" t="s">
        <v>38</v>
      </c>
      <c r="AB1728" s="2" t="s">
        <v>38</v>
      </c>
      <c r="AC1728" s="2" t="s">
        <v>38</v>
      </c>
      <c r="AD1728" s="2" t="s">
        <v>38</v>
      </c>
      <c r="AE1728" s="2" t="s">
        <v>38</v>
      </c>
    </row>
    <row r="1729" spans="1:31" ht="409.5">
      <c r="A1729" s="2">
        <v>2514414</v>
      </c>
      <c r="B1729" s="2">
        <f>HYPERLINK("https://platform.v2.vetology.net/cases/2514414/screening-report/18?type=pdf&amp;v=v6&amp;scorecard=1&amp;secret_key=BX%25IJ%24%2F65ieZ%29f6", 2514414)</f>
        <v>2514414</v>
      </c>
      <c r="C1729" s="2">
        <f>HYPERLINK("https://platform.v2.vetology.net/report/v/final/"&amp;2514414, 2514414)</f>
        <v>2514414</v>
      </c>
      <c r="D1729" s="2" t="s">
        <v>4877</v>
      </c>
      <c r="E1729" s="2" t="s">
        <v>4878</v>
      </c>
      <c r="F1729" s="2" t="s">
        <v>81</v>
      </c>
      <c r="G1729" s="2" t="s">
        <v>268</v>
      </c>
      <c r="H1729" s="2" t="s">
        <v>4879</v>
      </c>
      <c r="I1729" s="2" t="s">
        <v>2067</v>
      </c>
      <c r="J1729" s="2" t="s">
        <v>66</v>
      </c>
      <c r="K1729" s="2" t="s">
        <v>38</v>
      </c>
      <c r="L1729" s="2" t="s">
        <v>38</v>
      </c>
      <c r="M1729" s="2" t="s">
        <v>38</v>
      </c>
      <c r="N1729" s="2" t="s">
        <v>38</v>
      </c>
      <c r="O1729" s="2" t="s">
        <v>39</v>
      </c>
      <c r="P1729" s="2" t="s">
        <v>38</v>
      </c>
      <c r="Q1729" s="2" t="s">
        <v>38</v>
      </c>
      <c r="R1729" s="2" t="s">
        <v>38</v>
      </c>
      <c r="S1729" s="2" t="s">
        <v>38</v>
      </c>
      <c r="T1729" s="2" t="s">
        <v>39</v>
      </c>
      <c r="U1729" s="2" t="s">
        <v>38</v>
      </c>
      <c r="V1729" s="2" t="s">
        <v>39</v>
      </c>
      <c r="W1729" s="2" t="s">
        <v>38</v>
      </c>
      <c r="X1729" s="2" t="s">
        <v>39</v>
      </c>
      <c r="Y1729" s="2" t="s">
        <v>38</v>
      </c>
      <c r="Z1729" s="2" t="s">
        <v>39</v>
      </c>
      <c r="AA1729" s="2" t="s">
        <v>38</v>
      </c>
      <c r="AB1729" s="2" t="s">
        <v>39</v>
      </c>
      <c r="AC1729" s="2" t="s">
        <v>38</v>
      </c>
      <c r="AD1729" s="2" t="s">
        <v>38</v>
      </c>
      <c r="AE1729" s="2" t="s">
        <v>38</v>
      </c>
    </row>
    <row r="1730" spans="1:31" ht="409.5">
      <c r="A1730" s="2">
        <v>2514287</v>
      </c>
      <c r="B1730" s="2">
        <f>HYPERLINK("https://platform.v2.vetology.net/cases/2514287/screening-report/18?type=pdf&amp;v=v6&amp;scorecard=1&amp;secret_key=BX%25IJ%24%2F65ieZ%29f6", 2514287)</f>
        <v>2514287</v>
      </c>
      <c r="C1730" s="2">
        <f>HYPERLINK("https://platform.v2.vetology.net/report/v/final/"&amp;2514287, 2514287)</f>
        <v>2514287</v>
      </c>
      <c r="D1730" s="2" t="s">
        <v>4880</v>
      </c>
      <c r="E1730" s="2" t="s">
        <v>4881</v>
      </c>
      <c r="F1730" s="2" t="s">
        <v>4882</v>
      </c>
      <c r="G1730" s="2" t="s">
        <v>464</v>
      </c>
      <c r="H1730" s="2" t="s">
        <v>4883</v>
      </c>
      <c r="I1730" s="2" t="s">
        <v>897</v>
      </c>
      <c r="J1730" s="2" t="s">
        <v>898</v>
      </c>
      <c r="K1730" s="2" t="s">
        <v>39</v>
      </c>
      <c r="L1730" s="2" t="s">
        <v>39</v>
      </c>
      <c r="M1730" s="2" t="s">
        <v>39</v>
      </c>
      <c r="N1730" s="2" t="s">
        <v>39</v>
      </c>
      <c r="O1730" s="2" t="s">
        <v>39</v>
      </c>
      <c r="P1730" s="2" t="s">
        <v>39</v>
      </c>
      <c r="Q1730" s="2" t="s">
        <v>38</v>
      </c>
      <c r="R1730" s="2" t="s">
        <v>39</v>
      </c>
      <c r="S1730" s="2" t="s">
        <v>39</v>
      </c>
      <c r="T1730" s="2" t="s">
        <v>39</v>
      </c>
      <c r="U1730" s="2" t="s">
        <v>39</v>
      </c>
      <c r="V1730" s="2" t="s">
        <v>39</v>
      </c>
      <c r="W1730" s="2" t="s">
        <v>39</v>
      </c>
      <c r="X1730" s="2" t="s">
        <v>39</v>
      </c>
      <c r="Y1730" s="2" t="s">
        <v>39</v>
      </c>
      <c r="Z1730" s="2" t="s">
        <v>39</v>
      </c>
      <c r="AA1730" s="2" t="s">
        <v>39</v>
      </c>
      <c r="AB1730" s="2" t="s">
        <v>39</v>
      </c>
      <c r="AC1730" s="2" t="s">
        <v>39</v>
      </c>
      <c r="AD1730" s="2" t="s">
        <v>38</v>
      </c>
      <c r="AE1730" s="2" t="s">
        <v>39</v>
      </c>
    </row>
    <row r="1731" spans="1:31" ht="409.5">
      <c r="A1731" s="2">
        <v>2514088</v>
      </c>
      <c r="B1731" s="2">
        <f>HYPERLINK("https://platform.v2.vetology.net/cases/2514088/screening-report/18?type=pdf&amp;v=v6&amp;scorecard=1&amp;secret_key=BX%25IJ%24%2F65ieZ%29f6", 2514088)</f>
        <v>2514088</v>
      </c>
      <c r="C1731" s="2">
        <f>HYPERLINK("https://platform.v2.vetology.net/report/v/final/"&amp;2514088, 2514088)</f>
        <v>2514088</v>
      </c>
      <c r="D1731" s="2" t="s">
        <v>4884</v>
      </c>
      <c r="E1731" s="2" t="s">
        <v>4885</v>
      </c>
      <c r="F1731" s="2" t="s">
        <v>4886</v>
      </c>
      <c r="G1731" s="2" t="s">
        <v>268</v>
      </c>
      <c r="H1731" s="2" t="s">
        <v>4029</v>
      </c>
      <c r="I1731" s="2" t="s">
        <v>119</v>
      </c>
      <c r="J1731" s="2" t="s">
        <v>112</v>
      </c>
      <c r="K1731" s="2" t="s">
        <v>38</v>
      </c>
      <c r="L1731" s="2" t="s">
        <v>38</v>
      </c>
      <c r="M1731" s="2" t="s">
        <v>39</v>
      </c>
      <c r="N1731" s="2" t="s">
        <v>39</v>
      </c>
      <c r="O1731" s="2" t="s">
        <v>39</v>
      </c>
      <c r="P1731" s="2" t="s">
        <v>39</v>
      </c>
      <c r="Q1731" s="2" t="s">
        <v>39</v>
      </c>
      <c r="R1731" s="2" t="s">
        <v>39</v>
      </c>
      <c r="S1731" s="2" t="s">
        <v>39</v>
      </c>
      <c r="T1731" s="2" t="s">
        <v>39</v>
      </c>
      <c r="U1731" s="2" t="s">
        <v>39</v>
      </c>
      <c r="V1731" s="2" t="s">
        <v>39</v>
      </c>
      <c r="W1731" s="2" t="s">
        <v>39</v>
      </c>
      <c r="X1731" s="2" t="s">
        <v>39</v>
      </c>
      <c r="Y1731" s="2" t="s">
        <v>39</v>
      </c>
      <c r="Z1731" s="2" t="s">
        <v>39</v>
      </c>
      <c r="AA1731" s="2" t="s">
        <v>39</v>
      </c>
      <c r="AB1731" s="2" t="s">
        <v>39</v>
      </c>
      <c r="AC1731" s="2" t="s">
        <v>39</v>
      </c>
      <c r="AD1731" s="2" t="s">
        <v>38</v>
      </c>
      <c r="AE1731" s="2" t="s">
        <v>39</v>
      </c>
    </row>
    <row r="1732" spans="1:31" ht="409.5">
      <c r="A1732" s="2">
        <v>2513981</v>
      </c>
      <c r="B1732" s="2">
        <f>HYPERLINK("https://platform.v2.vetology.net/cases/2513981/screening-report/18?type=pdf&amp;v=v6&amp;scorecard=1&amp;secret_key=BX%25IJ%24%2F65ieZ%29f6", 2513981)</f>
        <v>2513981</v>
      </c>
      <c r="C1732" s="2">
        <f>HYPERLINK("https://platform.v2.vetology.net/report/v/final/"&amp;2513981, 2513981)</f>
        <v>2513981</v>
      </c>
      <c r="D1732" s="2" t="s">
        <v>4887</v>
      </c>
      <c r="E1732" s="2" t="s">
        <v>4888</v>
      </c>
      <c r="F1732" s="2" t="s">
        <v>81</v>
      </c>
      <c r="G1732" s="2" t="s">
        <v>82</v>
      </c>
      <c r="H1732" s="2" t="s">
        <v>78</v>
      </c>
      <c r="I1732" s="2" t="s">
        <v>44</v>
      </c>
      <c r="J1732" s="2" t="s">
        <v>106</v>
      </c>
      <c r="K1732" s="2" t="s">
        <v>38</v>
      </c>
      <c r="L1732" s="2" t="s">
        <v>39</v>
      </c>
      <c r="M1732" s="2" t="s">
        <v>38</v>
      </c>
      <c r="N1732" s="2" t="s">
        <v>38</v>
      </c>
      <c r="O1732" s="2" t="s">
        <v>38</v>
      </c>
      <c r="P1732" s="2" t="s">
        <v>38</v>
      </c>
      <c r="Q1732" s="2" t="s">
        <v>38</v>
      </c>
      <c r="R1732" s="2" t="s">
        <v>38</v>
      </c>
      <c r="S1732" s="2" t="s">
        <v>38</v>
      </c>
      <c r="T1732" s="2" t="s">
        <v>38</v>
      </c>
      <c r="U1732" s="2" t="s">
        <v>38</v>
      </c>
      <c r="V1732" s="2" t="s">
        <v>38</v>
      </c>
      <c r="W1732" s="2" t="s">
        <v>38</v>
      </c>
      <c r="X1732" s="2" t="s">
        <v>38</v>
      </c>
      <c r="Y1732" s="2" t="s">
        <v>38</v>
      </c>
      <c r="Z1732" s="2" t="s">
        <v>38</v>
      </c>
      <c r="AA1732" s="2" t="s">
        <v>38</v>
      </c>
      <c r="AB1732" s="2" t="s">
        <v>38</v>
      </c>
      <c r="AC1732" s="2" t="s">
        <v>38</v>
      </c>
      <c r="AD1732" s="2" t="s">
        <v>38</v>
      </c>
      <c r="AE1732" s="2" t="s">
        <v>38</v>
      </c>
    </row>
    <row r="1733" spans="1:31" ht="409.5">
      <c r="A1733" s="2">
        <v>2513761</v>
      </c>
      <c r="B1733" s="2">
        <f>HYPERLINK("https://platform.v2.vetology.net/cases/2513761/screening-report/18?type=pdf&amp;v=v6&amp;scorecard=1&amp;secret_key=BX%25IJ%24%2F65ieZ%29f6", 2513761)</f>
        <v>2513761</v>
      </c>
      <c r="C1733" s="2">
        <f>HYPERLINK("https://platform.v2.vetology.net/report/v/final/"&amp;2513761, 2513761)</f>
        <v>2513761</v>
      </c>
      <c r="D1733" s="2" t="s">
        <v>4889</v>
      </c>
      <c r="E1733" s="2" t="s">
        <v>4890</v>
      </c>
      <c r="F1733" s="2" t="s">
        <v>4891</v>
      </c>
      <c r="G1733" s="2" t="s">
        <v>58</v>
      </c>
      <c r="H1733" s="2" t="s">
        <v>360</v>
      </c>
      <c r="I1733" s="2" t="s">
        <v>284</v>
      </c>
      <c r="J1733" s="2" t="s">
        <v>285</v>
      </c>
      <c r="K1733" s="2" t="s">
        <v>38</v>
      </c>
      <c r="L1733" s="2" t="s">
        <v>39</v>
      </c>
      <c r="M1733" s="2" t="s">
        <v>38</v>
      </c>
      <c r="N1733" s="2" t="s">
        <v>38</v>
      </c>
      <c r="O1733" s="2" t="s">
        <v>38</v>
      </c>
      <c r="P1733" s="2" t="s">
        <v>38</v>
      </c>
      <c r="Q1733" s="2" t="s">
        <v>38</v>
      </c>
      <c r="R1733" s="2" t="s">
        <v>38</v>
      </c>
      <c r="S1733" s="2" t="s">
        <v>38</v>
      </c>
      <c r="T1733" s="2" t="s">
        <v>39</v>
      </c>
      <c r="U1733" s="2" t="s">
        <v>38</v>
      </c>
      <c r="V1733" s="2" t="s">
        <v>38</v>
      </c>
      <c r="W1733" s="2" t="s">
        <v>38</v>
      </c>
      <c r="X1733" s="2" t="s">
        <v>39</v>
      </c>
      <c r="Y1733" s="2" t="s">
        <v>38</v>
      </c>
      <c r="Z1733" s="2" t="s">
        <v>38</v>
      </c>
      <c r="AA1733" s="2" t="s">
        <v>38</v>
      </c>
      <c r="AB1733" s="2" t="s">
        <v>38</v>
      </c>
      <c r="AC1733" s="2" t="s">
        <v>39</v>
      </c>
      <c r="AD1733" s="2" t="s">
        <v>38</v>
      </c>
      <c r="AE1733" s="2" t="s">
        <v>38</v>
      </c>
    </row>
    <row r="1734" spans="1:31" ht="409.5">
      <c r="A1734" s="2">
        <v>2513381</v>
      </c>
      <c r="B1734" s="2">
        <f>HYPERLINK("https://platform.v2.vetology.net/cases/2513381/screening-report/18?type=pdf&amp;v=v6&amp;scorecard=1&amp;secret_key=BX%25IJ%24%2F65ieZ%29f6", 2513381)</f>
        <v>2513381</v>
      </c>
      <c r="C1734" s="2">
        <f>HYPERLINK("https://platform.v2.vetology.net/report/v/final/"&amp;2513381, 2513381)</f>
        <v>2513381</v>
      </c>
      <c r="D1734" s="2" t="s">
        <v>4892</v>
      </c>
      <c r="E1734" s="2" t="s">
        <v>4893</v>
      </c>
      <c r="F1734" s="2" t="s">
        <v>81</v>
      </c>
      <c r="G1734" s="2" t="s">
        <v>268</v>
      </c>
      <c r="H1734" s="2" t="s">
        <v>105</v>
      </c>
      <c r="I1734" s="2" t="s">
        <v>44</v>
      </c>
      <c r="J1734" s="2"/>
      <c r="K1734" s="2" t="s">
        <v>38</v>
      </c>
      <c r="L1734" s="2" t="s">
        <v>38</v>
      </c>
      <c r="M1734" s="2" t="s">
        <v>38</v>
      </c>
      <c r="N1734" s="2" t="s">
        <v>38</v>
      </c>
      <c r="O1734" s="2" t="s">
        <v>38</v>
      </c>
      <c r="P1734" s="2" t="s">
        <v>38</v>
      </c>
      <c r="Q1734" s="2" t="s">
        <v>38</v>
      </c>
      <c r="R1734" s="2" t="s">
        <v>38</v>
      </c>
      <c r="S1734" s="2" t="s">
        <v>38</v>
      </c>
      <c r="T1734" s="2" t="s">
        <v>39</v>
      </c>
      <c r="U1734" s="2" t="s">
        <v>38</v>
      </c>
      <c r="V1734" s="2" t="s">
        <v>39</v>
      </c>
      <c r="W1734" s="2" t="s">
        <v>38</v>
      </c>
      <c r="X1734" s="2" t="s">
        <v>39</v>
      </c>
      <c r="Y1734" s="2" t="s">
        <v>38</v>
      </c>
      <c r="Z1734" s="2" t="s">
        <v>38</v>
      </c>
      <c r="AA1734" s="2" t="s">
        <v>38</v>
      </c>
      <c r="AB1734" s="2" t="s">
        <v>38</v>
      </c>
      <c r="AC1734" s="2" t="s">
        <v>38</v>
      </c>
      <c r="AD1734" s="2" t="s">
        <v>38</v>
      </c>
      <c r="AE1734" s="2" t="s">
        <v>38</v>
      </c>
    </row>
    <row r="1735" spans="1:31" ht="409.5">
      <c r="A1735" s="2">
        <v>2512846</v>
      </c>
      <c r="B1735" s="2">
        <f>HYPERLINK("https://platform.v2.vetology.net/cases/2512846/screening-report/18?type=pdf&amp;v=v6&amp;scorecard=1&amp;secret_key=BX%25IJ%24%2F65ieZ%29f6", 2512846)</f>
        <v>2512846</v>
      </c>
      <c r="C1735" s="2">
        <f>HYPERLINK("https://platform.v2.vetology.net/report/v/final/"&amp;2512846, 2512846)</f>
        <v>2512846</v>
      </c>
      <c r="D1735" s="2" t="s">
        <v>4894</v>
      </c>
      <c r="E1735" s="2" t="s">
        <v>4895</v>
      </c>
      <c r="F1735" s="2"/>
      <c r="G1735" s="2" t="s">
        <v>150</v>
      </c>
      <c r="H1735" s="2" t="s">
        <v>4290</v>
      </c>
      <c r="I1735" s="2" t="s">
        <v>634</v>
      </c>
      <c r="J1735" s="2" t="s">
        <v>635</v>
      </c>
      <c r="K1735" s="2" t="s">
        <v>39</v>
      </c>
      <c r="L1735" s="2" t="s">
        <v>39</v>
      </c>
      <c r="M1735" s="2" t="s">
        <v>39</v>
      </c>
      <c r="N1735" s="2" t="s">
        <v>39</v>
      </c>
      <c r="O1735" s="2" t="s">
        <v>39</v>
      </c>
      <c r="P1735" s="2" t="s">
        <v>39</v>
      </c>
      <c r="Q1735" s="2" t="s">
        <v>39</v>
      </c>
      <c r="R1735" s="2" t="s">
        <v>39</v>
      </c>
      <c r="S1735" s="2" t="s">
        <v>39</v>
      </c>
      <c r="T1735" s="2" t="s">
        <v>39</v>
      </c>
      <c r="U1735" s="2" t="s">
        <v>39</v>
      </c>
      <c r="V1735" s="2" t="s">
        <v>39</v>
      </c>
      <c r="W1735" s="2" t="s">
        <v>39</v>
      </c>
      <c r="X1735" s="2" t="s">
        <v>39</v>
      </c>
      <c r="Y1735" s="2" t="s">
        <v>39</v>
      </c>
      <c r="Z1735" s="2" t="s">
        <v>39</v>
      </c>
      <c r="AA1735" s="2" t="s">
        <v>39</v>
      </c>
      <c r="AB1735" s="2" t="s">
        <v>39</v>
      </c>
      <c r="AC1735" s="2" t="s">
        <v>39</v>
      </c>
      <c r="AD1735" s="2" t="s">
        <v>39</v>
      </c>
      <c r="AE1735" s="2" t="s">
        <v>39</v>
      </c>
    </row>
    <row r="1736" spans="1:31" ht="409.5">
      <c r="A1736" s="2">
        <v>2512618</v>
      </c>
      <c r="B1736" s="2">
        <f>HYPERLINK("https://platform.v2.vetology.net/cases/2512618/screening-report/18?type=pdf&amp;v=v6&amp;scorecard=1&amp;secret_key=BX%25IJ%24%2F65ieZ%29f6", 2512618)</f>
        <v>2512618</v>
      </c>
      <c r="C1736" s="2">
        <f>HYPERLINK("https://platform.v2.vetology.net/report/v/final/"&amp;2512618, 2512618)</f>
        <v>2512618</v>
      </c>
      <c r="D1736" s="2" t="s">
        <v>4896</v>
      </c>
      <c r="E1736" s="2" t="s">
        <v>4897</v>
      </c>
      <c r="F1736" s="2" t="s">
        <v>4898</v>
      </c>
      <c r="G1736" s="2" t="s">
        <v>58</v>
      </c>
      <c r="H1736" s="2" t="s">
        <v>1416</v>
      </c>
      <c r="I1736" s="2" t="s">
        <v>284</v>
      </c>
      <c r="J1736" s="2" t="s">
        <v>285</v>
      </c>
      <c r="K1736" s="2" t="s">
        <v>38</v>
      </c>
      <c r="L1736" s="2" t="s">
        <v>38</v>
      </c>
      <c r="M1736" s="2" t="s">
        <v>38</v>
      </c>
      <c r="N1736" s="2" t="s">
        <v>38</v>
      </c>
      <c r="O1736" s="2" t="s">
        <v>38</v>
      </c>
      <c r="P1736" s="2" t="s">
        <v>38</v>
      </c>
      <c r="Q1736" s="2" t="s">
        <v>39</v>
      </c>
      <c r="R1736" s="2" t="s">
        <v>38</v>
      </c>
      <c r="S1736" s="2" t="s">
        <v>38</v>
      </c>
      <c r="T1736" s="2" t="s">
        <v>38</v>
      </c>
      <c r="U1736" s="2" t="s">
        <v>38</v>
      </c>
      <c r="V1736" s="2" t="s">
        <v>38</v>
      </c>
      <c r="W1736" s="2" t="s">
        <v>38</v>
      </c>
      <c r="X1736" s="2" t="s">
        <v>38</v>
      </c>
      <c r="Y1736" s="2" t="s">
        <v>38</v>
      </c>
      <c r="Z1736" s="2" t="s">
        <v>38</v>
      </c>
      <c r="AA1736" s="2" t="s">
        <v>38</v>
      </c>
      <c r="AB1736" s="2" t="s">
        <v>38</v>
      </c>
      <c r="AC1736" s="2" t="s">
        <v>38</v>
      </c>
      <c r="AD1736" s="2" t="s">
        <v>38</v>
      </c>
      <c r="AE1736" s="2" t="s">
        <v>38</v>
      </c>
    </row>
    <row r="1737" spans="1:31" ht="409.5">
      <c r="A1737" s="2">
        <v>2512499</v>
      </c>
      <c r="B1737" s="2">
        <f>HYPERLINK("https://platform.v2.vetology.net/cases/2512499/screening-report/18?type=pdf&amp;v=v6&amp;scorecard=1&amp;secret_key=BX%25IJ%24%2F65ieZ%29f6", 2512499)</f>
        <v>2512499</v>
      </c>
      <c r="C1737" s="2">
        <f>HYPERLINK("https://platform.v2.vetology.net/report/v/final/"&amp;2512499, 2512499)</f>
        <v>2512499</v>
      </c>
      <c r="D1737" s="2" t="s">
        <v>4899</v>
      </c>
      <c r="E1737" s="2" t="s">
        <v>4900</v>
      </c>
      <c r="F1737" s="2" t="s">
        <v>149</v>
      </c>
      <c r="G1737" s="2" t="s">
        <v>150</v>
      </c>
      <c r="H1737" s="2" t="s">
        <v>2017</v>
      </c>
      <c r="I1737" s="2" t="s">
        <v>65</v>
      </c>
      <c r="J1737" s="2" t="s">
        <v>66</v>
      </c>
      <c r="K1737" s="2" t="s">
        <v>38</v>
      </c>
      <c r="L1737" s="2" t="s">
        <v>39</v>
      </c>
      <c r="M1737" s="2" t="s">
        <v>38</v>
      </c>
      <c r="N1737" s="2" t="s">
        <v>39</v>
      </c>
      <c r="O1737" s="2" t="s">
        <v>39</v>
      </c>
      <c r="P1737" s="2" t="s">
        <v>39</v>
      </c>
      <c r="Q1737" s="2" t="s">
        <v>38</v>
      </c>
      <c r="R1737" s="2" t="s">
        <v>38</v>
      </c>
      <c r="S1737" s="2" t="s">
        <v>39</v>
      </c>
      <c r="T1737" s="2" t="s">
        <v>39</v>
      </c>
      <c r="U1737" s="2" t="s">
        <v>38</v>
      </c>
      <c r="V1737" s="2" t="s">
        <v>39</v>
      </c>
      <c r="W1737" s="2" t="s">
        <v>38</v>
      </c>
      <c r="X1737" s="2" t="s">
        <v>39</v>
      </c>
      <c r="Y1737" s="2" t="s">
        <v>38</v>
      </c>
      <c r="Z1737" s="2" t="s">
        <v>39</v>
      </c>
      <c r="AA1737" s="2" t="s">
        <v>38</v>
      </c>
      <c r="AB1737" s="2" t="s">
        <v>39</v>
      </c>
      <c r="AC1737" s="2" t="s">
        <v>39</v>
      </c>
      <c r="AD1737" s="2" t="s">
        <v>38</v>
      </c>
      <c r="AE1737" s="2" t="s">
        <v>38</v>
      </c>
    </row>
    <row r="1738" spans="1:31" ht="409.5">
      <c r="A1738" s="2">
        <v>2512463</v>
      </c>
      <c r="B1738" s="2">
        <f>HYPERLINK("https://platform.v2.vetology.net/cases/2512463/screening-report/18?type=pdf&amp;v=v6&amp;scorecard=1&amp;secret_key=BX%25IJ%24%2F65ieZ%29f6", 2512463)</f>
        <v>2512463</v>
      </c>
      <c r="C1738" s="2">
        <f>HYPERLINK("https://platform.v2.vetology.net/report/v/final/"&amp;2512463, 2512463)</f>
        <v>2512463</v>
      </c>
      <c r="D1738" s="2" t="s">
        <v>4901</v>
      </c>
      <c r="E1738" s="2" t="s">
        <v>179</v>
      </c>
      <c r="F1738" s="2" t="s">
        <v>81</v>
      </c>
      <c r="G1738" s="2" t="s">
        <v>82</v>
      </c>
      <c r="H1738" s="2" t="s">
        <v>54</v>
      </c>
      <c r="I1738" s="2" t="s">
        <v>44</v>
      </c>
      <c r="J1738" s="2"/>
      <c r="K1738" s="2" t="s">
        <v>38</v>
      </c>
      <c r="L1738" s="2" t="s">
        <v>38</v>
      </c>
      <c r="M1738" s="2" t="s">
        <v>38</v>
      </c>
      <c r="N1738" s="2" t="s">
        <v>38</v>
      </c>
      <c r="O1738" s="2" t="s">
        <v>38</v>
      </c>
      <c r="P1738" s="2" t="s">
        <v>38</v>
      </c>
      <c r="Q1738" s="2" t="s">
        <v>38</v>
      </c>
      <c r="R1738" s="2" t="s">
        <v>38</v>
      </c>
      <c r="S1738" s="2" t="s">
        <v>38</v>
      </c>
      <c r="T1738" s="2" t="s">
        <v>38</v>
      </c>
      <c r="U1738" s="2" t="s">
        <v>38</v>
      </c>
      <c r="V1738" s="2" t="s">
        <v>38</v>
      </c>
      <c r="W1738" s="2" t="s">
        <v>38</v>
      </c>
      <c r="X1738" s="2" t="s">
        <v>38</v>
      </c>
      <c r="Y1738" s="2" t="s">
        <v>38</v>
      </c>
      <c r="Z1738" s="2" t="s">
        <v>38</v>
      </c>
      <c r="AA1738" s="2" t="s">
        <v>38</v>
      </c>
      <c r="AB1738" s="2" t="s">
        <v>38</v>
      </c>
      <c r="AC1738" s="2" t="s">
        <v>38</v>
      </c>
      <c r="AD1738" s="2" t="s">
        <v>38</v>
      </c>
      <c r="AE1738" s="2" t="s">
        <v>38</v>
      </c>
    </row>
    <row r="1739" spans="1:31" ht="409.5">
      <c r="A1739" s="2">
        <v>2512367</v>
      </c>
      <c r="B1739" s="2">
        <f>HYPERLINK("https://platform.v2.vetology.net/cases/2512367/screening-report/18?type=pdf&amp;v=v6&amp;scorecard=1&amp;secret_key=BX%25IJ%24%2F65ieZ%29f6", 2512367)</f>
        <v>2512367</v>
      </c>
      <c r="C1739" s="2">
        <f>HYPERLINK("https://platform.v2.vetology.net/report/v/final/"&amp;2512367, 2512367)</f>
        <v>2512367</v>
      </c>
      <c r="D1739" s="2" t="s">
        <v>4902</v>
      </c>
      <c r="E1739" s="2" t="s">
        <v>4903</v>
      </c>
      <c r="F1739" s="2" t="s">
        <v>4904</v>
      </c>
      <c r="G1739" s="2" t="s">
        <v>58</v>
      </c>
      <c r="H1739" s="2" t="s">
        <v>2097</v>
      </c>
      <c r="I1739" s="2" t="s">
        <v>89</v>
      </c>
      <c r="J1739" s="2" t="s">
        <v>66</v>
      </c>
      <c r="K1739" s="2" t="s">
        <v>38</v>
      </c>
      <c r="L1739" s="2" t="s">
        <v>38</v>
      </c>
      <c r="M1739" s="2" t="s">
        <v>38</v>
      </c>
      <c r="N1739" s="2" t="s">
        <v>38</v>
      </c>
      <c r="O1739" s="2" t="s">
        <v>38</v>
      </c>
      <c r="P1739" s="2" t="s">
        <v>39</v>
      </c>
      <c r="Q1739" s="2" t="s">
        <v>38</v>
      </c>
      <c r="R1739" s="2" t="s">
        <v>38</v>
      </c>
      <c r="S1739" s="2" t="s">
        <v>38</v>
      </c>
      <c r="T1739" s="2" t="s">
        <v>39</v>
      </c>
      <c r="U1739" s="2" t="s">
        <v>39</v>
      </c>
      <c r="V1739" s="2" t="s">
        <v>39</v>
      </c>
      <c r="W1739" s="2" t="s">
        <v>38</v>
      </c>
      <c r="X1739" s="2" t="s">
        <v>39</v>
      </c>
      <c r="Y1739" s="2" t="s">
        <v>38</v>
      </c>
      <c r="Z1739" s="2" t="s">
        <v>38</v>
      </c>
      <c r="AA1739" s="2" t="s">
        <v>38</v>
      </c>
      <c r="AB1739" s="2" t="s">
        <v>39</v>
      </c>
      <c r="AC1739" s="2" t="s">
        <v>38</v>
      </c>
      <c r="AD1739" s="2" t="s">
        <v>38</v>
      </c>
      <c r="AE1739" s="2" t="s">
        <v>39</v>
      </c>
    </row>
    <row r="1740" spans="1:31" ht="409.5">
      <c r="A1740" s="2">
        <v>2512333</v>
      </c>
      <c r="B1740" s="2">
        <f>HYPERLINK("https://platform.v2.vetology.net/cases/2512333/screening-report/18?type=pdf&amp;v=v6&amp;scorecard=1&amp;secret_key=BX%25IJ%24%2F65ieZ%29f6", 2512333)</f>
        <v>2512333</v>
      </c>
      <c r="C1740" s="2">
        <f>HYPERLINK("https://platform.v2.vetology.net/report/v/final/"&amp;2512333, 2512333)</f>
        <v>2512333</v>
      </c>
      <c r="D1740" s="2" t="s">
        <v>4905</v>
      </c>
      <c r="E1740" s="2" t="s">
        <v>4906</v>
      </c>
      <c r="F1740" s="2" t="s">
        <v>4907</v>
      </c>
      <c r="G1740" s="2" t="s">
        <v>135</v>
      </c>
      <c r="H1740" s="2" t="s">
        <v>1180</v>
      </c>
      <c r="I1740" s="2" t="s">
        <v>158</v>
      </c>
      <c r="J1740" s="2" t="s">
        <v>50</v>
      </c>
      <c r="K1740" s="2" t="s">
        <v>38</v>
      </c>
      <c r="L1740" s="2" t="s">
        <v>39</v>
      </c>
      <c r="M1740" s="2" t="s">
        <v>39</v>
      </c>
      <c r="N1740" s="2" t="s">
        <v>38</v>
      </c>
      <c r="O1740" s="2" t="s">
        <v>38</v>
      </c>
      <c r="P1740" s="2" t="s">
        <v>39</v>
      </c>
      <c r="Q1740" s="2" t="s">
        <v>38</v>
      </c>
      <c r="R1740" s="2" t="s">
        <v>38</v>
      </c>
      <c r="S1740" s="2" t="s">
        <v>38</v>
      </c>
      <c r="T1740" s="2" t="s">
        <v>38</v>
      </c>
      <c r="U1740" s="2" t="s">
        <v>38</v>
      </c>
      <c r="V1740" s="2" t="s">
        <v>38</v>
      </c>
      <c r="W1740" s="2" t="s">
        <v>38</v>
      </c>
      <c r="X1740" s="2" t="s">
        <v>38</v>
      </c>
      <c r="Y1740" s="2" t="s">
        <v>38</v>
      </c>
      <c r="Z1740" s="2" t="s">
        <v>38</v>
      </c>
      <c r="AA1740" s="2" t="s">
        <v>38</v>
      </c>
      <c r="AB1740" s="2" t="s">
        <v>39</v>
      </c>
      <c r="AC1740" s="2" t="s">
        <v>39</v>
      </c>
      <c r="AD1740" s="2" t="s">
        <v>38</v>
      </c>
      <c r="AE1740" s="2" t="s">
        <v>38</v>
      </c>
    </row>
    <row r="1741" spans="1:31" ht="409.5">
      <c r="A1741" s="2">
        <v>2512227</v>
      </c>
      <c r="B1741" s="2">
        <f>HYPERLINK("https://platform.v2.vetology.net/cases/2512227/screening-report/18?type=pdf&amp;v=v6&amp;scorecard=1&amp;secret_key=BX%25IJ%24%2F65ieZ%29f6", 2512227)</f>
        <v>2512227</v>
      </c>
      <c r="C1741" s="2">
        <f>HYPERLINK("https://platform.v2.vetology.net/report/v/final/"&amp;2512227, 2512227)</f>
        <v>2512227</v>
      </c>
      <c r="D1741" s="2" t="s">
        <v>4908</v>
      </c>
      <c r="E1741" s="2" t="s">
        <v>4909</v>
      </c>
      <c r="F1741" s="2" t="s">
        <v>4910</v>
      </c>
      <c r="G1741" s="2" t="s">
        <v>212</v>
      </c>
      <c r="H1741" s="2" t="s">
        <v>157</v>
      </c>
      <c r="I1741" s="2" t="s">
        <v>158</v>
      </c>
      <c r="J1741" s="2" t="s">
        <v>50</v>
      </c>
      <c r="K1741" s="2" t="s">
        <v>38</v>
      </c>
      <c r="L1741" s="2" t="s">
        <v>39</v>
      </c>
      <c r="M1741" s="2" t="s">
        <v>39</v>
      </c>
      <c r="N1741" s="2" t="s">
        <v>39</v>
      </c>
      <c r="O1741" s="2" t="s">
        <v>38</v>
      </c>
      <c r="P1741" s="2" t="s">
        <v>38</v>
      </c>
      <c r="Q1741" s="2" t="s">
        <v>38</v>
      </c>
      <c r="R1741" s="2" t="s">
        <v>38</v>
      </c>
      <c r="S1741" s="2" t="s">
        <v>38</v>
      </c>
      <c r="T1741" s="2" t="s">
        <v>39</v>
      </c>
      <c r="U1741" s="2" t="s">
        <v>38</v>
      </c>
      <c r="V1741" s="2" t="s">
        <v>39</v>
      </c>
      <c r="W1741" s="2" t="s">
        <v>38</v>
      </c>
      <c r="X1741" s="2" t="s">
        <v>39</v>
      </c>
      <c r="Y1741" s="2" t="s">
        <v>38</v>
      </c>
      <c r="Z1741" s="2" t="s">
        <v>38</v>
      </c>
      <c r="AA1741" s="2" t="s">
        <v>38</v>
      </c>
      <c r="AB1741" s="2" t="s">
        <v>38</v>
      </c>
      <c r="AC1741" s="2" t="s">
        <v>38</v>
      </c>
      <c r="AD1741" s="2" t="s">
        <v>38</v>
      </c>
      <c r="AE1741" s="2" t="s">
        <v>38</v>
      </c>
    </row>
    <row r="1742" spans="1:31" ht="409.5">
      <c r="A1742" s="2">
        <v>2511711</v>
      </c>
      <c r="B1742" s="2">
        <f>HYPERLINK("https://platform.v2.vetology.net/cases/2511711/screening-report/18?type=pdf&amp;v=v6&amp;scorecard=1&amp;secret_key=BX%25IJ%24%2F65ieZ%29f6", 2511711)</f>
        <v>2511711</v>
      </c>
      <c r="C1742" s="2">
        <f>HYPERLINK("https://platform.v2.vetology.net/report/v/final/"&amp;2511711, 2511711)</f>
        <v>2511711</v>
      </c>
      <c r="D1742" s="2" t="s">
        <v>4911</v>
      </c>
      <c r="E1742" s="2" t="s">
        <v>4912</v>
      </c>
      <c r="F1742" s="2" t="s">
        <v>4913</v>
      </c>
      <c r="G1742" s="2" t="s">
        <v>135</v>
      </c>
      <c r="H1742" s="2" t="s">
        <v>2839</v>
      </c>
      <c r="I1742" s="2" t="s">
        <v>214</v>
      </c>
      <c r="J1742" s="2" t="s">
        <v>50</v>
      </c>
      <c r="K1742" s="2" t="s">
        <v>38</v>
      </c>
      <c r="L1742" s="2" t="s">
        <v>38</v>
      </c>
      <c r="M1742" s="2" t="s">
        <v>38</v>
      </c>
      <c r="N1742" s="2" t="s">
        <v>38</v>
      </c>
      <c r="O1742" s="2" t="s">
        <v>38</v>
      </c>
      <c r="P1742" s="2" t="s">
        <v>38</v>
      </c>
      <c r="Q1742" s="2" t="s">
        <v>38</v>
      </c>
      <c r="R1742" s="2" t="s">
        <v>38</v>
      </c>
      <c r="S1742" s="2" t="s">
        <v>38</v>
      </c>
      <c r="T1742" s="2" t="s">
        <v>39</v>
      </c>
      <c r="U1742" s="2" t="s">
        <v>38</v>
      </c>
      <c r="V1742" s="2" t="s">
        <v>39</v>
      </c>
      <c r="W1742" s="2" t="s">
        <v>38</v>
      </c>
      <c r="X1742" s="2" t="s">
        <v>39</v>
      </c>
      <c r="Y1742" s="2" t="s">
        <v>38</v>
      </c>
      <c r="Z1742" s="2" t="s">
        <v>38</v>
      </c>
      <c r="AA1742" s="2" t="s">
        <v>38</v>
      </c>
      <c r="AB1742" s="2" t="s">
        <v>39</v>
      </c>
      <c r="AC1742" s="2" t="s">
        <v>39</v>
      </c>
      <c r="AD1742" s="2" t="s">
        <v>38</v>
      </c>
      <c r="AE1742" s="2" t="s">
        <v>38</v>
      </c>
    </row>
    <row r="1743" spans="1:31" ht="409.5">
      <c r="A1743" s="2">
        <v>2511702</v>
      </c>
      <c r="B1743" s="2">
        <f>HYPERLINK("https://platform.v2.vetology.net/cases/2511702/screening-report/18?type=pdf&amp;v=v6&amp;scorecard=1&amp;secret_key=BX%25IJ%24%2F65ieZ%29f6", 2511702)</f>
        <v>2511702</v>
      </c>
      <c r="C1743" s="2">
        <f>HYPERLINK("https://platform.v2.vetology.net/report/v/final/"&amp;2511702, 2511702)</f>
        <v>2511702</v>
      </c>
      <c r="D1743" s="2" t="s">
        <v>4914</v>
      </c>
      <c r="E1743" s="2" t="s">
        <v>4915</v>
      </c>
      <c r="F1743" s="2" t="s">
        <v>81</v>
      </c>
      <c r="G1743" s="2" t="s">
        <v>150</v>
      </c>
      <c r="H1743" s="2" t="s">
        <v>54</v>
      </c>
      <c r="I1743" s="2" t="s">
        <v>44</v>
      </c>
      <c r="J1743" s="2"/>
      <c r="K1743" s="2" t="s">
        <v>38</v>
      </c>
      <c r="L1743" s="2" t="s">
        <v>38</v>
      </c>
      <c r="M1743" s="2" t="s">
        <v>39</v>
      </c>
      <c r="N1743" s="2" t="s">
        <v>38</v>
      </c>
      <c r="O1743" s="2" t="s">
        <v>38</v>
      </c>
      <c r="P1743" s="2" t="s">
        <v>38</v>
      </c>
      <c r="Q1743" s="2" t="s">
        <v>38</v>
      </c>
      <c r="R1743" s="2" t="s">
        <v>38</v>
      </c>
      <c r="S1743" s="2" t="s">
        <v>38</v>
      </c>
      <c r="T1743" s="2" t="s">
        <v>39</v>
      </c>
      <c r="U1743" s="2" t="s">
        <v>38</v>
      </c>
      <c r="V1743" s="2" t="s">
        <v>39</v>
      </c>
      <c r="W1743" s="2" t="s">
        <v>38</v>
      </c>
      <c r="X1743" s="2" t="s">
        <v>39</v>
      </c>
      <c r="Y1743" s="2" t="s">
        <v>38</v>
      </c>
      <c r="Z1743" s="2" t="s">
        <v>38</v>
      </c>
      <c r="AA1743" s="2" t="s">
        <v>38</v>
      </c>
      <c r="AB1743" s="2" t="s">
        <v>38</v>
      </c>
      <c r="AC1743" s="2" t="s">
        <v>38</v>
      </c>
      <c r="AD1743" s="2" t="s">
        <v>38</v>
      </c>
      <c r="AE1743" s="2" t="s">
        <v>39</v>
      </c>
    </row>
    <row r="1744" spans="1:31" ht="409.5">
      <c r="A1744" s="2">
        <v>2511183</v>
      </c>
      <c r="B1744" s="2">
        <f>HYPERLINK("https://platform.v2.vetology.net/cases/2511183/screening-report/18?type=pdf&amp;v=v6&amp;scorecard=1&amp;secret_key=BX%25IJ%24%2F65ieZ%29f6", 2511183)</f>
        <v>2511183</v>
      </c>
      <c r="C1744" s="2">
        <f>HYPERLINK("https://platform.v2.vetology.net/report/v/final/"&amp;2511183, 2511183)</f>
        <v>2511183</v>
      </c>
      <c r="D1744" s="2" t="s">
        <v>4916</v>
      </c>
      <c r="E1744" s="2" t="s">
        <v>4917</v>
      </c>
      <c r="F1744" s="2" t="s">
        <v>81</v>
      </c>
      <c r="G1744" s="2" t="s">
        <v>82</v>
      </c>
      <c r="H1744" s="2" t="s">
        <v>78</v>
      </c>
      <c r="I1744" s="2" t="s">
        <v>44</v>
      </c>
      <c r="J1744" s="2" t="s">
        <v>106</v>
      </c>
      <c r="K1744" s="2" t="s">
        <v>38</v>
      </c>
      <c r="L1744" s="2" t="s">
        <v>39</v>
      </c>
      <c r="M1744" s="2" t="s">
        <v>39</v>
      </c>
      <c r="N1744" s="2" t="s">
        <v>38</v>
      </c>
      <c r="O1744" s="2" t="s">
        <v>38</v>
      </c>
      <c r="P1744" s="2" t="s">
        <v>38</v>
      </c>
      <c r="Q1744" s="2" t="s">
        <v>38</v>
      </c>
      <c r="R1744" s="2" t="s">
        <v>38</v>
      </c>
      <c r="S1744" s="2" t="s">
        <v>38</v>
      </c>
      <c r="T1744" s="2" t="s">
        <v>38</v>
      </c>
      <c r="U1744" s="2" t="s">
        <v>38</v>
      </c>
      <c r="V1744" s="2" t="s">
        <v>38</v>
      </c>
      <c r="W1744" s="2" t="s">
        <v>38</v>
      </c>
      <c r="X1744" s="2" t="s">
        <v>38</v>
      </c>
      <c r="Y1744" s="2" t="s">
        <v>38</v>
      </c>
      <c r="Z1744" s="2" t="s">
        <v>38</v>
      </c>
      <c r="AA1744" s="2" t="s">
        <v>38</v>
      </c>
      <c r="AB1744" s="2" t="s">
        <v>38</v>
      </c>
      <c r="AC1744" s="2" t="s">
        <v>38</v>
      </c>
      <c r="AD1744" s="2" t="s">
        <v>38</v>
      </c>
      <c r="AE1744" s="2" t="s">
        <v>38</v>
      </c>
    </row>
    <row r="1745" spans="1:31" ht="409.5">
      <c r="A1745" s="2">
        <v>2510985</v>
      </c>
      <c r="B1745" s="2">
        <f>HYPERLINK("https://platform.v2.vetology.net/cases/2510985/screening-report/18?type=pdf&amp;v=v6&amp;scorecard=1&amp;secret_key=BX%25IJ%24%2F65ieZ%29f6", 2510985)</f>
        <v>2510985</v>
      </c>
      <c r="C1745" s="2">
        <f>HYPERLINK("https://platform.v2.vetology.net/report/v/final/"&amp;2510985, 2510985)</f>
        <v>2510985</v>
      </c>
      <c r="D1745" s="2" t="s">
        <v>4918</v>
      </c>
      <c r="E1745" s="2" t="s">
        <v>4919</v>
      </c>
      <c r="F1745" s="2" t="s">
        <v>81</v>
      </c>
      <c r="G1745" s="2" t="s">
        <v>82</v>
      </c>
      <c r="H1745" s="2" t="s">
        <v>762</v>
      </c>
      <c r="I1745" s="2" t="s">
        <v>184</v>
      </c>
      <c r="J1745" s="2" t="s">
        <v>185</v>
      </c>
      <c r="K1745" s="2" t="s">
        <v>38</v>
      </c>
      <c r="L1745" s="2" t="s">
        <v>38</v>
      </c>
      <c r="M1745" s="2" t="s">
        <v>39</v>
      </c>
      <c r="N1745" s="2" t="s">
        <v>38</v>
      </c>
      <c r="O1745" s="2" t="s">
        <v>38</v>
      </c>
      <c r="P1745" s="2" t="s">
        <v>39</v>
      </c>
      <c r="Q1745" s="2" t="s">
        <v>38</v>
      </c>
      <c r="R1745" s="2" t="s">
        <v>38</v>
      </c>
      <c r="S1745" s="2" t="s">
        <v>38</v>
      </c>
      <c r="T1745" s="2" t="s">
        <v>38</v>
      </c>
      <c r="U1745" s="2" t="s">
        <v>38</v>
      </c>
      <c r="V1745" s="2" t="s">
        <v>38</v>
      </c>
      <c r="W1745" s="2" t="s">
        <v>38</v>
      </c>
      <c r="X1745" s="2" t="s">
        <v>38</v>
      </c>
      <c r="Y1745" s="2" t="s">
        <v>38</v>
      </c>
      <c r="Z1745" s="2" t="s">
        <v>38</v>
      </c>
      <c r="AA1745" s="2" t="s">
        <v>38</v>
      </c>
      <c r="AB1745" s="2" t="s">
        <v>38</v>
      </c>
      <c r="AC1745" s="2" t="s">
        <v>38</v>
      </c>
      <c r="AD1745" s="2" t="s">
        <v>38</v>
      </c>
      <c r="AE1745" s="2" t="s">
        <v>38</v>
      </c>
    </row>
    <row r="1746" spans="1:31" ht="409.5">
      <c r="A1746" s="2">
        <v>2510887</v>
      </c>
      <c r="B1746" s="2">
        <f>HYPERLINK("https://platform.v2.vetology.net/cases/2510887/screening-report/18?type=pdf&amp;v=v6&amp;scorecard=1&amp;secret_key=BX%25IJ%24%2F65ieZ%29f6", 2510887)</f>
        <v>2510887</v>
      </c>
      <c r="C1746" s="2">
        <f>HYPERLINK("https://platform.v2.vetology.net/report/v/final/"&amp;2510887, 2510887)</f>
        <v>2510887</v>
      </c>
      <c r="D1746" s="2" t="s">
        <v>4920</v>
      </c>
      <c r="E1746" s="2" t="s">
        <v>4921</v>
      </c>
      <c r="F1746" s="2" t="s">
        <v>81</v>
      </c>
      <c r="G1746" s="2" t="s">
        <v>82</v>
      </c>
      <c r="H1746" s="2" t="s">
        <v>360</v>
      </c>
      <c r="I1746" s="2" t="s">
        <v>284</v>
      </c>
      <c r="J1746" s="2" t="s">
        <v>285</v>
      </c>
      <c r="K1746" s="2" t="s">
        <v>38</v>
      </c>
      <c r="L1746" s="2" t="s">
        <v>38</v>
      </c>
      <c r="M1746" s="2" t="s">
        <v>39</v>
      </c>
      <c r="N1746" s="2" t="s">
        <v>38</v>
      </c>
      <c r="O1746" s="2" t="s">
        <v>38</v>
      </c>
      <c r="P1746" s="2" t="s">
        <v>38</v>
      </c>
      <c r="Q1746" s="2" t="s">
        <v>38</v>
      </c>
      <c r="R1746" s="2" t="s">
        <v>38</v>
      </c>
      <c r="S1746" s="2" t="s">
        <v>38</v>
      </c>
      <c r="T1746" s="2" t="s">
        <v>38</v>
      </c>
      <c r="U1746" s="2" t="s">
        <v>38</v>
      </c>
      <c r="V1746" s="2" t="s">
        <v>38</v>
      </c>
      <c r="W1746" s="2" t="s">
        <v>38</v>
      </c>
      <c r="X1746" s="2" t="s">
        <v>38</v>
      </c>
      <c r="Y1746" s="2" t="s">
        <v>38</v>
      </c>
      <c r="Z1746" s="2" t="s">
        <v>38</v>
      </c>
      <c r="AA1746" s="2" t="s">
        <v>38</v>
      </c>
      <c r="AB1746" s="2" t="s">
        <v>38</v>
      </c>
      <c r="AC1746" s="2" t="s">
        <v>38</v>
      </c>
      <c r="AD1746" s="2" t="s">
        <v>38</v>
      </c>
      <c r="AE1746" s="2" t="s">
        <v>38</v>
      </c>
    </row>
    <row r="1747" spans="1:31" ht="409.5">
      <c r="A1747" s="2">
        <v>2510809</v>
      </c>
      <c r="B1747" s="2">
        <f>HYPERLINK("https://platform.v2.vetology.net/cases/2510809/screening-report/18?type=pdf&amp;v=v6&amp;scorecard=1&amp;secret_key=BX%25IJ%24%2F65ieZ%29f6", 2510809)</f>
        <v>2510809</v>
      </c>
      <c r="C1747" s="2">
        <f>HYPERLINK("https://platform.v2.vetology.net/report/v/final/"&amp;2510809, 2510809)</f>
        <v>2510809</v>
      </c>
      <c r="D1747" s="2" t="s">
        <v>4922</v>
      </c>
      <c r="E1747" s="2" t="s">
        <v>796</v>
      </c>
      <c r="F1747" s="2" t="s">
        <v>4923</v>
      </c>
      <c r="G1747" s="2" t="s">
        <v>135</v>
      </c>
      <c r="H1747" s="2" t="s">
        <v>4924</v>
      </c>
      <c r="I1747" s="2" t="s">
        <v>137</v>
      </c>
      <c r="J1747" s="2" t="s">
        <v>66</v>
      </c>
      <c r="K1747" s="2" t="s">
        <v>38</v>
      </c>
      <c r="L1747" s="2" t="s">
        <v>38</v>
      </c>
      <c r="M1747" s="2" t="s">
        <v>39</v>
      </c>
      <c r="N1747" s="2" t="s">
        <v>38</v>
      </c>
      <c r="O1747" s="2" t="s">
        <v>38</v>
      </c>
      <c r="P1747" s="2" t="s">
        <v>38</v>
      </c>
      <c r="Q1747" s="2" t="s">
        <v>38</v>
      </c>
      <c r="R1747" s="2" t="s">
        <v>38</v>
      </c>
      <c r="S1747" s="2" t="s">
        <v>38</v>
      </c>
      <c r="T1747" s="2" t="s">
        <v>38</v>
      </c>
      <c r="U1747" s="2" t="s">
        <v>38</v>
      </c>
      <c r="V1747" s="2" t="s">
        <v>38</v>
      </c>
      <c r="W1747" s="2" t="s">
        <v>38</v>
      </c>
      <c r="X1747" s="2" t="s">
        <v>39</v>
      </c>
      <c r="Y1747" s="2" t="s">
        <v>38</v>
      </c>
      <c r="Z1747" s="2" t="s">
        <v>38</v>
      </c>
      <c r="AA1747" s="2" t="s">
        <v>38</v>
      </c>
      <c r="AB1747" s="2" t="s">
        <v>38</v>
      </c>
      <c r="AC1747" s="2" t="s">
        <v>38</v>
      </c>
      <c r="AD1747" s="2" t="s">
        <v>38</v>
      </c>
      <c r="AE1747" s="2" t="s">
        <v>39</v>
      </c>
    </row>
    <row r="1748" spans="1:31" ht="409.5">
      <c r="A1748" s="2">
        <v>2510777</v>
      </c>
      <c r="B1748" s="2">
        <f>HYPERLINK("https://platform.v2.vetology.net/cases/2510777/screening-report/18?type=pdf&amp;v=v6&amp;scorecard=1&amp;secret_key=BX%25IJ%24%2F65ieZ%29f6", 2510777)</f>
        <v>2510777</v>
      </c>
      <c r="C1748" s="2">
        <f>HYPERLINK("https://platform.v2.vetology.net/report/v/final/"&amp;2510777, 2510777)</f>
        <v>2510777</v>
      </c>
      <c r="D1748" s="2" t="s">
        <v>4925</v>
      </c>
      <c r="E1748" s="2" t="s">
        <v>4926</v>
      </c>
      <c r="F1748" s="2" t="s">
        <v>4927</v>
      </c>
      <c r="G1748" s="2" t="s">
        <v>58</v>
      </c>
      <c r="H1748" s="2" t="s">
        <v>129</v>
      </c>
      <c r="I1748" s="2" t="s">
        <v>44</v>
      </c>
      <c r="J1748" s="2"/>
      <c r="K1748" s="2" t="s">
        <v>38</v>
      </c>
      <c r="L1748" s="2" t="s">
        <v>39</v>
      </c>
      <c r="M1748" s="2" t="s">
        <v>39</v>
      </c>
      <c r="N1748" s="2" t="s">
        <v>38</v>
      </c>
      <c r="O1748" s="2" t="s">
        <v>38</v>
      </c>
      <c r="P1748" s="2" t="s">
        <v>38</v>
      </c>
      <c r="Q1748" s="2" t="s">
        <v>38</v>
      </c>
      <c r="R1748" s="2" t="s">
        <v>38</v>
      </c>
      <c r="S1748" s="2" t="s">
        <v>38</v>
      </c>
      <c r="T1748" s="2" t="s">
        <v>39</v>
      </c>
      <c r="U1748" s="2" t="s">
        <v>38</v>
      </c>
      <c r="V1748" s="2" t="s">
        <v>39</v>
      </c>
      <c r="W1748" s="2" t="s">
        <v>38</v>
      </c>
      <c r="X1748" s="2" t="s">
        <v>39</v>
      </c>
      <c r="Y1748" s="2" t="s">
        <v>38</v>
      </c>
      <c r="Z1748" s="2" t="s">
        <v>38</v>
      </c>
      <c r="AA1748" s="2" t="s">
        <v>38</v>
      </c>
      <c r="AB1748" s="2" t="s">
        <v>38</v>
      </c>
      <c r="AC1748" s="2" t="s">
        <v>38</v>
      </c>
      <c r="AD1748" s="2" t="s">
        <v>38</v>
      </c>
      <c r="AE1748" s="2" t="s">
        <v>38</v>
      </c>
    </row>
    <row r="1749" spans="1:31" ht="409.5">
      <c r="A1749" s="2">
        <v>2510704</v>
      </c>
      <c r="B1749" s="2">
        <f>HYPERLINK("https://platform.v2.vetology.net/cases/2510704/screening-report/18?type=pdf&amp;v=v6&amp;scorecard=1&amp;secret_key=BX%25IJ%24%2F65ieZ%29f6", 2510704)</f>
        <v>2510704</v>
      </c>
      <c r="C1749" s="2">
        <f>HYPERLINK("https://platform.v2.vetology.net/report/v/final/"&amp;2510704, 2510704)</f>
        <v>2510704</v>
      </c>
      <c r="D1749" s="2" t="s">
        <v>4928</v>
      </c>
      <c r="E1749" s="2" t="s">
        <v>4929</v>
      </c>
      <c r="F1749" s="2" t="s">
        <v>1444</v>
      </c>
      <c r="G1749" s="2" t="s">
        <v>464</v>
      </c>
      <c r="H1749" s="2" t="s">
        <v>54</v>
      </c>
      <c r="I1749" s="2" t="s">
        <v>44</v>
      </c>
      <c r="J1749" s="2"/>
      <c r="K1749" s="2" t="s">
        <v>38</v>
      </c>
      <c r="L1749" s="2" t="s">
        <v>38</v>
      </c>
      <c r="M1749" s="2" t="s">
        <v>38</v>
      </c>
      <c r="N1749" s="2" t="s">
        <v>38</v>
      </c>
      <c r="O1749" s="2" t="s">
        <v>38</v>
      </c>
      <c r="P1749" s="2" t="s">
        <v>38</v>
      </c>
      <c r="Q1749" s="2" t="s">
        <v>38</v>
      </c>
      <c r="R1749" s="2" t="s">
        <v>38</v>
      </c>
      <c r="S1749" s="2" t="s">
        <v>38</v>
      </c>
      <c r="T1749" s="2" t="s">
        <v>39</v>
      </c>
      <c r="U1749" s="2" t="s">
        <v>38</v>
      </c>
      <c r="V1749" s="2" t="s">
        <v>38</v>
      </c>
      <c r="W1749" s="2" t="s">
        <v>38</v>
      </c>
      <c r="X1749" s="2" t="s">
        <v>39</v>
      </c>
      <c r="Y1749" s="2" t="s">
        <v>38</v>
      </c>
      <c r="Z1749" s="2" t="s">
        <v>38</v>
      </c>
      <c r="AA1749" s="2" t="s">
        <v>38</v>
      </c>
      <c r="AB1749" s="2" t="s">
        <v>38</v>
      </c>
      <c r="AC1749" s="2" t="s">
        <v>38</v>
      </c>
      <c r="AD1749" s="2" t="s">
        <v>38</v>
      </c>
      <c r="AE1749" s="2" t="s">
        <v>38</v>
      </c>
    </row>
    <row r="1750" spans="1:31" ht="409.5">
      <c r="A1750" s="2">
        <v>2509943</v>
      </c>
      <c r="B1750" s="2">
        <f>HYPERLINK("https://platform.v2.vetology.net/cases/2509943/screening-report/18?type=pdf&amp;v=v6&amp;scorecard=1&amp;secret_key=BX%25IJ%24%2F65ieZ%29f6", 2509943)</f>
        <v>2509943</v>
      </c>
      <c r="C1750" s="2">
        <f>HYPERLINK("https://platform.v2.vetology.net/report/v/final/"&amp;2509943, 2509943)</f>
        <v>2509943</v>
      </c>
      <c r="D1750" s="2" t="s">
        <v>4930</v>
      </c>
      <c r="E1750" s="2" t="s">
        <v>4931</v>
      </c>
      <c r="F1750" s="2" t="s">
        <v>81</v>
      </c>
      <c r="G1750" s="2" t="s">
        <v>150</v>
      </c>
      <c r="H1750" s="2" t="s">
        <v>78</v>
      </c>
      <c r="I1750" s="2" t="s">
        <v>44</v>
      </c>
      <c r="J1750" s="2"/>
      <c r="K1750" s="2" t="s">
        <v>38</v>
      </c>
      <c r="L1750" s="2" t="s">
        <v>38</v>
      </c>
      <c r="M1750" s="2" t="s">
        <v>38</v>
      </c>
      <c r="N1750" s="2" t="s">
        <v>38</v>
      </c>
      <c r="O1750" s="2" t="s">
        <v>38</v>
      </c>
      <c r="P1750" s="2" t="s">
        <v>38</v>
      </c>
      <c r="Q1750" s="2" t="s">
        <v>38</v>
      </c>
      <c r="R1750" s="2" t="s">
        <v>38</v>
      </c>
      <c r="S1750" s="2" t="s">
        <v>38</v>
      </c>
      <c r="T1750" s="2" t="s">
        <v>38</v>
      </c>
      <c r="U1750" s="2" t="s">
        <v>38</v>
      </c>
      <c r="V1750" s="2" t="s">
        <v>38</v>
      </c>
      <c r="W1750" s="2" t="s">
        <v>38</v>
      </c>
      <c r="X1750" s="2" t="s">
        <v>38</v>
      </c>
      <c r="Y1750" s="2" t="s">
        <v>38</v>
      </c>
      <c r="Z1750" s="2" t="s">
        <v>38</v>
      </c>
      <c r="AA1750" s="2" t="s">
        <v>38</v>
      </c>
      <c r="AB1750" s="2" t="s">
        <v>38</v>
      </c>
      <c r="AC1750" s="2" t="s">
        <v>38</v>
      </c>
      <c r="AD1750" s="2" t="s">
        <v>38</v>
      </c>
      <c r="AE1750" s="2" t="s">
        <v>38</v>
      </c>
    </row>
    <row r="1751" spans="1:31" ht="409.5">
      <c r="A1751" s="2">
        <v>2509880</v>
      </c>
      <c r="B1751" s="2">
        <f>HYPERLINK("https://platform.v2.vetology.net/cases/2509880/screening-report/18?type=pdf&amp;v=v6&amp;scorecard=1&amp;secret_key=BX%25IJ%24%2F65ieZ%29f6", 2509880)</f>
        <v>2509880</v>
      </c>
      <c r="C1751" s="2">
        <f>HYPERLINK("https://platform.v2.vetology.net/report/v/final/"&amp;2509880, 2509880)</f>
        <v>2509880</v>
      </c>
      <c r="D1751" s="2" t="s">
        <v>4932</v>
      </c>
      <c r="E1751" s="2" t="s">
        <v>4933</v>
      </c>
      <c r="F1751" s="2"/>
      <c r="G1751" s="2" t="s">
        <v>150</v>
      </c>
      <c r="H1751" s="2" t="s">
        <v>88</v>
      </c>
      <c r="I1751" s="2" t="s">
        <v>89</v>
      </c>
      <c r="J1751" s="2" t="s">
        <v>66</v>
      </c>
      <c r="K1751" s="2" t="s">
        <v>38</v>
      </c>
      <c r="L1751" s="2" t="s">
        <v>38</v>
      </c>
      <c r="M1751" s="2" t="s">
        <v>38</v>
      </c>
      <c r="N1751" s="2" t="s">
        <v>38</v>
      </c>
      <c r="O1751" s="2" t="s">
        <v>38</v>
      </c>
      <c r="P1751" s="2" t="s">
        <v>38</v>
      </c>
      <c r="Q1751" s="2" t="s">
        <v>38</v>
      </c>
      <c r="R1751" s="2" t="s">
        <v>38</v>
      </c>
      <c r="S1751" s="2" t="s">
        <v>38</v>
      </c>
      <c r="T1751" s="2" t="s">
        <v>39</v>
      </c>
      <c r="U1751" s="2" t="s">
        <v>38</v>
      </c>
      <c r="V1751" s="2" t="s">
        <v>39</v>
      </c>
      <c r="W1751" s="2" t="s">
        <v>38</v>
      </c>
      <c r="X1751" s="2" t="s">
        <v>39</v>
      </c>
      <c r="Y1751" s="2" t="s">
        <v>38</v>
      </c>
      <c r="Z1751" s="2" t="s">
        <v>38</v>
      </c>
      <c r="AA1751" s="2" t="s">
        <v>38</v>
      </c>
      <c r="AB1751" s="2" t="s">
        <v>39</v>
      </c>
      <c r="AC1751" s="2" t="s">
        <v>39</v>
      </c>
      <c r="AD1751" s="2" t="s">
        <v>38</v>
      </c>
      <c r="AE1751" s="2" t="s">
        <v>39</v>
      </c>
    </row>
    <row r="1752" spans="1:31" ht="409.5">
      <c r="A1752" s="2">
        <v>2509552</v>
      </c>
      <c r="B1752" s="2">
        <f>HYPERLINK("https://platform.v2.vetology.net/cases/2509552/screening-report/18?type=pdf&amp;v=v6&amp;scorecard=1&amp;secret_key=BX%25IJ%24%2F65ieZ%29f6", 2509552)</f>
        <v>2509552</v>
      </c>
      <c r="C1752" s="2">
        <f>HYPERLINK("https://platform.v2.vetology.net/report/v/final/"&amp;2509552, 2509552)</f>
        <v>2509552</v>
      </c>
      <c r="D1752" s="2" t="s">
        <v>4934</v>
      </c>
      <c r="E1752" s="2" t="s">
        <v>4935</v>
      </c>
      <c r="F1752" s="2" t="s">
        <v>4936</v>
      </c>
      <c r="G1752" s="2" t="s">
        <v>464</v>
      </c>
      <c r="H1752" s="2" t="s">
        <v>78</v>
      </c>
      <c r="I1752" s="2" t="s">
        <v>44</v>
      </c>
      <c r="J1752" s="2" t="s">
        <v>106</v>
      </c>
      <c r="K1752" s="2" t="s">
        <v>38</v>
      </c>
      <c r="L1752" s="2" t="s">
        <v>39</v>
      </c>
      <c r="M1752" s="2" t="s">
        <v>38</v>
      </c>
      <c r="N1752" s="2" t="s">
        <v>38</v>
      </c>
      <c r="O1752" s="2" t="s">
        <v>38</v>
      </c>
      <c r="P1752" s="2" t="s">
        <v>38</v>
      </c>
      <c r="Q1752" s="2" t="s">
        <v>38</v>
      </c>
      <c r="R1752" s="2" t="s">
        <v>38</v>
      </c>
      <c r="S1752" s="2" t="s">
        <v>38</v>
      </c>
      <c r="T1752" s="2" t="s">
        <v>38</v>
      </c>
      <c r="U1752" s="2" t="s">
        <v>38</v>
      </c>
      <c r="V1752" s="2" t="s">
        <v>38</v>
      </c>
      <c r="W1752" s="2" t="s">
        <v>38</v>
      </c>
      <c r="X1752" s="2" t="s">
        <v>38</v>
      </c>
      <c r="Y1752" s="2" t="s">
        <v>38</v>
      </c>
      <c r="Z1752" s="2" t="s">
        <v>38</v>
      </c>
      <c r="AA1752" s="2" t="s">
        <v>38</v>
      </c>
      <c r="AB1752" s="2" t="s">
        <v>38</v>
      </c>
      <c r="AC1752" s="2" t="s">
        <v>38</v>
      </c>
      <c r="AD1752" s="2" t="s">
        <v>38</v>
      </c>
      <c r="AE1752" s="2" t="s">
        <v>38</v>
      </c>
    </row>
    <row r="1753" spans="1:31" ht="409.5">
      <c r="A1753" s="2">
        <v>2509463</v>
      </c>
      <c r="B1753" s="2">
        <f>HYPERLINK("https://platform.v2.vetology.net/cases/2509463/screening-report/18?type=pdf&amp;v=v6&amp;scorecard=1&amp;secret_key=BX%25IJ%24%2F65ieZ%29f6", 2509463)</f>
        <v>2509463</v>
      </c>
      <c r="C1753" s="2">
        <f>HYPERLINK("https://platform.v2.vetology.net/report/v/final/"&amp;2509463, 2509463)</f>
        <v>2509463</v>
      </c>
      <c r="D1753" s="2" t="s">
        <v>4937</v>
      </c>
      <c r="E1753" s="2" t="s">
        <v>4938</v>
      </c>
      <c r="F1753" s="2" t="s">
        <v>4939</v>
      </c>
      <c r="G1753" s="2" t="s">
        <v>268</v>
      </c>
      <c r="H1753" s="2" t="s">
        <v>3060</v>
      </c>
      <c r="I1753" s="2" t="s">
        <v>137</v>
      </c>
      <c r="J1753" s="2" t="s">
        <v>66</v>
      </c>
      <c r="K1753" s="2" t="s">
        <v>38</v>
      </c>
      <c r="L1753" s="2" t="s">
        <v>38</v>
      </c>
      <c r="M1753" s="2" t="s">
        <v>39</v>
      </c>
      <c r="N1753" s="2" t="s">
        <v>38</v>
      </c>
      <c r="O1753" s="2" t="s">
        <v>38</v>
      </c>
      <c r="P1753" s="2" t="s">
        <v>38</v>
      </c>
      <c r="Q1753" s="2" t="s">
        <v>38</v>
      </c>
      <c r="R1753" s="2" t="s">
        <v>38</v>
      </c>
      <c r="S1753" s="2" t="s">
        <v>38</v>
      </c>
      <c r="T1753" s="2" t="s">
        <v>39</v>
      </c>
      <c r="U1753" s="2" t="s">
        <v>38</v>
      </c>
      <c r="V1753" s="2" t="s">
        <v>38</v>
      </c>
      <c r="W1753" s="2" t="s">
        <v>38</v>
      </c>
      <c r="X1753" s="2" t="s">
        <v>38</v>
      </c>
      <c r="Y1753" s="2" t="s">
        <v>38</v>
      </c>
      <c r="Z1753" s="2" t="s">
        <v>38</v>
      </c>
      <c r="AA1753" s="2" t="s">
        <v>38</v>
      </c>
      <c r="AB1753" s="2" t="s">
        <v>39</v>
      </c>
      <c r="AC1753" s="2" t="s">
        <v>39</v>
      </c>
      <c r="AD1753" s="2" t="s">
        <v>38</v>
      </c>
      <c r="AE1753" s="2" t="s">
        <v>39</v>
      </c>
    </row>
    <row r="1754" spans="1:31" ht="409.5">
      <c r="A1754" s="2">
        <v>2509324</v>
      </c>
      <c r="B1754" s="2">
        <f>HYPERLINK("https://platform.v2.vetology.net/cases/2509324/screening-report/18?type=pdf&amp;v=v6&amp;scorecard=1&amp;secret_key=BX%25IJ%24%2F65ieZ%29f6", 2509324)</f>
        <v>2509324</v>
      </c>
      <c r="C1754" s="2">
        <f>HYPERLINK("https://platform.v2.vetology.net/report/v/final/"&amp;2509324, 2509324)</f>
        <v>2509324</v>
      </c>
      <c r="D1754" s="2" t="s">
        <v>4940</v>
      </c>
      <c r="E1754" s="2" t="s">
        <v>4941</v>
      </c>
      <c r="F1754" s="2" t="s">
        <v>4942</v>
      </c>
      <c r="G1754" s="2" t="s">
        <v>58</v>
      </c>
      <c r="H1754" s="2" t="s">
        <v>129</v>
      </c>
      <c r="I1754" s="2" t="s">
        <v>44</v>
      </c>
      <c r="J1754" s="2" t="s">
        <v>106</v>
      </c>
      <c r="K1754" s="2" t="s">
        <v>38</v>
      </c>
      <c r="L1754" s="2" t="s">
        <v>39</v>
      </c>
      <c r="M1754" s="2" t="s">
        <v>38</v>
      </c>
      <c r="N1754" s="2" t="s">
        <v>38</v>
      </c>
      <c r="O1754" s="2" t="s">
        <v>38</v>
      </c>
      <c r="P1754" s="2" t="s">
        <v>38</v>
      </c>
      <c r="Q1754" s="2" t="s">
        <v>38</v>
      </c>
      <c r="R1754" s="2" t="s">
        <v>38</v>
      </c>
      <c r="S1754" s="2" t="s">
        <v>38</v>
      </c>
      <c r="T1754" s="2" t="s">
        <v>38</v>
      </c>
      <c r="U1754" s="2" t="s">
        <v>38</v>
      </c>
      <c r="V1754" s="2" t="s">
        <v>38</v>
      </c>
      <c r="W1754" s="2" t="s">
        <v>38</v>
      </c>
      <c r="X1754" s="2" t="s">
        <v>38</v>
      </c>
      <c r="Y1754" s="2" t="s">
        <v>38</v>
      </c>
      <c r="Z1754" s="2" t="s">
        <v>38</v>
      </c>
      <c r="AA1754" s="2" t="s">
        <v>38</v>
      </c>
      <c r="AB1754" s="2" t="s">
        <v>39</v>
      </c>
      <c r="AC1754" s="2" t="s">
        <v>38</v>
      </c>
      <c r="AD1754" s="2" t="s">
        <v>38</v>
      </c>
      <c r="AE1754" s="2" t="s">
        <v>38</v>
      </c>
    </row>
    <row r="1755" spans="1:31" ht="409.5">
      <c r="A1755" s="2">
        <v>2509153</v>
      </c>
      <c r="B1755" s="2">
        <f>HYPERLINK("https://platform.v2.vetology.net/cases/2509153/screening-report/18?type=pdf&amp;v=v6&amp;scorecard=1&amp;secret_key=BX%25IJ%24%2F65ieZ%29f6", 2509153)</f>
        <v>2509153</v>
      </c>
      <c r="C1755" s="2">
        <f>HYPERLINK("https://platform.v2.vetology.net/report/v/final/"&amp;2509153, 2509153)</f>
        <v>2509153</v>
      </c>
      <c r="D1755" s="2" t="s">
        <v>758</v>
      </c>
      <c r="E1755" s="2" t="s">
        <v>387</v>
      </c>
      <c r="F1755" s="2" t="s">
        <v>149</v>
      </c>
      <c r="G1755" s="2" t="s">
        <v>150</v>
      </c>
      <c r="H1755" s="2" t="s">
        <v>88</v>
      </c>
      <c r="I1755" s="2" t="s">
        <v>89</v>
      </c>
      <c r="J1755" s="2" t="s">
        <v>66</v>
      </c>
      <c r="K1755" s="2" t="s">
        <v>38</v>
      </c>
      <c r="L1755" s="2" t="s">
        <v>38</v>
      </c>
      <c r="M1755" s="2" t="s">
        <v>38</v>
      </c>
      <c r="N1755" s="2" t="s">
        <v>38</v>
      </c>
      <c r="O1755" s="2" t="s">
        <v>38</v>
      </c>
      <c r="P1755" s="2" t="s">
        <v>38</v>
      </c>
      <c r="Q1755" s="2" t="s">
        <v>38</v>
      </c>
      <c r="R1755" s="2" t="s">
        <v>38</v>
      </c>
      <c r="S1755" s="2" t="s">
        <v>38</v>
      </c>
      <c r="T1755" s="2" t="s">
        <v>39</v>
      </c>
      <c r="U1755" s="2" t="s">
        <v>38</v>
      </c>
      <c r="V1755" s="2" t="s">
        <v>39</v>
      </c>
      <c r="W1755" s="2" t="s">
        <v>38</v>
      </c>
      <c r="X1755" s="2" t="s">
        <v>39</v>
      </c>
      <c r="Y1755" s="2" t="s">
        <v>38</v>
      </c>
      <c r="Z1755" s="2" t="s">
        <v>38</v>
      </c>
      <c r="AA1755" s="2" t="s">
        <v>38</v>
      </c>
      <c r="AB1755" s="2" t="s">
        <v>38</v>
      </c>
      <c r="AC1755" s="2" t="s">
        <v>38</v>
      </c>
      <c r="AD1755" s="2" t="s">
        <v>38</v>
      </c>
      <c r="AE1755" s="2" t="s">
        <v>39</v>
      </c>
    </row>
    <row r="1756" spans="1:31" ht="409.5">
      <c r="A1756" s="2">
        <v>2509031</v>
      </c>
      <c r="B1756" s="2">
        <f>HYPERLINK("https://platform.v2.vetology.net/cases/2509031/screening-report/18?type=pdf&amp;v=v6&amp;scorecard=1&amp;secret_key=BX%25IJ%24%2F65ieZ%29f6", 2509031)</f>
        <v>2509031</v>
      </c>
      <c r="C1756" s="2">
        <f>HYPERLINK("https://platform.v2.vetology.net/report/v/final/"&amp;2509031, 2509031)</f>
        <v>2509031</v>
      </c>
      <c r="D1756" s="2" t="s">
        <v>4943</v>
      </c>
      <c r="E1756" s="2" t="s">
        <v>4944</v>
      </c>
      <c r="F1756" s="2" t="s">
        <v>4945</v>
      </c>
      <c r="G1756" s="2" t="s">
        <v>464</v>
      </c>
      <c r="H1756" s="2" t="s">
        <v>54</v>
      </c>
      <c r="I1756" s="2" t="s">
        <v>44</v>
      </c>
      <c r="J1756" s="2" t="s">
        <v>106</v>
      </c>
      <c r="K1756" s="2" t="s">
        <v>38</v>
      </c>
      <c r="L1756" s="2" t="s">
        <v>38</v>
      </c>
      <c r="M1756" s="2" t="s">
        <v>38</v>
      </c>
      <c r="N1756" s="2" t="s">
        <v>38</v>
      </c>
      <c r="O1756" s="2" t="s">
        <v>38</v>
      </c>
      <c r="P1756" s="2" t="s">
        <v>39</v>
      </c>
      <c r="Q1756" s="2" t="s">
        <v>38</v>
      </c>
      <c r="R1756" s="2" t="s">
        <v>38</v>
      </c>
      <c r="S1756" s="2" t="s">
        <v>38</v>
      </c>
      <c r="T1756" s="2" t="s">
        <v>38</v>
      </c>
      <c r="U1756" s="2" t="s">
        <v>38</v>
      </c>
      <c r="V1756" s="2" t="s">
        <v>38</v>
      </c>
      <c r="W1756" s="2" t="s">
        <v>38</v>
      </c>
      <c r="X1756" s="2" t="s">
        <v>38</v>
      </c>
      <c r="Y1756" s="2" t="s">
        <v>38</v>
      </c>
      <c r="Z1756" s="2" t="s">
        <v>38</v>
      </c>
      <c r="AA1756" s="2" t="s">
        <v>38</v>
      </c>
      <c r="AB1756" s="2" t="s">
        <v>38</v>
      </c>
      <c r="AC1756" s="2" t="s">
        <v>38</v>
      </c>
      <c r="AD1756" s="2" t="s">
        <v>38</v>
      </c>
      <c r="AE1756" s="2" t="s">
        <v>38</v>
      </c>
    </row>
    <row r="1757" spans="1:31" ht="409.5">
      <c r="A1757" s="2">
        <v>2509025</v>
      </c>
      <c r="B1757" s="2">
        <f>HYPERLINK("https://platform.v2.vetology.net/cases/2509025/screening-report/18?type=pdf&amp;v=v6&amp;scorecard=1&amp;secret_key=BX%25IJ%24%2F65ieZ%29f6", 2509025)</f>
        <v>2509025</v>
      </c>
      <c r="C1757" s="2">
        <f>HYPERLINK("https://platform.v2.vetology.net/report/v/final/"&amp;2509025, 2509025)</f>
        <v>2509025</v>
      </c>
      <c r="D1757" s="2" t="s">
        <v>4946</v>
      </c>
      <c r="E1757" s="2" t="s">
        <v>4947</v>
      </c>
      <c r="F1757" s="2" t="s">
        <v>81</v>
      </c>
      <c r="G1757" s="2" t="s">
        <v>82</v>
      </c>
      <c r="H1757" s="2" t="s">
        <v>3168</v>
      </c>
      <c r="I1757" s="2" t="s">
        <v>173</v>
      </c>
      <c r="J1757" s="2" t="s">
        <v>174</v>
      </c>
      <c r="K1757" s="2" t="s">
        <v>38</v>
      </c>
      <c r="L1757" s="2" t="s">
        <v>38</v>
      </c>
      <c r="M1757" s="2" t="s">
        <v>39</v>
      </c>
      <c r="N1757" s="2" t="s">
        <v>38</v>
      </c>
      <c r="O1757" s="2" t="s">
        <v>38</v>
      </c>
      <c r="P1757" s="2" t="s">
        <v>38</v>
      </c>
      <c r="Q1757" s="2" t="s">
        <v>38</v>
      </c>
      <c r="R1757" s="2" t="s">
        <v>38</v>
      </c>
      <c r="S1757" s="2" t="s">
        <v>38</v>
      </c>
      <c r="T1757" s="2" t="s">
        <v>38</v>
      </c>
      <c r="U1757" s="2" t="s">
        <v>38</v>
      </c>
      <c r="V1757" s="2" t="s">
        <v>38</v>
      </c>
      <c r="W1757" s="2" t="s">
        <v>38</v>
      </c>
      <c r="X1757" s="2" t="s">
        <v>38</v>
      </c>
      <c r="Y1757" s="2" t="s">
        <v>38</v>
      </c>
      <c r="Z1757" s="2" t="s">
        <v>38</v>
      </c>
      <c r="AA1757" s="2" t="s">
        <v>38</v>
      </c>
      <c r="AB1757" s="2" t="s">
        <v>39</v>
      </c>
      <c r="AC1757" s="2" t="s">
        <v>39</v>
      </c>
      <c r="AD1757" s="2" t="s">
        <v>38</v>
      </c>
      <c r="AE1757" s="2" t="s">
        <v>38</v>
      </c>
    </row>
    <row r="1758" spans="1:31" ht="409.5">
      <c r="A1758" s="2">
        <v>2508755</v>
      </c>
      <c r="B1758" s="2">
        <f>HYPERLINK("https://platform.v2.vetology.net/cases/2508755/screening-report/18?type=pdf&amp;v=v6&amp;scorecard=1&amp;secret_key=BX%25IJ%24%2F65ieZ%29f6", 2508755)</f>
        <v>2508755</v>
      </c>
      <c r="C1758" s="2">
        <f>HYPERLINK("https://platform.v2.vetology.net/report/v/final/"&amp;2508755, 2508755)</f>
        <v>2508755</v>
      </c>
      <c r="D1758" s="2" t="s">
        <v>4948</v>
      </c>
      <c r="E1758" s="2" t="s">
        <v>4949</v>
      </c>
      <c r="F1758" s="2" t="s">
        <v>4950</v>
      </c>
      <c r="G1758" s="2" t="s">
        <v>63</v>
      </c>
      <c r="H1758" s="2" t="s">
        <v>129</v>
      </c>
      <c r="I1758" s="2" t="s">
        <v>44</v>
      </c>
      <c r="J1758" s="2"/>
      <c r="K1758" s="2" t="s">
        <v>38</v>
      </c>
      <c r="L1758" s="2" t="s">
        <v>39</v>
      </c>
      <c r="M1758" s="2" t="s">
        <v>38</v>
      </c>
      <c r="N1758" s="2" t="s">
        <v>38</v>
      </c>
      <c r="O1758" s="2" t="s">
        <v>38</v>
      </c>
      <c r="P1758" s="2" t="s">
        <v>38</v>
      </c>
      <c r="Q1758" s="2" t="s">
        <v>38</v>
      </c>
      <c r="R1758" s="2" t="s">
        <v>38</v>
      </c>
      <c r="S1758" s="2" t="s">
        <v>38</v>
      </c>
      <c r="T1758" s="2" t="s">
        <v>39</v>
      </c>
      <c r="U1758" s="2" t="s">
        <v>38</v>
      </c>
      <c r="V1758" s="2" t="s">
        <v>38</v>
      </c>
      <c r="W1758" s="2" t="s">
        <v>38</v>
      </c>
      <c r="X1758" s="2" t="s">
        <v>38</v>
      </c>
      <c r="Y1758" s="2" t="s">
        <v>38</v>
      </c>
      <c r="Z1758" s="2" t="s">
        <v>38</v>
      </c>
      <c r="AA1758" s="2" t="s">
        <v>38</v>
      </c>
      <c r="AB1758" s="2" t="s">
        <v>38</v>
      </c>
      <c r="AC1758" s="2" t="s">
        <v>38</v>
      </c>
      <c r="AD1758" s="2" t="s">
        <v>38</v>
      </c>
      <c r="AE1758" s="2" t="s">
        <v>38</v>
      </c>
    </row>
    <row r="1759" spans="1:31" ht="409.5">
      <c r="A1759" s="2">
        <v>2508563</v>
      </c>
      <c r="B1759" s="2">
        <f>HYPERLINK("https://platform.v2.vetology.net/cases/2508563/screening-report/18?type=pdf&amp;v=v6&amp;scorecard=1&amp;secret_key=BX%25IJ%24%2F65ieZ%29f6", 2508563)</f>
        <v>2508563</v>
      </c>
      <c r="C1759" s="2">
        <f>HYPERLINK("https://platform.v2.vetology.net/report/v/final/"&amp;2508563, 2508563)</f>
        <v>2508563</v>
      </c>
      <c r="D1759" s="2" t="s">
        <v>4951</v>
      </c>
      <c r="E1759" s="2" t="s">
        <v>4952</v>
      </c>
      <c r="F1759" s="2" t="s">
        <v>4953</v>
      </c>
      <c r="G1759" s="2" t="s">
        <v>93</v>
      </c>
      <c r="H1759" s="2" t="s">
        <v>4954</v>
      </c>
      <c r="I1759" s="2" t="s">
        <v>65</v>
      </c>
      <c r="J1759" s="2" t="s">
        <v>66</v>
      </c>
      <c r="K1759" s="2" t="s">
        <v>38</v>
      </c>
      <c r="L1759" s="2" t="s">
        <v>39</v>
      </c>
      <c r="M1759" s="2" t="s">
        <v>38</v>
      </c>
      <c r="N1759" s="2" t="s">
        <v>38</v>
      </c>
      <c r="O1759" s="2" t="s">
        <v>38</v>
      </c>
      <c r="P1759" s="2" t="s">
        <v>39</v>
      </c>
      <c r="Q1759" s="2" t="s">
        <v>38</v>
      </c>
      <c r="R1759" s="2" t="s">
        <v>38</v>
      </c>
      <c r="S1759" s="2" t="s">
        <v>38</v>
      </c>
      <c r="T1759" s="2" t="s">
        <v>38</v>
      </c>
      <c r="U1759" s="2" t="s">
        <v>38</v>
      </c>
      <c r="V1759" s="2" t="s">
        <v>38</v>
      </c>
      <c r="W1759" s="2" t="s">
        <v>38</v>
      </c>
      <c r="X1759" s="2" t="s">
        <v>38</v>
      </c>
      <c r="Y1759" s="2" t="s">
        <v>38</v>
      </c>
      <c r="Z1759" s="2" t="s">
        <v>38</v>
      </c>
      <c r="AA1759" s="2" t="s">
        <v>38</v>
      </c>
      <c r="AB1759" s="2" t="s">
        <v>39</v>
      </c>
      <c r="AC1759" s="2" t="s">
        <v>39</v>
      </c>
      <c r="AD1759" s="2" t="s">
        <v>38</v>
      </c>
      <c r="AE1759" s="2" t="s">
        <v>38</v>
      </c>
    </row>
    <row r="1760" spans="1:31" ht="409.5">
      <c r="A1760" s="2">
        <v>2508441</v>
      </c>
      <c r="B1760" s="2">
        <f>HYPERLINK("https://platform.v2.vetology.net/cases/2508441/screening-report/18?type=pdf&amp;v=v6&amp;scorecard=1&amp;secret_key=BX%25IJ%24%2F65ieZ%29f6", 2508441)</f>
        <v>2508441</v>
      </c>
      <c r="C1760" s="2">
        <f>HYPERLINK("https://platform.v2.vetology.net/report/v/final/"&amp;2508441, 2508441)</f>
        <v>2508441</v>
      </c>
      <c r="D1760" s="2" t="s">
        <v>4955</v>
      </c>
      <c r="E1760" s="2" t="s">
        <v>4956</v>
      </c>
      <c r="F1760" s="2" t="s">
        <v>4957</v>
      </c>
      <c r="G1760" s="2" t="s">
        <v>268</v>
      </c>
      <c r="H1760" s="2" t="s">
        <v>88</v>
      </c>
      <c r="I1760" s="2" t="s">
        <v>89</v>
      </c>
      <c r="J1760" s="2" t="s">
        <v>66</v>
      </c>
      <c r="K1760" s="2" t="s">
        <v>38</v>
      </c>
      <c r="L1760" s="2" t="s">
        <v>39</v>
      </c>
      <c r="M1760" s="2" t="s">
        <v>39</v>
      </c>
      <c r="N1760" s="2" t="s">
        <v>38</v>
      </c>
      <c r="O1760" s="2" t="s">
        <v>38</v>
      </c>
      <c r="P1760" s="2" t="s">
        <v>38</v>
      </c>
      <c r="Q1760" s="2" t="s">
        <v>38</v>
      </c>
      <c r="R1760" s="2" t="s">
        <v>38</v>
      </c>
      <c r="S1760" s="2" t="s">
        <v>38</v>
      </c>
      <c r="T1760" s="2" t="s">
        <v>39</v>
      </c>
      <c r="U1760" s="2" t="s">
        <v>38</v>
      </c>
      <c r="V1760" s="2" t="s">
        <v>39</v>
      </c>
      <c r="W1760" s="2" t="s">
        <v>38</v>
      </c>
      <c r="X1760" s="2" t="s">
        <v>39</v>
      </c>
      <c r="Y1760" s="2" t="s">
        <v>38</v>
      </c>
      <c r="Z1760" s="2" t="s">
        <v>38</v>
      </c>
      <c r="AA1760" s="2" t="s">
        <v>38</v>
      </c>
      <c r="AB1760" s="2" t="s">
        <v>38</v>
      </c>
      <c r="AC1760" s="2" t="s">
        <v>38</v>
      </c>
      <c r="AD1760" s="2" t="s">
        <v>38</v>
      </c>
      <c r="AE1760" s="2" t="s">
        <v>38</v>
      </c>
    </row>
    <row r="1761" spans="1:31" ht="409.5">
      <c r="A1761" s="2">
        <v>2508325</v>
      </c>
      <c r="B1761" s="2">
        <f>HYPERLINK("https://platform.v2.vetology.net/cases/2508325/screening-report/18?type=pdf&amp;v=v6&amp;scorecard=1&amp;secret_key=BX%25IJ%24%2F65ieZ%29f6", 2508325)</f>
        <v>2508325</v>
      </c>
      <c r="C1761" s="2">
        <f>HYPERLINK("https://platform.v2.vetology.net/report/v/final/"&amp;2508325, 2508325)</f>
        <v>2508325</v>
      </c>
      <c r="D1761" s="2" t="s">
        <v>4958</v>
      </c>
      <c r="E1761" s="2" t="s">
        <v>4959</v>
      </c>
      <c r="F1761" s="2" t="s">
        <v>4960</v>
      </c>
      <c r="G1761" s="2" t="s">
        <v>575</v>
      </c>
      <c r="H1761" s="2" t="s">
        <v>4290</v>
      </c>
      <c r="I1761" s="2" t="s">
        <v>634</v>
      </c>
      <c r="J1761" s="2" t="s">
        <v>635</v>
      </c>
      <c r="K1761" s="2" t="s">
        <v>39</v>
      </c>
      <c r="L1761" s="2" t="s">
        <v>39</v>
      </c>
      <c r="M1761" s="2" t="s">
        <v>39</v>
      </c>
      <c r="N1761" s="2" t="s">
        <v>39</v>
      </c>
      <c r="O1761" s="2" t="s">
        <v>39</v>
      </c>
      <c r="P1761" s="2" t="s">
        <v>39</v>
      </c>
      <c r="Q1761" s="2" t="s">
        <v>39</v>
      </c>
      <c r="R1761" s="2" t="s">
        <v>39</v>
      </c>
      <c r="S1761" s="2" t="s">
        <v>39</v>
      </c>
      <c r="T1761" s="2" t="s">
        <v>39</v>
      </c>
      <c r="U1761" s="2" t="s">
        <v>39</v>
      </c>
      <c r="V1761" s="2" t="s">
        <v>39</v>
      </c>
      <c r="W1761" s="2" t="s">
        <v>38</v>
      </c>
      <c r="X1761" s="2" t="s">
        <v>39</v>
      </c>
      <c r="Y1761" s="2" t="s">
        <v>39</v>
      </c>
      <c r="Z1761" s="2" t="s">
        <v>39</v>
      </c>
      <c r="AA1761" s="2" t="s">
        <v>39</v>
      </c>
      <c r="AB1761" s="2" t="s">
        <v>39</v>
      </c>
      <c r="AC1761" s="2" t="s">
        <v>39</v>
      </c>
      <c r="AD1761" s="2" t="s">
        <v>38</v>
      </c>
      <c r="AE1761" s="2" t="s">
        <v>39</v>
      </c>
    </row>
    <row r="1762" spans="1:31" ht="409.5">
      <c r="A1762" s="2">
        <v>2507938</v>
      </c>
      <c r="B1762" s="2">
        <f>HYPERLINK("https://platform.v2.vetology.net/cases/2507938/screening-report/18?type=pdf&amp;v=v6&amp;scorecard=1&amp;secret_key=BX%25IJ%24%2F65ieZ%29f6", 2507938)</f>
        <v>2507938</v>
      </c>
      <c r="C1762" s="2">
        <f>HYPERLINK("https://platform.v2.vetology.net/report/v/final/"&amp;2507938, 2507938)</f>
        <v>2507938</v>
      </c>
      <c r="D1762" s="2" t="s">
        <v>4961</v>
      </c>
      <c r="E1762" s="2" t="s">
        <v>4962</v>
      </c>
      <c r="F1762" s="2" t="s">
        <v>919</v>
      </c>
      <c r="G1762" s="2" t="s">
        <v>58</v>
      </c>
      <c r="H1762" s="2" t="s">
        <v>2530</v>
      </c>
      <c r="I1762" s="2" t="s">
        <v>1091</v>
      </c>
      <c r="J1762" s="2" t="s">
        <v>50</v>
      </c>
      <c r="K1762" s="2" t="s">
        <v>38</v>
      </c>
      <c r="L1762" s="2" t="s">
        <v>39</v>
      </c>
      <c r="M1762" s="2" t="s">
        <v>39</v>
      </c>
      <c r="N1762" s="2" t="s">
        <v>39</v>
      </c>
      <c r="O1762" s="2" t="s">
        <v>39</v>
      </c>
      <c r="P1762" s="2" t="s">
        <v>39</v>
      </c>
      <c r="Q1762" s="2" t="s">
        <v>38</v>
      </c>
      <c r="R1762" s="2" t="s">
        <v>38</v>
      </c>
      <c r="S1762" s="2" t="s">
        <v>39</v>
      </c>
      <c r="T1762" s="2" t="s">
        <v>39</v>
      </c>
      <c r="U1762" s="2" t="s">
        <v>39</v>
      </c>
      <c r="V1762" s="2" t="s">
        <v>39</v>
      </c>
      <c r="W1762" s="2" t="s">
        <v>38</v>
      </c>
      <c r="X1762" s="2" t="s">
        <v>39</v>
      </c>
      <c r="Y1762" s="2" t="s">
        <v>38</v>
      </c>
      <c r="Z1762" s="2" t="s">
        <v>39</v>
      </c>
      <c r="AA1762" s="2" t="s">
        <v>38</v>
      </c>
      <c r="AB1762" s="2" t="s">
        <v>39</v>
      </c>
      <c r="AC1762" s="2" t="s">
        <v>39</v>
      </c>
      <c r="AD1762" s="2" t="s">
        <v>38</v>
      </c>
      <c r="AE1762" s="2" t="s">
        <v>38</v>
      </c>
    </row>
    <row r="1763" spans="1:31" ht="409.5">
      <c r="A1763" s="2">
        <v>2507516</v>
      </c>
      <c r="B1763" s="2">
        <f>HYPERLINK("https://platform.v2.vetology.net/cases/2507516/screening-report/18?type=pdf&amp;v=v6&amp;scorecard=1&amp;secret_key=BX%25IJ%24%2F65ieZ%29f6", 2507516)</f>
        <v>2507516</v>
      </c>
      <c r="C1763" s="2">
        <f>HYPERLINK("https://platform.v2.vetology.net/report/v/final/"&amp;2507516, 2507516)</f>
        <v>2507516</v>
      </c>
      <c r="D1763" s="2" t="s">
        <v>4963</v>
      </c>
      <c r="E1763" s="2" t="s">
        <v>4964</v>
      </c>
      <c r="F1763" s="2" t="s">
        <v>4965</v>
      </c>
      <c r="G1763" s="2" t="s">
        <v>550</v>
      </c>
      <c r="H1763" s="2" t="s">
        <v>794</v>
      </c>
      <c r="I1763" s="2" t="s">
        <v>137</v>
      </c>
      <c r="J1763" s="2" t="s">
        <v>66</v>
      </c>
      <c r="K1763" s="2" t="s">
        <v>38</v>
      </c>
      <c r="L1763" s="2" t="s">
        <v>38</v>
      </c>
      <c r="M1763" s="2" t="s">
        <v>38</v>
      </c>
      <c r="N1763" s="2" t="s">
        <v>38</v>
      </c>
      <c r="O1763" s="2" t="s">
        <v>38</v>
      </c>
      <c r="P1763" s="2" t="s">
        <v>38</v>
      </c>
      <c r="Q1763" s="2" t="s">
        <v>38</v>
      </c>
      <c r="R1763" s="2" t="s">
        <v>38</v>
      </c>
      <c r="S1763" s="2" t="s">
        <v>38</v>
      </c>
      <c r="T1763" s="2" t="s">
        <v>38</v>
      </c>
      <c r="U1763" s="2" t="s">
        <v>38</v>
      </c>
      <c r="V1763" s="2" t="s">
        <v>38</v>
      </c>
      <c r="W1763" s="2" t="s">
        <v>38</v>
      </c>
      <c r="X1763" s="2" t="s">
        <v>38</v>
      </c>
      <c r="Y1763" s="2" t="s">
        <v>38</v>
      </c>
      <c r="Z1763" s="2" t="s">
        <v>38</v>
      </c>
      <c r="AA1763" s="2" t="s">
        <v>38</v>
      </c>
      <c r="AB1763" s="2" t="s">
        <v>39</v>
      </c>
      <c r="AC1763" s="2" t="s">
        <v>38</v>
      </c>
      <c r="AD1763" s="2" t="s">
        <v>38</v>
      </c>
      <c r="AE1763" s="2" t="s">
        <v>39</v>
      </c>
    </row>
    <row r="1764" spans="1:31" ht="409.5">
      <c r="A1764" s="2">
        <v>2507475</v>
      </c>
      <c r="B1764" s="2">
        <f>HYPERLINK("https://platform.v2.vetology.net/cases/2507475/screening-report/18?type=pdf&amp;v=v6&amp;scorecard=1&amp;secret_key=BX%25IJ%24%2F65ieZ%29f6", 2507475)</f>
        <v>2507475</v>
      </c>
      <c r="C1764" s="2">
        <f>HYPERLINK("https://platform.v2.vetology.net/report/v/final/"&amp;2507475, 2507475)</f>
        <v>2507475</v>
      </c>
      <c r="D1764" s="2" t="s">
        <v>4966</v>
      </c>
      <c r="E1764" s="2" t="s">
        <v>4967</v>
      </c>
      <c r="F1764" s="2" t="s">
        <v>81</v>
      </c>
      <c r="G1764" s="2" t="s">
        <v>82</v>
      </c>
      <c r="H1764" s="2" t="s">
        <v>54</v>
      </c>
      <c r="I1764" s="2" t="s">
        <v>199</v>
      </c>
      <c r="J1764" s="2"/>
      <c r="K1764" s="2" t="s">
        <v>38</v>
      </c>
      <c r="L1764" s="2" t="s">
        <v>38</v>
      </c>
      <c r="M1764" s="2" t="s">
        <v>38</v>
      </c>
      <c r="N1764" s="2" t="s">
        <v>38</v>
      </c>
      <c r="O1764" s="2" t="s">
        <v>38</v>
      </c>
      <c r="P1764" s="2" t="s">
        <v>38</v>
      </c>
      <c r="Q1764" s="2" t="s">
        <v>38</v>
      </c>
      <c r="R1764" s="2" t="s">
        <v>38</v>
      </c>
      <c r="S1764" s="2" t="s">
        <v>38</v>
      </c>
      <c r="T1764" s="2" t="s">
        <v>38</v>
      </c>
      <c r="U1764" s="2" t="s">
        <v>38</v>
      </c>
      <c r="V1764" s="2" t="s">
        <v>38</v>
      </c>
      <c r="W1764" s="2" t="s">
        <v>38</v>
      </c>
      <c r="X1764" s="2" t="s">
        <v>38</v>
      </c>
      <c r="Y1764" s="2" t="s">
        <v>38</v>
      </c>
      <c r="Z1764" s="2" t="s">
        <v>38</v>
      </c>
      <c r="AA1764" s="2" t="s">
        <v>38</v>
      </c>
      <c r="AB1764" s="2" t="s">
        <v>39</v>
      </c>
      <c r="AC1764" s="2" t="s">
        <v>39</v>
      </c>
      <c r="AD1764" s="2" t="s">
        <v>38</v>
      </c>
      <c r="AE1764" s="2" t="s">
        <v>38</v>
      </c>
    </row>
    <row r="1765" spans="1:31" ht="409.5">
      <c r="A1765" s="2">
        <v>2507449</v>
      </c>
      <c r="B1765" s="2">
        <f>HYPERLINK("https://platform.v2.vetology.net/cases/2507449/screening-report/18?type=pdf&amp;v=v6&amp;scorecard=1&amp;secret_key=BX%25IJ%24%2F65ieZ%29f6", 2507449)</f>
        <v>2507449</v>
      </c>
      <c r="C1765" s="2">
        <f>HYPERLINK("https://platform.v2.vetology.net/report/v/final/"&amp;2507449, 2507449)</f>
        <v>2507449</v>
      </c>
      <c r="D1765" s="2" t="s">
        <v>4968</v>
      </c>
      <c r="E1765" s="2" t="s">
        <v>4969</v>
      </c>
      <c r="F1765" s="2" t="s">
        <v>4970</v>
      </c>
      <c r="G1765" s="2" t="s">
        <v>93</v>
      </c>
      <c r="H1765" s="2" t="s">
        <v>105</v>
      </c>
      <c r="I1765" s="2" t="s">
        <v>199</v>
      </c>
      <c r="J1765" s="2"/>
      <c r="K1765" s="2" t="s">
        <v>38</v>
      </c>
      <c r="L1765" s="2" t="s">
        <v>38</v>
      </c>
      <c r="M1765" s="2" t="s">
        <v>38</v>
      </c>
      <c r="N1765" s="2" t="s">
        <v>38</v>
      </c>
      <c r="O1765" s="2" t="s">
        <v>38</v>
      </c>
      <c r="P1765" s="2" t="s">
        <v>38</v>
      </c>
      <c r="Q1765" s="2" t="s">
        <v>38</v>
      </c>
      <c r="R1765" s="2" t="s">
        <v>38</v>
      </c>
      <c r="S1765" s="2" t="s">
        <v>38</v>
      </c>
      <c r="T1765" s="2" t="s">
        <v>38</v>
      </c>
      <c r="U1765" s="2" t="s">
        <v>38</v>
      </c>
      <c r="V1765" s="2" t="s">
        <v>38</v>
      </c>
      <c r="W1765" s="2" t="s">
        <v>38</v>
      </c>
      <c r="X1765" s="2" t="s">
        <v>38</v>
      </c>
      <c r="Y1765" s="2" t="s">
        <v>38</v>
      </c>
      <c r="Z1765" s="2" t="s">
        <v>38</v>
      </c>
      <c r="AA1765" s="2" t="s">
        <v>38</v>
      </c>
      <c r="AB1765" s="2" t="s">
        <v>38</v>
      </c>
      <c r="AC1765" s="2" t="s">
        <v>38</v>
      </c>
      <c r="AD1765" s="2" t="s">
        <v>38</v>
      </c>
      <c r="AE1765" s="2" t="s">
        <v>38</v>
      </c>
    </row>
    <row r="1766" spans="1:31" ht="409.5">
      <c r="A1766" s="2">
        <v>2506955</v>
      </c>
      <c r="B1766" s="2">
        <f>HYPERLINK("https://platform.v2.vetology.net/cases/2506955/screening-report/18?type=pdf&amp;v=v6&amp;scorecard=1&amp;secret_key=BX%25IJ%24%2F65ieZ%29f6", 2506955)</f>
        <v>2506955</v>
      </c>
      <c r="C1766" s="2">
        <f>HYPERLINK("https://platform.v2.vetology.net/report/v/final/"&amp;2506955, 2506955)</f>
        <v>2506955</v>
      </c>
      <c r="D1766" s="2" t="s">
        <v>4971</v>
      </c>
      <c r="E1766" s="2" t="s">
        <v>4972</v>
      </c>
      <c r="F1766" s="2" t="s">
        <v>81</v>
      </c>
      <c r="G1766" s="2" t="s">
        <v>82</v>
      </c>
      <c r="H1766" s="2" t="s">
        <v>78</v>
      </c>
      <c r="I1766" s="2" t="s">
        <v>44</v>
      </c>
      <c r="J1766" s="2"/>
      <c r="K1766" s="2" t="s">
        <v>38</v>
      </c>
      <c r="L1766" s="2" t="s">
        <v>39</v>
      </c>
      <c r="M1766" s="2" t="s">
        <v>38</v>
      </c>
      <c r="N1766" s="2" t="s">
        <v>38</v>
      </c>
      <c r="O1766" s="2" t="s">
        <v>38</v>
      </c>
      <c r="P1766" s="2" t="s">
        <v>39</v>
      </c>
      <c r="Q1766" s="2" t="s">
        <v>38</v>
      </c>
      <c r="R1766" s="2" t="s">
        <v>38</v>
      </c>
      <c r="S1766" s="2" t="s">
        <v>38</v>
      </c>
      <c r="T1766" s="2" t="s">
        <v>38</v>
      </c>
      <c r="U1766" s="2" t="s">
        <v>39</v>
      </c>
      <c r="V1766" s="2" t="s">
        <v>38</v>
      </c>
      <c r="W1766" s="2" t="s">
        <v>38</v>
      </c>
      <c r="X1766" s="2" t="s">
        <v>39</v>
      </c>
      <c r="Y1766" s="2" t="s">
        <v>38</v>
      </c>
      <c r="Z1766" s="2" t="s">
        <v>38</v>
      </c>
      <c r="AA1766" s="2" t="s">
        <v>38</v>
      </c>
      <c r="AB1766" s="2" t="s">
        <v>38</v>
      </c>
      <c r="AC1766" s="2" t="s">
        <v>39</v>
      </c>
      <c r="AD1766" s="2" t="s">
        <v>38</v>
      </c>
      <c r="AE1766" s="2" t="s">
        <v>38</v>
      </c>
    </row>
    <row r="1767" spans="1:31" ht="409.5">
      <c r="A1767" s="2">
        <v>2506905</v>
      </c>
      <c r="B1767" s="2">
        <f>HYPERLINK("https://platform.v2.vetology.net/cases/2506905/screening-report/18?type=pdf&amp;v=v6&amp;scorecard=1&amp;secret_key=BX%25IJ%24%2F65ieZ%29f6", 2506905)</f>
        <v>2506905</v>
      </c>
      <c r="C1767" s="2">
        <f>HYPERLINK("https://platform.v2.vetology.net/report/v/final/"&amp;2506905, 2506905)</f>
        <v>2506905</v>
      </c>
      <c r="D1767" s="2" t="s">
        <v>4973</v>
      </c>
      <c r="E1767" s="2" t="s">
        <v>4974</v>
      </c>
      <c r="F1767" s="2" t="s">
        <v>4975</v>
      </c>
      <c r="G1767" s="2" t="s">
        <v>58</v>
      </c>
      <c r="H1767" s="2" t="s">
        <v>4976</v>
      </c>
      <c r="I1767" s="2" t="s">
        <v>190</v>
      </c>
      <c r="J1767" s="2" t="s">
        <v>112</v>
      </c>
      <c r="K1767" s="2" t="s">
        <v>39</v>
      </c>
      <c r="L1767" s="2" t="s">
        <v>39</v>
      </c>
      <c r="M1767" s="2" t="s">
        <v>39</v>
      </c>
      <c r="N1767" s="2" t="s">
        <v>39</v>
      </c>
      <c r="O1767" s="2" t="s">
        <v>39</v>
      </c>
      <c r="P1767" s="2" t="s">
        <v>39</v>
      </c>
      <c r="Q1767" s="2" t="s">
        <v>39</v>
      </c>
      <c r="R1767" s="2" t="s">
        <v>39</v>
      </c>
      <c r="S1767" s="2" t="s">
        <v>39</v>
      </c>
      <c r="T1767" s="2" t="s">
        <v>39</v>
      </c>
      <c r="U1767" s="2" t="s">
        <v>39</v>
      </c>
      <c r="V1767" s="2" t="s">
        <v>39</v>
      </c>
      <c r="W1767" s="2" t="s">
        <v>39</v>
      </c>
      <c r="X1767" s="2" t="s">
        <v>39</v>
      </c>
      <c r="Y1767" s="2" t="s">
        <v>39</v>
      </c>
      <c r="Z1767" s="2" t="s">
        <v>39</v>
      </c>
      <c r="AA1767" s="2" t="s">
        <v>39</v>
      </c>
      <c r="AB1767" s="2" t="s">
        <v>39</v>
      </c>
      <c r="AC1767" s="2" t="s">
        <v>39</v>
      </c>
      <c r="AD1767" s="2" t="s">
        <v>39</v>
      </c>
      <c r="AE1767" s="2" t="s">
        <v>39</v>
      </c>
    </row>
    <row r="1768" spans="1:31" ht="409.5">
      <c r="A1768" s="2">
        <v>2506895</v>
      </c>
      <c r="B1768" s="2">
        <f>HYPERLINK("https://platform.v2.vetology.net/cases/2506895/screening-report/18?type=pdf&amp;v=v6&amp;scorecard=1&amp;secret_key=BX%25IJ%24%2F65ieZ%29f6", 2506895)</f>
        <v>2506895</v>
      </c>
      <c r="C1768" s="2">
        <f>HYPERLINK("https://platform.v2.vetology.net/report/v/final/"&amp;2506895, 2506895)</f>
        <v>2506895</v>
      </c>
      <c r="D1768" s="2" t="s">
        <v>4977</v>
      </c>
      <c r="E1768" s="2" t="s">
        <v>4978</v>
      </c>
      <c r="F1768" s="2" t="s">
        <v>4979</v>
      </c>
      <c r="G1768" s="2" t="s">
        <v>464</v>
      </c>
      <c r="H1768" s="2" t="s">
        <v>733</v>
      </c>
      <c r="I1768" s="2" t="s">
        <v>158</v>
      </c>
      <c r="J1768" s="2" t="s">
        <v>50</v>
      </c>
      <c r="K1768" s="2" t="s">
        <v>38</v>
      </c>
      <c r="L1768" s="2" t="s">
        <v>38</v>
      </c>
      <c r="M1768" s="2" t="s">
        <v>39</v>
      </c>
      <c r="N1768" s="2" t="s">
        <v>39</v>
      </c>
      <c r="O1768" s="2" t="s">
        <v>38</v>
      </c>
      <c r="P1768" s="2" t="s">
        <v>38</v>
      </c>
      <c r="Q1768" s="2" t="s">
        <v>38</v>
      </c>
      <c r="R1768" s="2" t="s">
        <v>38</v>
      </c>
      <c r="S1768" s="2" t="s">
        <v>38</v>
      </c>
      <c r="T1768" s="2" t="s">
        <v>38</v>
      </c>
      <c r="U1768" s="2" t="s">
        <v>38</v>
      </c>
      <c r="V1768" s="2" t="s">
        <v>38</v>
      </c>
      <c r="W1768" s="2" t="s">
        <v>38</v>
      </c>
      <c r="X1768" s="2" t="s">
        <v>39</v>
      </c>
      <c r="Y1768" s="2" t="s">
        <v>38</v>
      </c>
      <c r="Z1768" s="2" t="s">
        <v>38</v>
      </c>
      <c r="AA1768" s="2" t="s">
        <v>38</v>
      </c>
      <c r="AB1768" s="2" t="s">
        <v>39</v>
      </c>
      <c r="AC1768" s="2" t="s">
        <v>39</v>
      </c>
      <c r="AD1768" s="2" t="s">
        <v>38</v>
      </c>
      <c r="AE1768" s="2" t="s">
        <v>38</v>
      </c>
    </row>
    <row r="1769" spans="1:31" ht="409.5">
      <c r="A1769" s="2">
        <v>2506304</v>
      </c>
      <c r="B1769" s="2">
        <f>HYPERLINK("https://platform.v2.vetology.net/cases/2506304/screening-report/18?type=pdf&amp;v=v6&amp;scorecard=1&amp;secret_key=BX%25IJ%24%2F65ieZ%29f6", 2506304)</f>
        <v>2506304</v>
      </c>
      <c r="C1769" s="2">
        <f>HYPERLINK("https://platform.v2.vetology.net/report/v/final/"&amp;2506304, 2506304)</f>
        <v>2506304</v>
      </c>
      <c r="D1769" s="2" t="s">
        <v>1738</v>
      </c>
      <c r="E1769" s="2" t="s">
        <v>4980</v>
      </c>
      <c r="F1769" s="2" t="s">
        <v>3843</v>
      </c>
      <c r="G1769" s="2" t="s">
        <v>135</v>
      </c>
      <c r="H1769" s="2" t="s">
        <v>129</v>
      </c>
      <c r="I1769" s="2" t="s">
        <v>44</v>
      </c>
      <c r="J1769" s="2"/>
      <c r="K1769" s="2" t="s">
        <v>38</v>
      </c>
      <c r="L1769" s="2" t="s">
        <v>38</v>
      </c>
      <c r="M1769" s="2" t="s">
        <v>39</v>
      </c>
      <c r="N1769" s="2" t="s">
        <v>38</v>
      </c>
      <c r="O1769" s="2" t="s">
        <v>38</v>
      </c>
      <c r="P1769" s="2" t="s">
        <v>39</v>
      </c>
      <c r="Q1769" s="2" t="s">
        <v>38</v>
      </c>
      <c r="R1769" s="2" t="s">
        <v>38</v>
      </c>
      <c r="S1769" s="2" t="s">
        <v>38</v>
      </c>
      <c r="T1769" s="2" t="s">
        <v>38</v>
      </c>
      <c r="U1769" s="2" t="s">
        <v>38</v>
      </c>
      <c r="V1769" s="2" t="s">
        <v>38</v>
      </c>
      <c r="W1769" s="2" t="s">
        <v>38</v>
      </c>
      <c r="X1769" s="2" t="s">
        <v>38</v>
      </c>
      <c r="Y1769" s="2" t="s">
        <v>38</v>
      </c>
      <c r="Z1769" s="2" t="s">
        <v>38</v>
      </c>
      <c r="AA1769" s="2" t="s">
        <v>38</v>
      </c>
      <c r="AB1769" s="2" t="s">
        <v>39</v>
      </c>
      <c r="AC1769" s="2" t="s">
        <v>39</v>
      </c>
      <c r="AD1769" s="2" t="s">
        <v>38</v>
      </c>
      <c r="AE1769" s="2" t="s">
        <v>38</v>
      </c>
    </row>
    <row r="1770" spans="1:31" ht="409.5">
      <c r="A1770" s="2">
        <v>2506119</v>
      </c>
      <c r="B1770" s="2">
        <f>HYPERLINK("https://platform.v2.vetology.net/cases/2506119/screening-report/18?type=pdf&amp;v=v6&amp;scorecard=1&amp;secret_key=BX%25IJ%24%2F65ieZ%29f6", 2506119)</f>
        <v>2506119</v>
      </c>
      <c r="C1770" s="2">
        <f>HYPERLINK("https://platform.v2.vetology.net/report/v/final/"&amp;2506119, 2506119)</f>
        <v>2506119</v>
      </c>
      <c r="D1770" s="2" t="s">
        <v>4981</v>
      </c>
      <c r="E1770" s="2" t="s">
        <v>4982</v>
      </c>
      <c r="F1770" s="2" t="s">
        <v>4983</v>
      </c>
      <c r="G1770" s="2" t="s">
        <v>135</v>
      </c>
      <c r="H1770" s="2" t="s">
        <v>1110</v>
      </c>
      <c r="I1770" s="2" t="s">
        <v>214</v>
      </c>
      <c r="J1770" s="2" t="s">
        <v>50</v>
      </c>
      <c r="K1770" s="2" t="s">
        <v>38</v>
      </c>
      <c r="L1770" s="2" t="s">
        <v>39</v>
      </c>
      <c r="M1770" s="2" t="s">
        <v>39</v>
      </c>
      <c r="N1770" s="2" t="s">
        <v>38</v>
      </c>
      <c r="O1770" s="2" t="s">
        <v>39</v>
      </c>
      <c r="P1770" s="2" t="s">
        <v>38</v>
      </c>
      <c r="Q1770" s="2" t="s">
        <v>38</v>
      </c>
      <c r="R1770" s="2" t="s">
        <v>38</v>
      </c>
      <c r="S1770" s="2" t="s">
        <v>38</v>
      </c>
      <c r="T1770" s="2" t="s">
        <v>38</v>
      </c>
      <c r="U1770" s="2" t="s">
        <v>38</v>
      </c>
      <c r="V1770" s="2" t="s">
        <v>38</v>
      </c>
      <c r="W1770" s="2" t="s">
        <v>38</v>
      </c>
      <c r="X1770" s="2" t="s">
        <v>38</v>
      </c>
      <c r="Y1770" s="2" t="s">
        <v>38</v>
      </c>
      <c r="Z1770" s="2" t="s">
        <v>38</v>
      </c>
      <c r="AA1770" s="2" t="s">
        <v>38</v>
      </c>
      <c r="AB1770" s="2" t="s">
        <v>38</v>
      </c>
      <c r="AC1770" s="2" t="s">
        <v>38</v>
      </c>
      <c r="AD1770" s="2" t="s">
        <v>38</v>
      </c>
      <c r="AE1770" s="2" t="s">
        <v>38</v>
      </c>
    </row>
    <row r="1771" spans="1:31" ht="409.5">
      <c r="A1771" s="2">
        <v>2505937</v>
      </c>
      <c r="B1771" s="2">
        <f>HYPERLINK("https://platform.v2.vetology.net/cases/2505937/screening-report/18?type=pdf&amp;v=v6&amp;scorecard=1&amp;secret_key=BX%25IJ%24%2F65ieZ%29f6", 2505937)</f>
        <v>2505937</v>
      </c>
      <c r="C1771" s="2">
        <f>HYPERLINK("https://platform.v2.vetology.net/report/v/final/"&amp;2505937, 2505937)</f>
        <v>2505937</v>
      </c>
      <c r="D1771" s="2" t="s">
        <v>4984</v>
      </c>
      <c r="E1771" s="2" t="s">
        <v>4985</v>
      </c>
      <c r="F1771" s="2" t="s">
        <v>4986</v>
      </c>
      <c r="G1771" s="2" t="s">
        <v>464</v>
      </c>
      <c r="H1771" s="2" t="s">
        <v>4987</v>
      </c>
      <c r="I1771" s="2" t="s">
        <v>966</v>
      </c>
      <c r="J1771" s="2" t="s">
        <v>66</v>
      </c>
      <c r="K1771" s="2" t="s">
        <v>38</v>
      </c>
      <c r="L1771" s="2" t="s">
        <v>39</v>
      </c>
      <c r="M1771" s="2" t="s">
        <v>39</v>
      </c>
      <c r="N1771" s="2" t="s">
        <v>38</v>
      </c>
      <c r="O1771" s="2" t="s">
        <v>39</v>
      </c>
      <c r="P1771" s="2" t="s">
        <v>38</v>
      </c>
      <c r="Q1771" s="2" t="s">
        <v>38</v>
      </c>
      <c r="R1771" s="2" t="s">
        <v>38</v>
      </c>
      <c r="S1771" s="2" t="s">
        <v>38</v>
      </c>
      <c r="T1771" s="2" t="s">
        <v>39</v>
      </c>
      <c r="U1771" s="2" t="s">
        <v>38</v>
      </c>
      <c r="V1771" s="2" t="s">
        <v>38</v>
      </c>
      <c r="W1771" s="2" t="s">
        <v>38</v>
      </c>
      <c r="X1771" s="2" t="s">
        <v>39</v>
      </c>
      <c r="Y1771" s="2" t="s">
        <v>38</v>
      </c>
      <c r="Z1771" s="2" t="s">
        <v>38</v>
      </c>
      <c r="AA1771" s="2" t="s">
        <v>38</v>
      </c>
      <c r="AB1771" s="2" t="s">
        <v>39</v>
      </c>
      <c r="AC1771" s="2" t="s">
        <v>39</v>
      </c>
      <c r="AD1771" s="2" t="s">
        <v>38</v>
      </c>
      <c r="AE1771" s="2" t="s">
        <v>38</v>
      </c>
    </row>
    <row r="1772" spans="1:31" ht="409.5">
      <c r="A1772" s="2">
        <v>2505806</v>
      </c>
      <c r="B1772" s="2">
        <f>HYPERLINK("https://platform.v2.vetology.net/cases/2505806/screening-report/18?type=pdf&amp;v=v6&amp;scorecard=1&amp;secret_key=BX%25IJ%24%2F65ieZ%29f6", 2505806)</f>
        <v>2505806</v>
      </c>
      <c r="C1772" s="2">
        <f>HYPERLINK("https://platform.v2.vetology.net/report/v/final/"&amp;2505806, 2505806)</f>
        <v>2505806</v>
      </c>
      <c r="D1772" s="2" t="s">
        <v>2088</v>
      </c>
      <c r="E1772" s="2" t="s">
        <v>387</v>
      </c>
      <c r="F1772" s="2" t="s">
        <v>149</v>
      </c>
      <c r="G1772" s="2" t="s">
        <v>150</v>
      </c>
      <c r="H1772" s="2" t="s">
        <v>4988</v>
      </c>
      <c r="I1772" s="2" t="s">
        <v>264</v>
      </c>
      <c r="J1772" s="2" t="s">
        <v>265</v>
      </c>
      <c r="K1772" s="2" t="s">
        <v>38</v>
      </c>
      <c r="L1772" s="2" t="s">
        <v>39</v>
      </c>
      <c r="M1772" s="2" t="s">
        <v>39</v>
      </c>
      <c r="N1772" s="2" t="s">
        <v>38</v>
      </c>
      <c r="O1772" s="2" t="s">
        <v>39</v>
      </c>
      <c r="P1772" s="2" t="s">
        <v>39</v>
      </c>
      <c r="Q1772" s="2" t="s">
        <v>38</v>
      </c>
      <c r="R1772" s="2" t="s">
        <v>38</v>
      </c>
      <c r="S1772" s="2" t="s">
        <v>38</v>
      </c>
      <c r="T1772" s="2" t="s">
        <v>39</v>
      </c>
      <c r="U1772" s="2" t="s">
        <v>38</v>
      </c>
      <c r="V1772" s="2" t="s">
        <v>39</v>
      </c>
      <c r="W1772" s="2" t="s">
        <v>38</v>
      </c>
      <c r="X1772" s="2" t="s">
        <v>39</v>
      </c>
      <c r="Y1772" s="2" t="s">
        <v>38</v>
      </c>
      <c r="Z1772" s="2" t="s">
        <v>39</v>
      </c>
      <c r="AA1772" s="2" t="s">
        <v>38</v>
      </c>
      <c r="AB1772" s="2" t="s">
        <v>39</v>
      </c>
      <c r="AC1772" s="2" t="s">
        <v>38</v>
      </c>
      <c r="AD1772" s="2" t="s">
        <v>38</v>
      </c>
      <c r="AE1772" s="2" t="s">
        <v>38</v>
      </c>
    </row>
    <row r="1773" spans="1:31" ht="409.5">
      <c r="A1773" s="2">
        <v>2505495</v>
      </c>
      <c r="B1773" s="2">
        <f>HYPERLINK("https://platform.v2.vetology.net/cases/2505495/screening-report/18?type=pdf&amp;v=v6&amp;scorecard=1&amp;secret_key=BX%25IJ%24%2F65ieZ%29f6", 2505495)</f>
        <v>2505495</v>
      </c>
      <c r="C1773" s="2">
        <f>HYPERLINK("https://platform.v2.vetology.net/report/v/final/"&amp;2505495, 2505495)</f>
        <v>2505495</v>
      </c>
      <c r="D1773" s="2" t="s">
        <v>4989</v>
      </c>
      <c r="E1773" s="2" t="s">
        <v>4990</v>
      </c>
      <c r="F1773" s="2" t="s">
        <v>4991</v>
      </c>
      <c r="G1773" s="2" t="s">
        <v>93</v>
      </c>
      <c r="H1773" s="2" t="s">
        <v>4253</v>
      </c>
      <c r="I1773" s="2" t="s">
        <v>227</v>
      </c>
      <c r="J1773" s="2" t="s">
        <v>228</v>
      </c>
      <c r="K1773" s="2" t="s">
        <v>38</v>
      </c>
      <c r="L1773" s="2" t="s">
        <v>39</v>
      </c>
      <c r="M1773" s="2" t="s">
        <v>38</v>
      </c>
      <c r="N1773" s="2" t="s">
        <v>39</v>
      </c>
      <c r="O1773" s="2" t="s">
        <v>38</v>
      </c>
      <c r="P1773" s="2" t="s">
        <v>39</v>
      </c>
      <c r="Q1773" s="2" t="s">
        <v>38</v>
      </c>
      <c r="R1773" s="2" t="s">
        <v>38</v>
      </c>
      <c r="S1773" s="2" t="s">
        <v>38</v>
      </c>
      <c r="T1773" s="2" t="s">
        <v>38</v>
      </c>
      <c r="U1773" s="2" t="s">
        <v>38</v>
      </c>
      <c r="V1773" s="2" t="s">
        <v>38</v>
      </c>
      <c r="W1773" s="2" t="s">
        <v>38</v>
      </c>
      <c r="X1773" s="2" t="s">
        <v>38</v>
      </c>
      <c r="Y1773" s="2" t="s">
        <v>38</v>
      </c>
      <c r="Z1773" s="2" t="s">
        <v>39</v>
      </c>
      <c r="AA1773" s="2" t="s">
        <v>38</v>
      </c>
      <c r="AB1773" s="2" t="s">
        <v>39</v>
      </c>
      <c r="AC1773" s="2" t="s">
        <v>39</v>
      </c>
      <c r="AD1773" s="2" t="s">
        <v>38</v>
      </c>
      <c r="AE1773" s="2" t="s">
        <v>38</v>
      </c>
    </row>
    <row r="1774" spans="1:31" ht="409.5">
      <c r="A1774" s="2">
        <v>2505449</v>
      </c>
      <c r="B1774" s="2">
        <f>HYPERLINK("https://platform.v2.vetology.net/cases/2505449/screening-report/18?type=pdf&amp;v=v6&amp;scorecard=1&amp;secret_key=BX%25IJ%24%2F65ieZ%29f6", 2505449)</f>
        <v>2505449</v>
      </c>
      <c r="C1774" s="2">
        <f>HYPERLINK("https://platform.v2.vetology.net/report/v/final/"&amp;2505449, 2505449)</f>
        <v>2505449</v>
      </c>
      <c r="D1774" s="2" t="s">
        <v>4992</v>
      </c>
      <c r="E1774" s="2" t="s">
        <v>4993</v>
      </c>
      <c r="F1774" s="2" t="s">
        <v>249</v>
      </c>
      <c r="G1774" s="2" t="s">
        <v>150</v>
      </c>
      <c r="H1774" s="2" t="s">
        <v>88</v>
      </c>
      <c r="I1774" s="2" t="s">
        <v>89</v>
      </c>
      <c r="J1774" s="2" t="s">
        <v>66</v>
      </c>
      <c r="K1774" s="2" t="s">
        <v>38</v>
      </c>
      <c r="L1774" s="2" t="s">
        <v>38</v>
      </c>
      <c r="M1774" s="2" t="s">
        <v>39</v>
      </c>
      <c r="N1774" s="2" t="s">
        <v>38</v>
      </c>
      <c r="O1774" s="2" t="s">
        <v>38</v>
      </c>
      <c r="P1774" s="2" t="s">
        <v>38</v>
      </c>
      <c r="Q1774" s="2" t="s">
        <v>38</v>
      </c>
      <c r="R1774" s="2" t="s">
        <v>38</v>
      </c>
      <c r="S1774" s="2" t="s">
        <v>38</v>
      </c>
      <c r="T1774" s="2" t="s">
        <v>39</v>
      </c>
      <c r="U1774" s="2" t="s">
        <v>39</v>
      </c>
      <c r="V1774" s="2" t="s">
        <v>39</v>
      </c>
      <c r="W1774" s="2" t="s">
        <v>38</v>
      </c>
      <c r="X1774" s="2" t="s">
        <v>39</v>
      </c>
      <c r="Y1774" s="2" t="s">
        <v>38</v>
      </c>
      <c r="Z1774" s="2" t="s">
        <v>38</v>
      </c>
      <c r="AA1774" s="2" t="s">
        <v>38</v>
      </c>
      <c r="AB1774" s="2" t="s">
        <v>39</v>
      </c>
      <c r="AC1774" s="2" t="s">
        <v>38</v>
      </c>
      <c r="AD1774" s="2" t="s">
        <v>38</v>
      </c>
      <c r="AE1774" s="2" t="s">
        <v>39</v>
      </c>
    </row>
    <row r="1775" spans="1:31" ht="409.5">
      <c r="A1775" s="2">
        <v>2505359</v>
      </c>
      <c r="B1775" s="2">
        <f>HYPERLINK("https://platform.v2.vetology.net/cases/2505359/screening-report/18?type=pdf&amp;v=v6&amp;scorecard=1&amp;secret_key=BX%25IJ%24%2F65ieZ%29f6", 2505359)</f>
        <v>2505359</v>
      </c>
      <c r="C1775" s="2">
        <f>HYPERLINK("https://platform.v2.vetology.net/report/v/final/"&amp;2505359, 2505359)</f>
        <v>2505359</v>
      </c>
      <c r="D1775" s="2" t="s">
        <v>4994</v>
      </c>
      <c r="E1775" s="2" t="s">
        <v>4995</v>
      </c>
      <c r="F1775" s="2" t="s">
        <v>4996</v>
      </c>
      <c r="G1775" s="2" t="s">
        <v>93</v>
      </c>
      <c r="H1775" s="2" t="s">
        <v>360</v>
      </c>
      <c r="I1775" s="2" t="s">
        <v>284</v>
      </c>
      <c r="J1775" s="2" t="s">
        <v>285</v>
      </c>
      <c r="K1775" s="2" t="s">
        <v>38</v>
      </c>
      <c r="L1775" s="2" t="s">
        <v>38</v>
      </c>
      <c r="M1775" s="2" t="s">
        <v>39</v>
      </c>
      <c r="N1775" s="2" t="s">
        <v>38</v>
      </c>
      <c r="O1775" s="2" t="s">
        <v>38</v>
      </c>
      <c r="P1775" s="2" t="s">
        <v>38</v>
      </c>
      <c r="Q1775" s="2" t="s">
        <v>38</v>
      </c>
      <c r="R1775" s="2" t="s">
        <v>38</v>
      </c>
      <c r="S1775" s="2" t="s">
        <v>38</v>
      </c>
      <c r="T1775" s="2" t="s">
        <v>39</v>
      </c>
      <c r="U1775" s="2" t="s">
        <v>38</v>
      </c>
      <c r="V1775" s="2" t="s">
        <v>39</v>
      </c>
      <c r="W1775" s="2" t="s">
        <v>38</v>
      </c>
      <c r="X1775" s="2" t="s">
        <v>39</v>
      </c>
      <c r="Y1775" s="2" t="s">
        <v>38</v>
      </c>
      <c r="Z1775" s="2" t="s">
        <v>38</v>
      </c>
      <c r="AA1775" s="2" t="s">
        <v>38</v>
      </c>
      <c r="AB1775" s="2" t="s">
        <v>38</v>
      </c>
      <c r="AC1775" s="2" t="s">
        <v>38</v>
      </c>
      <c r="AD1775" s="2" t="s">
        <v>38</v>
      </c>
      <c r="AE1775" s="2" t="s">
        <v>38</v>
      </c>
    </row>
    <row r="1776" spans="1:31" ht="409.5">
      <c r="A1776" s="2">
        <v>2505141</v>
      </c>
      <c r="B1776" s="2">
        <f>HYPERLINK("https://platform.v2.vetology.net/cases/2505141/screening-report/18?type=pdf&amp;v=v6&amp;scorecard=1&amp;secret_key=BX%25IJ%24%2F65ieZ%29f6", 2505141)</f>
        <v>2505141</v>
      </c>
      <c r="C1776" s="2">
        <f>HYPERLINK("https://platform.v2.vetology.net/report/v/final/"&amp;2505141, 2505141)</f>
        <v>2505141</v>
      </c>
      <c r="D1776" s="2" t="s">
        <v>4997</v>
      </c>
      <c r="E1776" s="2" t="s">
        <v>4998</v>
      </c>
      <c r="F1776" s="2" t="s">
        <v>4999</v>
      </c>
      <c r="G1776" s="2" t="s">
        <v>93</v>
      </c>
      <c r="H1776" s="2" t="s">
        <v>5000</v>
      </c>
      <c r="I1776" s="2" t="s">
        <v>407</v>
      </c>
      <c r="J1776" s="2" t="s">
        <v>66</v>
      </c>
      <c r="K1776" s="2" t="s">
        <v>38</v>
      </c>
      <c r="L1776" s="2" t="s">
        <v>38</v>
      </c>
      <c r="M1776" s="2" t="s">
        <v>39</v>
      </c>
      <c r="N1776" s="2" t="s">
        <v>38</v>
      </c>
      <c r="O1776" s="2" t="s">
        <v>38</v>
      </c>
      <c r="P1776" s="2" t="s">
        <v>39</v>
      </c>
      <c r="Q1776" s="2" t="s">
        <v>39</v>
      </c>
      <c r="R1776" s="2" t="s">
        <v>38</v>
      </c>
      <c r="S1776" s="2" t="s">
        <v>38</v>
      </c>
      <c r="T1776" s="2" t="s">
        <v>38</v>
      </c>
      <c r="U1776" s="2" t="s">
        <v>38</v>
      </c>
      <c r="V1776" s="2" t="s">
        <v>38</v>
      </c>
      <c r="W1776" s="2" t="s">
        <v>38</v>
      </c>
      <c r="X1776" s="2" t="s">
        <v>38</v>
      </c>
      <c r="Y1776" s="2" t="s">
        <v>38</v>
      </c>
      <c r="Z1776" s="2" t="s">
        <v>38</v>
      </c>
      <c r="AA1776" s="2" t="s">
        <v>38</v>
      </c>
      <c r="AB1776" s="2" t="s">
        <v>39</v>
      </c>
      <c r="AC1776" s="2" t="s">
        <v>39</v>
      </c>
      <c r="AD1776" s="2" t="s">
        <v>38</v>
      </c>
      <c r="AE1776" s="2" t="s">
        <v>39</v>
      </c>
    </row>
    <row r="1777" spans="1:31" ht="409.5">
      <c r="A1777" s="2">
        <v>2505126</v>
      </c>
      <c r="B1777" s="2">
        <f>HYPERLINK("https://platform.v2.vetology.net/cases/2505126/screening-report/18?type=pdf&amp;v=v6&amp;scorecard=1&amp;secret_key=BX%25IJ%24%2F65ieZ%29f6", 2505126)</f>
        <v>2505126</v>
      </c>
      <c r="C1777" s="2">
        <f>HYPERLINK("https://platform.v2.vetology.net/report/v/final/"&amp;2505126, 2505126)</f>
        <v>2505126</v>
      </c>
      <c r="D1777" s="2" t="s">
        <v>5001</v>
      </c>
      <c r="E1777" s="2" t="s">
        <v>5002</v>
      </c>
      <c r="F1777" s="2" t="s">
        <v>81</v>
      </c>
      <c r="G1777" s="2" t="s">
        <v>82</v>
      </c>
      <c r="H1777" s="2" t="s">
        <v>983</v>
      </c>
      <c r="I1777" s="2" t="s">
        <v>245</v>
      </c>
      <c r="J1777" s="2" t="s">
        <v>246</v>
      </c>
      <c r="K1777" s="2" t="s">
        <v>38</v>
      </c>
      <c r="L1777" s="2" t="s">
        <v>38</v>
      </c>
      <c r="M1777" s="2" t="s">
        <v>39</v>
      </c>
      <c r="N1777" s="2" t="s">
        <v>38</v>
      </c>
      <c r="O1777" s="2" t="s">
        <v>38</v>
      </c>
      <c r="P1777" s="2" t="s">
        <v>39</v>
      </c>
      <c r="Q1777" s="2" t="s">
        <v>38</v>
      </c>
      <c r="R1777" s="2" t="s">
        <v>38</v>
      </c>
      <c r="S1777" s="2" t="s">
        <v>38</v>
      </c>
      <c r="T1777" s="2" t="s">
        <v>39</v>
      </c>
      <c r="U1777" s="2" t="s">
        <v>39</v>
      </c>
      <c r="V1777" s="2" t="s">
        <v>38</v>
      </c>
      <c r="W1777" s="2" t="s">
        <v>38</v>
      </c>
      <c r="X1777" s="2" t="s">
        <v>39</v>
      </c>
      <c r="Y1777" s="2" t="s">
        <v>38</v>
      </c>
      <c r="Z1777" s="2" t="s">
        <v>39</v>
      </c>
      <c r="AA1777" s="2" t="s">
        <v>38</v>
      </c>
      <c r="AB1777" s="2" t="s">
        <v>39</v>
      </c>
      <c r="AC1777" s="2" t="s">
        <v>38</v>
      </c>
      <c r="AD1777" s="2" t="s">
        <v>38</v>
      </c>
      <c r="AE1777" s="2" t="s">
        <v>38</v>
      </c>
    </row>
    <row r="1778" spans="1:31" ht="409.5">
      <c r="A1778" s="2">
        <v>2505056</v>
      </c>
      <c r="B1778" s="2">
        <f>HYPERLINK("https://platform.v2.vetology.net/cases/2505056/screening-report/18?type=pdf&amp;v=v6&amp;scorecard=1&amp;secret_key=BX%25IJ%24%2F65ieZ%29f6", 2505056)</f>
        <v>2505056</v>
      </c>
      <c r="C1778" s="2">
        <f>HYPERLINK("https://platform.v2.vetology.net/report/v/final/"&amp;2505056, 2505056)</f>
        <v>2505056</v>
      </c>
      <c r="D1778" s="2" t="s">
        <v>5003</v>
      </c>
      <c r="E1778" s="2" t="s">
        <v>5004</v>
      </c>
      <c r="F1778" s="2" t="s">
        <v>81</v>
      </c>
      <c r="G1778" s="2" t="s">
        <v>82</v>
      </c>
      <c r="H1778" s="2" t="s">
        <v>3448</v>
      </c>
      <c r="I1778" s="2" t="s">
        <v>111</v>
      </c>
      <c r="J1778" s="2" t="s">
        <v>112</v>
      </c>
      <c r="K1778" s="2" t="s">
        <v>39</v>
      </c>
      <c r="L1778" s="2" t="s">
        <v>39</v>
      </c>
      <c r="M1778" s="2" t="s">
        <v>39</v>
      </c>
      <c r="N1778" s="2" t="s">
        <v>39</v>
      </c>
      <c r="O1778" s="2" t="s">
        <v>39</v>
      </c>
      <c r="P1778" s="2" t="s">
        <v>39</v>
      </c>
      <c r="Q1778" s="2" t="s">
        <v>39</v>
      </c>
      <c r="R1778" s="2" t="s">
        <v>39</v>
      </c>
      <c r="S1778" s="2" t="s">
        <v>39</v>
      </c>
      <c r="T1778" s="2" t="s">
        <v>39</v>
      </c>
      <c r="U1778" s="2" t="s">
        <v>39</v>
      </c>
      <c r="V1778" s="2" t="s">
        <v>39</v>
      </c>
      <c r="W1778" s="2" t="s">
        <v>39</v>
      </c>
      <c r="X1778" s="2" t="s">
        <v>39</v>
      </c>
      <c r="Y1778" s="2" t="s">
        <v>39</v>
      </c>
      <c r="Z1778" s="2" t="s">
        <v>39</v>
      </c>
      <c r="AA1778" s="2" t="s">
        <v>39</v>
      </c>
      <c r="AB1778" s="2" t="s">
        <v>39</v>
      </c>
      <c r="AC1778" s="2" t="s">
        <v>39</v>
      </c>
      <c r="AD1778" s="2" t="s">
        <v>39</v>
      </c>
      <c r="AE1778" s="2" t="s">
        <v>38</v>
      </c>
    </row>
    <row r="1779" spans="1:31" ht="409.5">
      <c r="A1779" s="2">
        <v>2505037</v>
      </c>
      <c r="B1779" s="2">
        <f>HYPERLINK("https://platform.v2.vetology.net/cases/2505037/screening-report/18?type=pdf&amp;v=v6&amp;scorecard=1&amp;secret_key=BX%25IJ%24%2F65ieZ%29f6", 2505037)</f>
        <v>2505037</v>
      </c>
      <c r="C1779" s="2">
        <f>HYPERLINK("https://platform.v2.vetology.net/report/v/final/"&amp;2505037, 2505037)</f>
        <v>2505037</v>
      </c>
      <c r="D1779" s="2" t="s">
        <v>5005</v>
      </c>
      <c r="E1779" s="2" t="s">
        <v>5006</v>
      </c>
      <c r="F1779" s="2" t="s">
        <v>5007</v>
      </c>
      <c r="G1779" s="2" t="s">
        <v>464</v>
      </c>
      <c r="H1779" s="2" t="s">
        <v>607</v>
      </c>
      <c r="I1779" s="2" t="s">
        <v>137</v>
      </c>
      <c r="J1779" s="2" t="s">
        <v>66</v>
      </c>
      <c r="K1779" s="2" t="s">
        <v>38</v>
      </c>
      <c r="L1779" s="2" t="s">
        <v>39</v>
      </c>
      <c r="M1779" s="2" t="s">
        <v>39</v>
      </c>
      <c r="N1779" s="2" t="s">
        <v>38</v>
      </c>
      <c r="O1779" s="2" t="s">
        <v>38</v>
      </c>
      <c r="P1779" s="2" t="s">
        <v>38</v>
      </c>
      <c r="Q1779" s="2" t="s">
        <v>38</v>
      </c>
      <c r="R1779" s="2" t="s">
        <v>38</v>
      </c>
      <c r="S1779" s="2" t="s">
        <v>38</v>
      </c>
      <c r="T1779" s="2" t="s">
        <v>39</v>
      </c>
      <c r="U1779" s="2" t="s">
        <v>38</v>
      </c>
      <c r="V1779" s="2" t="s">
        <v>38</v>
      </c>
      <c r="W1779" s="2" t="s">
        <v>38</v>
      </c>
      <c r="X1779" s="2" t="s">
        <v>39</v>
      </c>
      <c r="Y1779" s="2" t="s">
        <v>38</v>
      </c>
      <c r="Z1779" s="2" t="s">
        <v>38</v>
      </c>
      <c r="AA1779" s="2" t="s">
        <v>38</v>
      </c>
      <c r="AB1779" s="2" t="s">
        <v>38</v>
      </c>
      <c r="AC1779" s="2" t="s">
        <v>38</v>
      </c>
      <c r="AD1779" s="2" t="s">
        <v>38</v>
      </c>
      <c r="AE1779" s="2" t="s">
        <v>39</v>
      </c>
    </row>
    <row r="1780" spans="1:31" ht="409.5">
      <c r="A1780" s="2">
        <v>2504969</v>
      </c>
      <c r="B1780" s="2">
        <f>HYPERLINK("https://platform.v2.vetology.net/cases/2504969/screening-report/18?type=pdf&amp;v=v6&amp;scorecard=1&amp;secret_key=BX%25IJ%24%2F65ieZ%29f6", 2504969)</f>
        <v>2504969</v>
      </c>
      <c r="C1780" s="2">
        <f>HYPERLINK("https://platform.v2.vetology.net/report/v/final/"&amp;2504969, 2504969)</f>
        <v>2504969</v>
      </c>
      <c r="D1780" s="2" t="s">
        <v>5008</v>
      </c>
      <c r="E1780" s="2" t="s">
        <v>5009</v>
      </c>
      <c r="F1780" s="2" t="s">
        <v>5010</v>
      </c>
      <c r="G1780" s="2" t="s">
        <v>58</v>
      </c>
      <c r="H1780" s="2" t="s">
        <v>71</v>
      </c>
      <c r="I1780" s="2" t="s">
        <v>44</v>
      </c>
      <c r="J1780" s="2" t="s">
        <v>106</v>
      </c>
      <c r="K1780" s="2" t="s">
        <v>38</v>
      </c>
      <c r="L1780" s="2" t="s">
        <v>38</v>
      </c>
      <c r="M1780" s="2" t="s">
        <v>38</v>
      </c>
      <c r="N1780" s="2" t="s">
        <v>38</v>
      </c>
      <c r="O1780" s="2" t="s">
        <v>38</v>
      </c>
      <c r="P1780" s="2" t="s">
        <v>38</v>
      </c>
      <c r="Q1780" s="2" t="s">
        <v>38</v>
      </c>
      <c r="R1780" s="2" t="s">
        <v>38</v>
      </c>
      <c r="S1780" s="2" t="s">
        <v>38</v>
      </c>
      <c r="T1780" s="2" t="s">
        <v>38</v>
      </c>
      <c r="U1780" s="2" t="s">
        <v>38</v>
      </c>
      <c r="V1780" s="2" t="s">
        <v>38</v>
      </c>
      <c r="W1780" s="2" t="s">
        <v>38</v>
      </c>
      <c r="X1780" s="2" t="s">
        <v>38</v>
      </c>
      <c r="Y1780" s="2" t="s">
        <v>38</v>
      </c>
      <c r="Z1780" s="2" t="s">
        <v>38</v>
      </c>
      <c r="AA1780" s="2" t="s">
        <v>38</v>
      </c>
      <c r="AB1780" s="2" t="s">
        <v>38</v>
      </c>
      <c r="AC1780" s="2" t="s">
        <v>38</v>
      </c>
      <c r="AD1780" s="2" t="s">
        <v>38</v>
      </c>
      <c r="AE1780" s="2" t="s">
        <v>38</v>
      </c>
    </row>
    <row r="1781" spans="1:31" ht="409.5">
      <c r="A1781" s="2">
        <v>2504879</v>
      </c>
      <c r="B1781" s="2">
        <f>HYPERLINK("https://platform.v2.vetology.net/cases/2504879/screening-report/18?type=pdf&amp;v=v6&amp;scorecard=1&amp;secret_key=BX%25IJ%24%2F65ieZ%29f6", 2504879)</f>
        <v>2504879</v>
      </c>
      <c r="C1781" s="2">
        <f>HYPERLINK("https://platform.v2.vetology.net/report/v/final/"&amp;2504879, 2504879)</f>
        <v>2504879</v>
      </c>
      <c r="D1781" s="2" t="s">
        <v>5011</v>
      </c>
      <c r="E1781" s="2" t="s">
        <v>5012</v>
      </c>
      <c r="F1781" s="2" t="s">
        <v>81</v>
      </c>
      <c r="G1781" s="2" t="s">
        <v>82</v>
      </c>
      <c r="H1781" s="2" t="s">
        <v>360</v>
      </c>
      <c r="I1781" s="2" t="s">
        <v>284</v>
      </c>
      <c r="J1781" s="2" t="s">
        <v>285</v>
      </c>
      <c r="K1781" s="2" t="s">
        <v>38</v>
      </c>
      <c r="L1781" s="2" t="s">
        <v>38</v>
      </c>
      <c r="M1781" s="2" t="s">
        <v>38</v>
      </c>
      <c r="N1781" s="2" t="s">
        <v>38</v>
      </c>
      <c r="O1781" s="2" t="s">
        <v>38</v>
      </c>
      <c r="P1781" s="2" t="s">
        <v>38</v>
      </c>
      <c r="Q1781" s="2" t="s">
        <v>38</v>
      </c>
      <c r="R1781" s="2" t="s">
        <v>38</v>
      </c>
      <c r="S1781" s="2" t="s">
        <v>38</v>
      </c>
      <c r="T1781" s="2" t="s">
        <v>38</v>
      </c>
      <c r="U1781" s="2" t="s">
        <v>38</v>
      </c>
      <c r="V1781" s="2" t="s">
        <v>38</v>
      </c>
      <c r="W1781" s="2" t="s">
        <v>38</v>
      </c>
      <c r="X1781" s="2" t="s">
        <v>38</v>
      </c>
      <c r="Y1781" s="2" t="s">
        <v>38</v>
      </c>
      <c r="Z1781" s="2" t="s">
        <v>38</v>
      </c>
      <c r="AA1781" s="2" t="s">
        <v>38</v>
      </c>
      <c r="AB1781" s="2" t="s">
        <v>38</v>
      </c>
      <c r="AC1781" s="2" t="s">
        <v>38</v>
      </c>
      <c r="AD1781" s="2" t="s">
        <v>38</v>
      </c>
      <c r="AE1781" s="2" t="s">
        <v>38</v>
      </c>
    </row>
    <row r="1782" spans="1:31" ht="409.5">
      <c r="A1782" s="2">
        <v>2504817</v>
      </c>
      <c r="B1782" s="2">
        <f>HYPERLINK("https://platform.v2.vetology.net/cases/2504817/screening-report/18?type=pdf&amp;v=v6&amp;scorecard=1&amp;secret_key=BX%25IJ%24%2F65ieZ%29f6", 2504817)</f>
        <v>2504817</v>
      </c>
      <c r="C1782" s="2">
        <f>HYPERLINK("https://platform.v2.vetology.net/report/v/final/"&amp;2504817, 2504817)</f>
        <v>2504817</v>
      </c>
      <c r="D1782" s="2" t="s">
        <v>5013</v>
      </c>
      <c r="E1782" s="2" t="s">
        <v>5014</v>
      </c>
      <c r="F1782" s="2" t="s">
        <v>5015</v>
      </c>
      <c r="G1782" s="2" t="s">
        <v>464</v>
      </c>
      <c r="H1782" s="2" t="s">
        <v>5016</v>
      </c>
      <c r="I1782" s="2" t="s">
        <v>897</v>
      </c>
      <c r="J1782" s="2" t="s">
        <v>898</v>
      </c>
      <c r="K1782" s="2" t="s">
        <v>39</v>
      </c>
      <c r="L1782" s="2" t="s">
        <v>39</v>
      </c>
      <c r="M1782" s="2" t="s">
        <v>39</v>
      </c>
      <c r="N1782" s="2" t="s">
        <v>39</v>
      </c>
      <c r="O1782" s="2" t="s">
        <v>39</v>
      </c>
      <c r="P1782" s="2" t="s">
        <v>39</v>
      </c>
      <c r="Q1782" s="2" t="s">
        <v>39</v>
      </c>
      <c r="R1782" s="2" t="s">
        <v>39</v>
      </c>
      <c r="S1782" s="2" t="s">
        <v>39</v>
      </c>
      <c r="T1782" s="2" t="s">
        <v>39</v>
      </c>
      <c r="U1782" s="2" t="s">
        <v>39</v>
      </c>
      <c r="V1782" s="2" t="s">
        <v>39</v>
      </c>
      <c r="W1782" s="2" t="s">
        <v>39</v>
      </c>
      <c r="X1782" s="2" t="s">
        <v>39</v>
      </c>
      <c r="Y1782" s="2" t="s">
        <v>39</v>
      </c>
      <c r="Z1782" s="2" t="s">
        <v>39</v>
      </c>
      <c r="AA1782" s="2" t="s">
        <v>39</v>
      </c>
      <c r="AB1782" s="2" t="s">
        <v>39</v>
      </c>
      <c r="AC1782" s="2" t="s">
        <v>39</v>
      </c>
      <c r="AD1782" s="2" t="s">
        <v>39</v>
      </c>
      <c r="AE1782" s="2" t="s">
        <v>38</v>
      </c>
    </row>
    <row r="1783" spans="1:31" ht="409.5">
      <c r="A1783" s="2">
        <v>2504732</v>
      </c>
      <c r="B1783" s="2">
        <f>HYPERLINK("https://platform.v2.vetology.net/cases/2504732/screening-report/18?type=pdf&amp;v=v6&amp;scorecard=1&amp;secret_key=BX%25IJ%24%2F65ieZ%29f6", 2504732)</f>
        <v>2504732</v>
      </c>
      <c r="C1783" s="2">
        <f>HYPERLINK("https://platform.v2.vetology.net/report/v/final/"&amp;2504732, 2504732)</f>
        <v>2504732</v>
      </c>
      <c r="D1783" s="2" t="s">
        <v>5017</v>
      </c>
      <c r="E1783" s="2" t="s">
        <v>1363</v>
      </c>
      <c r="F1783" s="2" t="s">
        <v>149</v>
      </c>
      <c r="G1783" s="2" t="s">
        <v>150</v>
      </c>
      <c r="H1783" s="2" t="s">
        <v>5018</v>
      </c>
      <c r="I1783" s="2" t="s">
        <v>689</v>
      </c>
      <c r="J1783" s="2" t="s">
        <v>690</v>
      </c>
      <c r="K1783" s="2" t="s">
        <v>38</v>
      </c>
      <c r="L1783" s="2" t="s">
        <v>39</v>
      </c>
      <c r="M1783" s="2" t="s">
        <v>38</v>
      </c>
      <c r="N1783" s="2" t="s">
        <v>38</v>
      </c>
      <c r="O1783" s="2" t="s">
        <v>38</v>
      </c>
      <c r="P1783" s="2" t="s">
        <v>38</v>
      </c>
      <c r="Q1783" s="2" t="s">
        <v>38</v>
      </c>
      <c r="R1783" s="2" t="s">
        <v>38</v>
      </c>
      <c r="S1783" s="2" t="s">
        <v>38</v>
      </c>
      <c r="T1783" s="2" t="s">
        <v>38</v>
      </c>
      <c r="U1783" s="2" t="s">
        <v>39</v>
      </c>
      <c r="V1783" s="2" t="s">
        <v>38</v>
      </c>
      <c r="W1783" s="2" t="s">
        <v>38</v>
      </c>
      <c r="X1783" s="2" t="s">
        <v>38</v>
      </c>
      <c r="Y1783" s="2" t="s">
        <v>38</v>
      </c>
      <c r="Z1783" s="2" t="s">
        <v>38</v>
      </c>
      <c r="AA1783" s="2" t="s">
        <v>38</v>
      </c>
      <c r="AB1783" s="2" t="s">
        <v>38</v>
      </c>
      <c r="AC1783" s="2" t="s">
        <v>39</v>
      </c>
      <c r="AD1783" s="2" t="s">
        <v>38</v>
      </c>
      <c r="AE1783" s="2" t="s">
        <v>38</v>
      </c>
    </row>
    <row r="1784" spans="1:31" ht="409.5">
      <c r="A1784" s="2">
        <v>2504689</v>
      </c>
      <c r="B1784" s="2">
        <f>HYPERLINK("https://platform.v2.vetology.net/cases/2504689/screening-report/18?type=pdf&amp;v=v6&amp;scorecard=1&amp;secret_key=BX%25IJ%24%2F65ieZ%29f6", 2504689)</f>
        <v>2504689</v>
      </c>
      <c r="C1784" s="2">
        <f>HYPERLINK("https://platform.v2.vetology.net/report/v/final/"&amp;2504689, 2504689)</f>
        <v>2504689</v>
      </c>
      <c r="D1784" s="2" t="s">
        <v>5019</v>
      </c>
      <c r="E1784" s="2" t="s">
        <v>5020</v>
      </c>
      <c r="F1784" s="2"/>
      <c r="G1784" s="2" t="s">
        <v>150</v>
      </c>
      <c r="H1784" s="2" t="s">
        <v>71</v>
      </c>
      <c r="I1784" s="2" t="s">
        <v>44</v>
      </c>
      <c r="J1784" s="2" t="s">
        <v>106</v>
      </c>
      <c r="K1784" s="2" t="s">
        <v>38</v>
      </c>
      <c r="L1784" s="2" t="s">
        <v>38</v>
      </c>
      <c r="M1784" s="2" t="s">
        <v>38</v>
      </c>
      <c r="N1784" s="2" t="s">
        <v>38</v>
      </c>
      <c r="O1784" s="2" t="s">
        <v>38</v>
      </c>
      <c r="P1784" s="2" t="s">
        <v>38</v>
      </c>
      <c r="Q1784" s="2" t="s">
        <v>38</v>
      </c>
      <c r="R1784" s="2" t="s">
        <v>38</v>
      </c>
      <c r="S1784" s="2" t="s">
        <v>38</v>
      </c>
      <c r="T1784" s="2" t="s">
        <v>38</v>
      </c>
      <c r="U1784" s="2" t="s">
        <v>38</v>
      </c>
      <c r="V1784" s="2" t="s">
        <v>38</v>
      </c>
      <c r="W1784" s="2" t="s">
        <v>38</v>
      </c>
      <c r="X1784" s="2" t="s">
        <v>38</v>
      </c>
      <c r="Y1784" s="2" t="s">
        <v>38</v>
      </c>
      <c r="Z1784" s="2" t="s">
        <v>38</v>
      </c>
      <c r="AA1784" s="2" t="s">
        <v>38</v>
      </c>
      <c r="AB1784" s="2" t="s">
        <v>38</v>
      </c>
      <c r="AC1784" s="2" t="s">
        <v>38</v>
      </c>
      <c r="AD1784" s="2" t="s">
        <v>38</v>
      </c>
      <c r="AE1784" s="2" t="s">
        <v>38</v>
      </c>
    </row>
    <row r="1785" spans="1:31" ht="409.5">
      <c r="A1785" s="2">
        <v>2504610</v>
      </c>
      <c r="B1785" s="2">
        <f>HYPERLINK("https://platform.v2.vetology.net/cases/2504610/screening-report/18?type=pdf&amp;v=v6&amp;scorecard=1&amp;secret_key=BX%25IJ%24%2F65ieZ%29f6", 2504610)</f>
        <v>2504610</v>
      </c>
      <c r="C1785" s="2">
        <f>HYPERLINK("https://platform.v2.vetology.net/report/v/final/"&amp;2504610, 2504610)</f>
        <v>2504610</v>
      </c>
      <c r="D1785" s="2" t="s">
        <v>5021</v>
      </c>
      <c r="E1785" s="2" t="s">
        <v>5022</v>
      </c>
      <c r="F1785" s="2" t="s">
        <v>81</v>
      </c>
      <c r="G1785" s="2" t="s">
        <v>82</v>
      </c>
      <c r="H1785" s="2" t="s">
        <v>54</v>
      </c>
      <c r="I1785" s="2" t="s">
        <v>44</v>
      </c>
      <c r="J1785" s="2"/>
      <c r="K1785" s="2" t="s">
        <v>38</v>
      </c>
      <c r="L1785" s="2" t="s">
        <v>39</v>
      </c>
      <c r="M1785" s="2" t="s">
        <v>39</v>
      </c>
      <c r="N1785" s="2" t="s">
        <v>38</v>
      </c>
      <c r="O1785" s="2" t="s">
        <v>38</v>
      </c>
      <c r="P1785" s="2" t="s">
        <v>39</v>
      </c>
      <c r="Q1785" s="2" t="s">
        <v>38</v>
      </c>
      <c r="R1785" s="2" t="s">
        <v>38</v>
      </c>
      <c r="S1785" s="2" t="s">
        <v>38</v>
      </c>
      <c r="T1785" s="2" t="s">
        <v>39</v>
      </c>
      <c r="U1785" s="2" t="s">
        <v>38</v>
      </c>
      <c r="V1785" s="2" t="s">
        <v>38</v>
      </c>
      <c r="W1785" s="2" t="s">
        <v>38</v>
      </c>
      <c r="X1785" s="2" t="s">
        <v>39</v>
      </c>
      <c r="Y1785" s="2" t="s">
        <v>38</v>
      </c>
      <c r="Z1785" s="2" t="s">
        <v>38</v>
      </c>
      <c r="AA1785" s="2" t="s">
        <v>38</v>
      </c>
      <c r="AB1785" s="2" t="s">
        <v>39</v>
      </c>
      <c r="AC1785" s="2" t="s">
        <v>38</v>
      </c>
      <c r="AD1785" s="2" t="s">
        <v>38</v>
      </c>
      <c r="AE1785" s="2" t="s">
        <v>38</v>
      </c>
    </row>
    <row r="1786" spans="1:31" ht="409.5">
      <c r="A1786" s="2">
        <v>2504562</v>
      </c>
      <c r="B1786" s="2">
        <f>HYPERLINK("https://platform.v2.vetology.net/cases/2504562/screening-report/18?type=pdf&amp;v=v6&amp;scorecard=1&amp;secret_key=BX%25IJ%24%2F65ieZ%29f6", 2504562)</f>
        <v>2504562</v>
      </c>
      <c r="C1786" s="2">
        <f>HYPERLINK("https://platform.v2.vetology.net/report/v/final/"&amp;2504562, 2504562)</f>
        <v>2504562</v>
      </c>
      <c r="D1786" s="2" t="s">
        <v>5023</v>
      </c>
      <c r="E1786" s="2" t="s">
        <v>5024</v>
      </c>
      <c r="F1786" s="2" t="s">
        <v>5025</v>
      </c>
      <c r="G1786" s="2" t="s">
        <v>464</v>
      </c>
      <c r="H1786" s="2" t="s">
        <v>339</v>
      </c>
      <c r="I1786" s="2" t="s">
        <v>124</v>
      </c>
      <c r="J1786" s="2" t="s">
        <v>125</v>
      </c>
      <c r="K1786" s="2" t="s">
        <v>38</v>
      </c>
      <c r="L1786" s="2" t="s">
        <v>38</v>
      </c>
      <c r="M1786" s="2" t="s">
        <v>39</v>
      </c>
      <c r="N1786" s="2" t="s">
        <v>38</v>
      </c>
      <c r="O1786" s="2" t="s">
        <v>38</v>
      </c>
      <c r="P1786" s="2" t="s">
        <v>38</v>
      </c>
      <c r="Q1786" s="2" t="s">
        <v>38</v>
      </c>
      <c r="R1786" s="2" t="s">
        <v>38</v>
      </c>
      <c r="S1786" s="2" t="s">
        <v>39</v>
      </c>
      <c r="T1786" s="2" t="s">
        <v>38</v>
      </c>
      <c r="U1786" s="2" t="s">
        <v>38</v>
      </c>
      <c r="V1786" s="2" t="s">
        <v>38</v>
      </c>
      <c r="W1786" s="2" t="s">
        <v>38</v>
      </c>
      <c r="X1786" s="2" t="s">
        <v>38</v>
      </c>
      <c r="Y1786" s="2" t="s">
        <v>38</v>
      </c>
      <c r="Z1786" s="2" t="s">
        <v>38</v>
      </c>
      <c r="AA1786" s="2" t="s">
        <v>38</v>
      </c>
      <c r="AB1786" s="2" t="s">
        <v>39</v>
      </c>
      <c r="AC1786" s="2" t="s">
        <v>38</v>
      </c>
      <c r="AD1786" s="2" t="s">
        <v>38</v>
      </c>
      <c r="AE1786" s="2" t="s">
        <v>38</v>
      </c>
    </row>
    <row r="1787" spans="1:31" ht="409.5">
      <c r="A1787" s="2">
        <v>2504539</v>
      </c>
      <c r="B1787" s="2">
        <f>HYPERLINK("https://platform.v2.vetology.net/cases/2504539/screening-report/18?type=pdf&amp;v=v6&amp;scorecard=1&amp;secret_key=BX%25IJ%24%2F65ieZ%29f6", 2504539)</f>
        <v>2504539</v>
      </c>
      <c r="C1787" s="2">
        <f>HYPERLINK("https://platform.v2.vetology.net/report/v/final/"&amp;2504539, 2504539)</f>
        <v>2504539</v>
      </c>
      <c r="D1787" s="2" t="s">
        <v>5026</v>
      </c>
      <c r="E1787" s="2" t="s">
        <v>5027</v>
      </c>
      <c r="F1787" s="2" t="s">
        <v>5028</v>
      </c>
      <c r="G1787" s="2" t="s">
        <v>464</v>
      </c>
      <c r="H1787" s="2" t="s">
        <v>71</v>
      </c>
      <c r="I1787" s="2" t="s">
        <v>199</v>
      </c>
      <c r="J1787" s="2"/>
      <c r="K1787" s="2" t="s">
        <v>38</v>
      </c>
      <c r="L1787" s="2" t="s">
        <v>39</v>
      </c>
      <c r="M1787" s="2" t="s">
        <v>38</v>
      </c>
      <c r="N1787" s="2" t="s">
        <v>38</v>
      </c>
      <c r="O1787" s="2" t="s">
        <v>38</v>
      </c>
      <c r="P1787" s="2" t="s">
        <v>38</v>
      </c>
      <c r="Q1787" s="2" t="s">
        <v>38</v>
      </c>
      <c r="R1787" s="2" t="s">
        <v>38</v>
      </c>
      <c r="S1787" s="2" t="s">
        <v>38</v>
      </c>
      <c r="T1787" s="2" t="s">
        <v>38</v>
      </c>
      <c r="U1787" s="2" t="s">
        <v>38</v>
      </c>
      <c r="V1787" s="2" t="s">
        <v>38</v>
      </c>
      <c r="W1787" s="2" t="s">
        <v>38</v>
      </c>
      <c r="X1787" s="2" t="s">
        <v>38</v>
      </c>
      <c r="Y1787" s="2" t="s">
        <v>38</v>
      </c>
      <c r="Z1787" s="2" t="s">
        <v>38</v>
      </c>
      <c r="AA1787" s="2" t="s">
        <v>38</v>
      </c>
      <c r="AB1787" s="2" t="s">
        <v>38</v>
      </c>
      <c r="AC1787" s="2" t="s">
        <v>39</v>
      </c>
      <c r="AD1787" s="2" t="s">
        <v>38</v>
      </c>
      <c r="AE1787" s="2" t="s">
        <v>38</v>
      </c>
    </row>
    <row r="1788" spans="1:31" ht="409.5">
      <c r="A1788" s="2">
        <v>2504508</v>
      </c>
      <c r="B1788" s="2">
        <f>HYPERLINK("https://platform.v2.vetology.net/cases/2504508/screening-report/18?type=pdf&amp;v=v6&amp;scorecard=1&amp;secret_key=BX%25IJ%24%2F65ieZ%29f6", 2504508)</f>
        <v>2504508</v>
      </c>
      <c r="C1788" s="2">
        <f>HYPERLINK("https://platform.v2.vetology.net/report/v/final/"&amp;2504508, 2504508)</f>
        <v>2504508</v>
      </c>
      <c r="D1788" s="2" t="s">
        <v>5029</v>
      </c>
      <c r="E1788" s="2" t="s">
        <v>5030</v>
      </c>
      <c r="F1788" s="2" t="s">
        <v>5031</v>
      </c>
      <c r="G1788" s="2" t="s">
        <v>464</v>
      </c>
      <c r="H1788" s="2" t="s">
        <v>94</v>
      </c>
      <c r="I1788" s="2" t="s">
        <v>89</v>
      </c>
      <c r="J1788" s="2" t="s">
        <v>66</v>
      </c>
      <c r="K1788" s="2" t="s">
        <v>38</v>
      </c>
      <c r="L1788" s="2" t="s">
        <v>39</v>
      </c>
      <c r="M1788" s="2" t="s">
        <v>38</v>
      </c>
      <c r="N1788" s="2" t="s">
        <v>38</v>
      </c>
      <c r="O1788" s="2" t="s">
        <v>38</v>
      </c>
      <c r="P1788" s="2" t="s">
        <v>38</v>
      </c>
      <c r="Q1788" s="2" t="s">
        <v>38</v>
      </c>
      <c r="R1788" s="2" t="s">
        <v>38</v>
      </c>
      <c r="S1788" s="2" t="s">
        <v>38</v>
      </c>
      <c r="T1788" s="2" t="s">
        <v>38</v>
      </c>
      <c r="U1788" s="2" t="s">
        <v>38</v>
      </c>
      <c r="V1788" s="2" t="s">
        <v>38</v>
      </c>
      <c r="W1788" s="2" t="s">
        <v>38</v>
      </c>
      <c r="X1788" s="2" t="s">
        <v>38</v>
      </c>
      <c r="Y1788" s="2" t="s">
        <v>38</v>
      </c>
      <c r="Z1788" s="2" t="s">
        <v>38</v>
      </c>
      <c r="AA1788" s="2" t="s">
        <v>38</v>
      </c>
      <c r="AB1788" s="2" t="s">
        <v>38</v>
      </c>
      <c r="AC1788" s="2" t="s">
        <v>38</v>
      </c>
      <c r="AD1788" s="2" t="s">
        <v>38</v>
      </c>
      <c r="AE1788" s="2" t="s">
        <v>39</v>
      </c>
    </row>
    <row r="1789" spans="1:31" ht="409.5">
      <c r="A1789" s="2">
        <v>2504124</v>
      </c>
      <c r="B1789" s="2">
        <f>HYPERLINK("https://platform.v2.vetology.net/cases/2504124/screening-report/18?type=pdf&amp;v=v6&amp;scorecard=1&amp;secret_key=BX%25IJ%24%2F65ieZ%29f6", 2504124)</f>
        <v>2504124</v>
      </c>
      <c r="C1789" s="2">
        <f>HYPERLINK("https://platform.v2.vetology.net/report/v/final/"&amp;2504124, 2504124)</f>
        <v>2504124</v>
      </c>
      <c r="D1789" s="2" t="s">
        <v>5032</v>
      </c>
      <c r="E1789" s="2" t="s">
        <v>5033</v>
      </c>
      <c r="F1789" s="2" t="s">
        <v>5034</v>
      </c>
      <c r="G1789" s="2" t="s">
        <v>464</v>
      </c>
      <c r="H1789" s="2" t="s">
        <v>78</v>
      </c>
      <c r="I1789" s="2" t="s">
        <v>44</v>
      </c>
      <c r="J1789" s="2" t="s">
        <v>106</v>
      </c>
      <c r="K1789" s="2" t="s">
        <v>38</v>
      </c>
      <c r="L1789" s="2" t="s">
        <v>38</v>
      </c>
      <c r="M1789" s="2" t="s">
        <v>38</v>
      </c>
      <c r="N1789" s="2" t="s">
        <v>38</v>
      </c>
      <c r="O1789" s="2" t="s">
        <v>38</v>
      </c>
      <c r="P1789" s="2" t="s">
        <v>38</v>
      </c>
      <c r="Q1789" s="2" t="s">
        <v>38</v>
      </c>
      <c r="R1789" s="2" t="s">
        <v>38</v>
      </c>
      <c r="S1789" s="2" t="s">
        <v>38</v>
      </c>
      <c r="T1789" s="2" t="s">
        <v>39</v>
      </c>
      <c r="U1789" s="2" t="s">
        <v>38</v>
      </c>
      <c r="V1789" s="2" t="s">
        <v>39</v>
      </c>
      <c r="W1789" s="2" t="s">
        <v>38</v>
      </c>
      <c r="X1789" s="2" t="s">
        <v>39</v>
      </c>
      <c r="Y1789" s="2" t="s">
        <v>38</v>
      </c>
      <c r="Z1789" s="2" t="s">
        <v>38</v>
      </c>
      <c r="AA1789" s="2" t="s">
        <v>38</v>
      </c>
      <c r="AB1789" s="2" t="s">
        <v>38</v>
      </c>
      <c r="AC1789" s="2" t="s">
        <v>38</v>
      </c>
      <c r="AD1789" s="2" t="s">
        <v>38</v>
      </c>
      <c r="AE1789" s="2" t="s">
        <v>38</v>
      </c>
    </row>
    <row r="1790" spans="1:31" ht="409.5">
      <c r="A1790" s="2">
        <v>2504104</v>
      </c>
      <c r="B1790" s="2">
        <f>HYPERLINK("https://platform.v2.vetology.net/cases/2504104/screening-report/18?type=pdf&amp;v=v6&amp;scorecard=1&amp;secret_key=BX%25IJ%24%2F65ieZ%29f6", 2504104)</f>
        <v>2504104</v>
      </c>
      <c r="C1790" s="2">
        <f>HYPERLINK("https://platform.v2.vetology.net/report/v/final/"&amp;2504104, 2504104)</f>
        <v>2504104</v>
      </c>
      <c r="D1790" s="2" t="s">
        <v>5035</v>
      </c>
      <c r="E1790" s="2" t="s">
        <v>5036</v>
      </c>
      <c r="F1790" s="2" t="s">
        <v>5037</v>
      </c>
      <c r="G1790" s="2" t="s">
        <v>63</v>
      </c>
      <c r="H1790" s="2" t="s">
        <v>3433</v>
      </c>
      <c r="I1790" s="2" t="s">
        <v>137</v>
      </c>
      <c r="J1790" s="2" t="s">
        <v>66</v>
      </c>
      <c r="K1790" s="2" t="s">
        <v>38</v>
      </c>
      <c r="L1790" s="2" t="s">
        <v>38</v>
      </c>
      <c r="M1790" s="2" t="s">
        <v>39</v>
      </c>
      <c r="N1790" s="2" t="s">
        <v>38</v>
      </c>
      <c r="O1790" s="2" t="s">
        <v>38</v>
      </c>
      <c r="P1790" s="2" t="s">
        <v>38</v>
      </c>
      <c r="Q1790" s="2" t="s">
        <v>39</v>
      </c>
      <c r="R1790" s="2" t="s">
        <v>38</v>
      </c>
      <c r="S1790" s="2" t="s">
        <v>38</v>
      </c>
      <c r="T1790" s="2" t="s">
        <v>39</v>
      </c>
      <c r="U1790" s="2" t="s">
        <v>38</v>
      </c>
      <c r="V1790" s="2" t="s">
        <v>38</v>
      </c>
      <c r="W1790" s="2" t="s">
        <v>38</v>
      </c>
      <c r="X1790" s="2" t="s">
        <v>38</v>
      </c>
      <c r="Y1790" s="2" t="s">
        <v>38</v>
      </c>
      <c r="Z1790" s="2" t="s">
        <v>38</v>
      </c>
      <c r="AA1790" s="2" t="s">
        <v>38</v>
      </c>
      <c r="AB1790" s="2" t="s">
        <v>39</v>
      </c>
      <c r="AC1790" s="2" t="s">
        <v>38</v>
      </c>
      <c r="AD1790" s="2" t="s">
        <v>38</v>
      </c>
      <c r="AE1790" s="2" t="s">
        <v>38</v>
      </c>
    </row>
    <row r="1791" spans="1:31" ht="409.5">
      <c r="A1791" s="2">
        <v>2503326</v>
      </c>
      <c r="B1791" s="2">
        <f>HYPERLINK("https://platform.v2.vetology.net/cases/2503326/screening-report/18?type=pdf&amp;v=v6&amp;scorecard=1&amp;secret_key=BX%25IJ%24%2F65ieZ%29f6", 2503326)</f>
        <v>2503326</v>
      </c>
      <c r="C1791" s="2">
        <f>HYPERLINK("https://platform.v2.vetology.net/report/v/final/"&amp;2503326, 2503326)</f>
        <v>2503326</v>
      </c>
      <c r="D1791" s="2" t="s">
        <v>5038</v>
      </c>
      <c r="E1791" s="2" t="s">
        <v>5039</v>
      </c>
      <c r="F1791" s="2" t="s">
        <v>5040</v>
      </c>
      <c r="G1791" s="2" t="s">
        <v>575</v>
      </c>
      <c r="H1791" s="2" t="s">
        <v>1106</v>
      </c>
      <c r="I1791" s="2" t="s">
        <v>89</v>
      </c>
      <c r="J1791" s="2" t="s">
        <v>66</v>
      </c>
      <c r="K1791" s="2" t="s">
        <v>38</v>
      </c>
      <c r="L1791" s="2" t="s">
        <v>39</v>
      </c>
      <c r="M1791" s="2" t="s">
        <v>38</v>
      </c>
      <c r="N1791" s="2" t="s">
        <v>38</v>
      </c>
      <c r="O1791" s="2" t="s">
        <v>38</v>
      </c>
      <c r="P1791" s="2" t="s">
        <v>38</v>
      </c>
      <c r="Q1791" s="2" t="s">
        <v>38</v>
      </c>
      <c r="R1791" s="2" t="s">
        <v>38</v>
      </c>
      <c r="S1791" s="2" t="s">
        <v>38</v>
      </c>
      <c r="T1791" s="2" t="s">
        <v>38</v>
      </c>
      <c r="U1791" s="2" t="s">
        <v>38</v>
      </c>
      <c r="V1791" s="2" t="s">
        <v>38</v>
      </c>
      <c r="W1791" s="2" t="s">
        <v>38</v>
      </c>
      <c r="X1791" s="2" t="s">
        <v>38</v>
      </c>
      <c r="Y1791" s="2" t="s">
        <v>38</v>
      </c>
      <c r="Z1791" s="2" t="s">
        <v>38</v>
      </c>
      <c r="AA1791" s="2" t="s">
        <v>38</v>
      </c>
      <c r="AB1791" s="2" t="s">
        <v>38</v>
      </c>
      <c r="AC1791" s="2" t="s">
        <v>38</v>
      </c>
      <c r="AD1791" s="2" t="s">
        <v>38</v>
      </c>
      <c r="AE1791" s="2" t="s">
        <v>39</v>
      </c>
    </row>
    <row r="1792" spans="1:31" ht="409.5">
      <c r="A1792" s="2">
        <v>2503150</v>
      </c>
      <c r="B1792" s="2">
        <f>HYPERLINK("https://platform.v2.vetology.net/cases/2503150/screening-report/18?type=pdf&amp;v=v6&amp;scorecard=1&amp;secret_key=BX%25IJ%24%2F65ieZ%29f6", 2503150)</f>
        <v>2503150</v>
      </c>
      <c r="C1792" s="2">
        <f>HYPERLINK("https://platform.v2.vetology.net/report/v/final/"&amp;2503150, 2503150)</f>
        <v>2503150</v>
      </c>
      <c r="D1792" s="2" t="s">
        <v>5041</v>
      </c>
      <c r="E1792" s="2" t="s">
        <v>5042</v>
      </c>
      <c r="F1792" s="2" t="s">
        <v>5043</v>
      </c>
      <c r="G1792" s="2" t="s">
        <v>268</v>
      </c>
      <c r="H1792" s="2" t="s">
        <v>2742</v>
      </c>
      <c r="I1792" s="2" t="s">
        <v>89</v>
      </c>
      <c r="J1792" s="2" t="s">
        <v>66</v>
      </c>
      <c r="K1792" s="2" t="s">
        <v>38</v>
      </c>
      <c r="L1792" s="2" t="s">
        <v>38</v>
      </c>
      <c r="M1792" s="2" t="s">
        <v>39</v>
      </c>
      <c r="N1792" s="2" t="s">
        <v>38</v>
      </c>
      <c r="O1792" s="2" t="s">
        <v>39</v>
      </c>
      <c r="P1792" s="2" t="s">
        <v>39</v>
      </c>
      <c r="Q1792" s="2" t="s">
        <v>38</v>
      </c>
      <c r="R1792" s="2" t="s">
        <v>38</v>
      </c>
      <c r="S1792" s="2" t="s">
        <v>39</v>
      </c>
      <c r="T1792" s="2" t="s">
        <v>39</v>
      </c>
      <c r="U1792" s="2" t="s">
        <v>38</v>
      </c>
      <c r="V1792" s="2" t="s">
        <v>39</v>
      </c>
      <c r="W1792" s="2" t="s">
        <v>38</v>
      </c>
      <c r="X1792" s="2" t="s">
        <v>39</v>
      </c>
      <c r="Y1792" s="2" t="s">
        <v>38</v>
      </c>
      <c r="Z1792" s="2" t="s">
        <v>38</v>
      </c>
      <c r="AA1792" s="2" t="s">
        <v>38</v>
      </c>
      <c r="AB1792" s="2" t="s">
        <v>39</v>
      </c>
      <c r="AC1792" s="2" t="s">
        <v>39</v>
      </c>
      <c r="AD1792" s="2" t="s">
        <v>38</v>
      </c>
      <c r="AE1792" s="2" t="s">
        <v>39</v>
      </c>
    </row>
    <row r="1793" spans="1:31" ht="409.5">
      <c r="A1793" s="2">
        <v>2503123</v>
      </c>
      <c r="B1793" s="2">
        <f>HYPERLINK("https://platform.v2.vetology.net/cases/2503123/screening-report/18?type=pdf&amp;v=v6&amp;scorecard=1&amp;secret_key=BX%25IJ%24%2F65ieZ%29f6", 2503123)</f>
        <v>2503123</v>
      </c>
      <c r="C1793" s="2">
        <f>HYPERLINK("https://platform.v2.vetology.net/report/v/final/"&amp;2503123, 2503123)</f>
        <v>2503123</v>
      </c>
      <c r="D1793" s="2" t="s">
        <v>5044</v>
      </c>
      <c r="E1793" s="2" t="s">
        <v>5045</v>
      </c>
      <c r="F1793" s="2" t="s">
        <v>5046</v>
      </c>
      <c r="G1793" s="2" t="s">
        <v>575</v>
      </c>
      <c r="H1793" s="2" t="s">
        <v>1240</v>
      </c>
      <c r="I1793" s="2" t="s">
        <v>137</v>
      </c>
      <c r="J1793" s="2" t="s">
        <v>66</v>
      </c>
      <c r="K1793" s="2" t="s">
        <v>38</v>
      </c>
      <c r="L1793" s="2" t="s">
        <v>39</v>
      </c>
      <c r="M1793" s="2" t="s">
        <v>39</v>
      </c>
      <c r="N1793" s="2" t="s">
        <v>38</v>
      </c>
      <c r="O1793" s="2" t="s">
        <v>38</v>
      </c>
      <c r="P1793" s="2" t="s">
        <v>39</v>
      </c>
      <c r="Q1793" s="2" t="s">
        <v>38</v>
      </c>
      <c r="R1793" s="2" t="s">
        <v>38</v>
      </c>
      <c r="S1793" s="2" t="s">
        <v>38</v>
      </c>
      <c r="T1793" s="2" t="s">
        <v>38</v>
      </c>
      <c r="U1793" s="2" t="s">
        <v>38</v>
      </c>
      <c r="V1793" s="2" t="s">
        <v>38</v>
      </c>
      <c r="W1793" s="2" t="s">
        <v>38</v>
      </c>
      <c r="X1793" s="2" t="s">
        <v>38</v>
      </c>
      <c r="Y1793" s="2" t="s">
        <v>38</v>
      </c>
      <c r="Z1793" s="2" t="s">
        <v>38</v>
      </c>
      <c r="AA1793" s="2" t="s">
        <v>38</v>
      </c>
      <c r="AB1793" s="2" t="s">
        <v>39</v>
      </c>
      <c r="AC1793" s="2" t="s">
        <v>38</v>
      </c>
      <c r="AD1793" s="2" t="s">
        <v>38</v>
      </c>
      <c r="AE1793" s="2" t="s">
        <v>38</v>
      </c>
    </row>
    <row r="1794" spans="1:31" ht="409.5">
      <c r="A1794" s="2">
        <v>2502960</v>
      </c>
      <c r="B1794" s="2">
        <f>HYPERLINK("https://platform.v2.vetology.net/cases/2502960/screening-report/18?type=pdf&amp;v=v6&amp;scorecard=1&amp;secret_key=BX%25IJ%24%2F65ieZ%29f6", 2502960)</f>
        <v>2502960</v>
      </c>
      <c r="C1794" s="2">
        <f>HYPERLINK("https://platform.v2.vetology.net/report/v/final/"&amp;2502960, 2502960)</f>
        <v>2502960</v>
      </c>
      <c r="D1794" s="2" t="s">
        <v>5047</v>
      </c>
      <c r="E1794" s="2" t="s">
        <v>5048</v>
      </c>
      <c r="F1794" s="2" t="s">
        <v>5049</v>
      </c>
      <c r="G1794" s="2" t="s">
        <v>268</v>
      </c>
      <c r="H1794" s="2" t="s">
        <v>88</v>
      </c>
      <c r="I1794" s="2" t="s">
        <v>89</v>
      </c>
      <c r="J1794" s="2" t="s">
        <v>66</v>
      </c>
      <c r="K1794" s="2" t="s">
        <v>38</v>
      </c>
      <c r="L1794" s="2" t="s">
        <v>38</v>
      </c>
      <c r="M1794" s="2" t="s">
        <v>39</v>
      </c>
      <c r="N1794" s="2" t="s">
        <v>38</v>
      </c>
      <c r="O1794" s="2" t="s">
        <v>38</v>
      </c>
      <c r="P1794" s="2" t="s">
        <v>38</v>
      </c>
      <c r="Q1794" s="2" t="s">
        <v>38</v>
      </c>
      <c r="R1794" s="2" t="s">
        <v>38</v>
      </c>
      <c r="S1794" s="2" t="s">
        <v>39</v>
      </c>
      <c r="T1794" s="2" t="s">
        <v>38</v>
      </c>
      <c r="U1794" s="2" t="s">
        <v>38</v>
      </c>
      <c r="V1794" s="2" t="s">
        <v>38</v>
      </c>
      <c r="W1794" s="2" t="s">
        <v>38</v>
      </c>
      <c r="X1794" s="2" t="s">
        <v>38</v>
      </c>
      <c r="Y1794" s="2" t="s">
        <v>38</v>
      </c>
      <c r="Z1794" s="2" t="s">
        <v>38</v>
      </c>
      <c r="AA1794" s="2" t="s">
        <v>38</v>
      </c>
      <c r="AB1794" s="2" t="s">
        <v>38</v>
      </c>
      <c r="AC1794" s="2" t="s">
        <v>38</v>
      </c>
      <c r="AD1794" s="2" t="s">
        <v>38</v>
      </c>
      <c r="AE1794" s="2" t="s">
        <v>39</v>
      </c>
    </row>
    <row r="1795" spans="1:31" ht="409.5">
      <c r="A1795" s="2">
        <v>2502826</v>
      </c>
      <c r="B1795" s="2">
        <f>HYPERLINK("https://platform.v2.vetology.net/cases/2502826/screening-report/18?type=pdf&amp;v=v6&amp;scorecard=1&amp;secret_key=BX%25IJ%24%2F65ieZ%29f6", 2502826)</f>
        <v>2502826</v>
      </c>
      <c r="C1795" s="2">
        <f>HYPERLINK("https://platform.v2.vetology.net/report/v/final/"&amp;2502826, 2502826)</f>
        <v>2502826</v>
      </c>
      <c r="D1795" s="2" t="s">
        <v>5050</v>
      </c>
      <c r="E1795" s="2" t="s">
        <v>5051</v>
      </c>
      <c r="F1795" s="2" t="s">
        <v>5052</v>
      </c>
      <c r="G1795" s="2" t="s">
        <v>63</v>
      </c>
      <c r="H1795" s="2" t="s">
        <v>607</v>
      </c>
      <c r="I1795" s="2" t="s">
        <v>137</v>
      </c>
      <c r="J1795" s="2" t="s">
        <v>66</v>
      </c>
      <c r="K1795" s="2" t="s">
        <v>38</v>
      </c>
      <c r="L1795" s="2" t="s">
        <v>39</v>
      </c>
      <c r="M1795" s="2" t="s">
        <v>38</v>
      </c>
      <c r="N1795" s="2" t="s">
        <v>38</v>
      </c>
      <c r="O1795" s="2" t="s">
        <v>38</v>
      </c>
      <c r="P1795" s="2" t="s">
        <v>38</v>
      </c>
      <c r="Q1795" s="2" t="s">
        <v>38</v>
      </c>
      <c r="R1795" s="2" t="s">
        <v>38</v>
      </c>
      <c r="S1795" s="2" t="s">
        <v>39</v>
      </c>
      <c r="T1795" s="2" t="s">
        <v>39</v>
      </c>
      <c r="U1795" s="2" t="s">
        <v>38</v>
      </c>
      <c r="V1795" s="2" t="s">
        <v>39</v>
      </c>
      <c r="W1795" s="2" t="s">
        <v>38</v>
      </c>
      <c r="X1795" s="2" t="s">
        <v>39</v>
      </c>
      <c r="Y1795" s="2" t="s">
        <v>38</v>
      </c>
      <c r="Z1795" s="2" t="s">
        <v>38</v>
      </c>
      <c r="AA1795" s="2" t="s">
        <v>38</v>
      </c>
      <c r="AB1795" s="2" t="s">
        <v>39</v>
      </c>
      <c r="AC1795" s="2" t="s">
        <v>38</v>
      </c>
      <c r="AD1795" s="2" t="s">
        <v>38</v>
      </c>
      <c r="AE1795" s="2" t="s">
        <v>38</v>
      </c>
    </row>
    <row r="1796" spans="1:31" ht="409.5">
      <c r="A1796" s="2">
        <v>2502604</v>
      </c>
      <c r="B1796" s="2">
        <f>HYPERLINK("https://platform.v2.vetology.net/cases/2502604/screening-report/18?type=pdf&amp;v=v6&amp;scorecard=1&amp;secret_key=BX%25IJ%24%2F65ieZ%29f6", 2502604)</f>
        <v>2502604</v>
      </c>
      <c r="C1796" s="2">
        <f>HYPERLINK("https://platform.v2.vetology.net/report/v/final/"&amp;2502604, 2502604)</f>
        <v>2502604</v>
      </c>
      <c r="D1796" s="2" t="s">
        <v>5053</v>
      </c>
      <c r="E1796" s="2" t="s">
        <v>5054</v>
      </c>
      <c r="F1796" s="2" t="s">
        <v>5055</v>
      </c>
      <c r="G1796" s="2" t="s">
        <v>464</v>
      </c>
      <c r="H1796" s="2" t="s">
        <v>468</v>
      </c>
      <c r="I1796" s="2" t="s">
        <v>245</v>
      </c>
      <c r="J1796" s="2" t="s">
        <v>246</v>
      </c>
      <c r="K1796" s="2" t="s">
        <v>38</v>
      </c>
      <c r="L1796" s="2" t="s">
        <v>39</v>
      </c>
      <c r="M1796" s="2" t="s">
        <v>39</v>
      </c>
      <c r="N1796" s="2" t="s">
        <v>39</v>
      </c>
      <c r="O1796" s="2" t="s">
        <v>38</v>
      </c>
      <c r="P1796" s="2" t="s">
        <v>39</v>
      </c>
      <c r="Q1796" s="2" t="s">
        <v>38</v>
      </c>
      <c r="R1796" s="2" t="s">
        <v>38</v>
      </c>
      <c r="S1796" s="2" t="s">
        <v>39</v>
      </c>
      <c r="T1796" s="2" t="s">
        <v>39</v>
      </c>
      <c r="U1796" s="2" t="s">
        <v>38</v>
      </c>
      <c r="V1796" s="2" t="s">
        <v>38</v>
      </c>
      <c r="W1796" s="2" t="s">
        <v>38</v>
      </c>
      <c r="X1796" s="2" t="s">
        <v>39</v>
      </c>
      <c r="Y1796" s="2" t="s">
        <v>38</v>
      </c>
      <c r="Z1796" s="2" t="s">
        <v>39</v>
      </c>
      <c r="AA1796" s="2" t="s">
        <v>38</v>
      </c>
      <c r="AB1796" s="2" t="s">
        <v>38</v>
      </c>
      <c r="AC1796" s="2" t="s">
        <v>38</v>
      </c>
      <c r="AD1796" s="2" t="s">
        <v>38</v>
      </c>
      <c r="AE1796" s="2" t="s">
        <v>38</v>
      </c>
    </row>
    <row r="1797" spans="1:31" ht="409.5">
      <c r="A1797" s="2">
        <v>2502511</v>
      </c>
      <c r="B1797" s="2">
        <f>HYPERLINK("https://platform.v2.vetology.net/cases/2502511/screening-report/18?type=pdf&amp;v=v6&amp;scorecard=1&amp;secret_key=BX%25IJ%24%2F65ieZ%29f6", 2502511)</f>
        <v>2502511</v>
      </c>
      <c r="C1797" s="2">
        <f>HYPERLINK("https://platform.v2.vetology.net/report/v/final/"&amp;2502511, 2502511)</f>
        <v>2502511</v>
      </c>
      <c r="D1797" s="2" t="s">
        <v>5056</v>
      </c>
      <c r="E1797" s="2" t="s">
        <v>5057</v>
      </c>
      <c r="F1797" s="2" t="s">
        <v>4555</v>
      </c>
      <c r="G1797" s="2" t="s">
        <v>150</v>
      </c>
      <c r="H1797" s="2" t="s">
        <v>730</v>
      </c>
      <c r="I1797" s="2" t="s">
        <v>382</v>
      </c>
      <c r="J1797" s="2" t="s">
        <v>710</v>
      </c>
      <c r="K1797" s="2" t="s">
        <v>38</v>
      </c>
      <c r="L1797" s="2" t="s">
        <v>38</v>
      </c>
      <c r="M1797" s="2" t="s">
        <v>39</v>
      </c>
      <c r="N1797" s="2" t="s">
        <v>38</v>
      </c>
      <c r="O1797" s="2" t="s">
        <v>38</v>
      </c>
      <c r="P1797" s="2" t="s">
        <v>38</v>
      </c>
      <c r="Q1797" s="2" t="s">
        <v>38</v>
      </c>
      <c r="R1797" s="2" t="s">
        <v>38</v>
      </c>
      <c r="S1797" s="2" t="s">
        <v>38</v>
      </c>
      <c r="T1797" s="2" t="s">
        <v>38</v>
      </c>
      <c r="U1797" s="2" t="s">
        <v>38</v>
      </c>
      <c r="V1797" s="2" t="s">
        <v>38</v>
      </c>
      <c r="W1797" s="2" t="s">
        <v>38</v>
      </c>
      <c r="X1797" s="2" t="s">
        <v>38</v>
      </c>
      <c r="Y1797" s="2" t="s">
        <v>38</v>
      </c>
      <c r="Z1797" s="2" t="s">
        <v>38</v>
      </c>
      <c r="AA1797" s="2" t="s">
        <v>38</v>
      </c>
      <c r="AB1797" s="2" t="s">
        <v>38</v>
      </c>
      <c r="AC1797" s="2" t="s">
        <v>38</v>
      </c>
      <c r="AD1797" s="2" t="s">
        <v>38</v>
      </c>
      <c r="AE1797" s="2" t="s">
        <v>38</v>
      </c>
    </row>
    <row r="1798" spans="1:31" ht="409.5">
      <c r="A1798" s="2">
        <v>2502432</v>
      </c>
      <c r="B1798" s="2">
        <f>HYPERLINK("https://platform.v2.vetology.net/cases/2502432/screening-report/18?type=pdf&amp;v=v6&amp;scorecard=1&amp;secret_key=BX%25IJ%24%2F65ieZ%29f6", 2502432)</f>
        <v>2502432</v>
      </c>
      <c r="C1798" s="2">
        <f>HYPERLINK("https://platform.v2.vetology.net/report/v/final/"&amp;2502432, 2502432)</f>
        <v>2502432</v>
      </c>
      <c r="D1798" s="2" t="s">
        <v>5058</v>
      </c>
      <c r="E1798" s="2" t="s">
        <v>5059</v>
      </c>
      <c r="F1798" s="2" t="s">
        <v>5060</v>
      </c>
      <c r="G1798" s="2" t="s">
        <v>93</v>
      </c>
      <c r="H1798" s="2" t="s">
        <v>88</v>
      </c>
      <c r="I1798" s="2" t="s">
        <v>89</v>
      </c>
      <c r="J1798" s="2" t="s">
        <v>66</v>
      </c>
      <c r="K1798" s="2" t="s">
        <v>38</v>
      </c>
      <c r="L1798" s="2" t="s">
        <v>39</v>
      </c>
      <c r="M1798" s="2" t="s">
        <v>39</v>
      </c>
      <c r="N1798" s="2" t="s">
        <v>38</v>
      </c>
      <c r="O1798" s="2" t="s">
        <v>38</v>
      </c>
      <c r="P1798" s="2" t="s">
        <v>38</v>
      </c>
      <c r="Q1798" s="2" t="s">
        <v>38</v>
      </c>
      <c r="R1798" s="2" t="s">
        <v>38</v>
      </c>
      <c r="S1798" s="2" t="s">
        <v>38</v>
      </c>
      <c r="T1798" s="2" t="s">
        <v>38</v>
      </c>
      <c r="U1798" s="2" t="s">
        <v>38</v>
      </c>
      <c r="V1798" s="2" t="s">
        <v>38</v>
      </c>
      <c r="W1798" s="2" t="s">
        <v>38</v>
      </c>
      <c r="X1798" s="2" t="s">
        <v>38</v>
      </c>
      <c r="Y1798" s="2" t="s">
        <v>39</v>
      </c>
      <c r="Z1798" s="2" t="s">
        <v>39</v>
      </c>
      <c r="AA1798" s="2" t="s">
        <v>38</v>
      </c>
      <c r="AB1798" s="2" t="s">
        <v>39</v>
      </c>
      <c r="AC1798" s="2" t="s">
        <v>39</v>
      </c>
      <c r="AD1798" s="2" t="s">
        <v>38</v>
      </c>
      <c r="AE1798" s="2" t="s">
        <v>39</v>
      </c>
    </row>
    <row r="1799" spans="1:31" ht="409.5">
      <c r="A1799" s="2">
        <v>2502280</v>
      </c>
      <c r="B1799" s="2">
        <f>HYPERLINK("https://platform.v2.vetology.net/cases/2502280/screening-report/18?type=pdf&amp;v=v6&amp;scorecard=1&amp;secret_key=BX%25IJ%24%2F65ieZ%29f6", 2502280)</f>
        <v>2502280</v>
      </c>
      <c r="C1799" s="2">
        <f>HYPERLINK("https://platform.v2.vetology.net/report/v/final/"&amp;2502280, 2502280)</f>
        <v>2502280</v>
      </c>
      <c r="D1799" s="2" t="s">
        <v>5061</v>
      </c>
      <c r="E1799" s="2" t="s">
        <v>5062</v>
      </c>
      <c r="F1799" s="2" t="s">
        <v>81</v>
      </c>
      <c r="G1799" s="2" t="s">
        <v>82</v>
      </c>
      <c r="H1799" s="2" t="s">
        <v>54</v>
      </c>
      <c r="I1799" s="2" t="s">
        <v>44</v>
      </c>
      <c r="J1799" s="2"/>
      <c r="K1799" s="2" t="s">
        <v>38</v>
      </c>
      <c r="L1799" s="2" t="s">
        <v>39</v>
      </c>
      <c r="M1799" s="2" t="s">
        <v>38</v>
      </c>
      <c r="N1799" s="2" t="s">
        <v>38</v>
      </c>
      <c r="O1799" s="2" t="s">
        <v>38</v>
      </c>
      <c r="P1799" s="2" t="s">
        <v>39</v>
      </c>
      <c r="Q1799" s="2" t="s">
        <v>38</v>
      </c>
      <c r="R1799" s="2" t="s">
        <v>38</v>
      </c>
      <c r="S1799" s="2" t="s">
        <v>38</v>
      </c>
      <c r="T1799" s="2" t="s">
        <v>39</v>
      </c>
      <c r="U1799" s="2" t="s">
        <v>38</v>
      </c>
      <c r="V1799" s="2" t="s">
        <v>39</v>
      </c>
      <c r="W1799" s="2" t="s">
        <v>38</v>
      </c>
      <c r="X1799" s="2" t="s">
        <v>39</v>
      </c>
      <c r="Y1799" s="2" t="s">
        <v>38</v>
      </c>
      <c r="Z1799" s="2" t="s">
        <v>38</v>
      </c>
      <c r="AA1799" s="2" t="s">
        <v>38</v>
      </c>
      <c r="AB1799" s="2" t="s">
        <v>38</v>
      </c>
      <c r="AC1799" s="2" t="s">
        <v>38</v>
      </c>
      <c r="AD1799" s="2" t="s">
        <v>38</v>
      </c>
      <c r="AE1799" s="2" t="s">
        <v>38</v>
      </c>
    </row>
    <row r="1800" spans="1:31" ht="409.5">
      <c r="A1800" s="2">
        <v>2501941</v>
      </c>
      <c r="B1800" s="2">
        <f>HYPERLINK("https://platform.v2.vetology.net/cases/2501941/screening-report/18?type=pdf&amp;v=v6&amp;scorecard=1&amp;secret_key=BX%25IJ%24%2F65ieZ%29f6", 2501941)</f>
        <v>2501941</v>
      </c>
      <c r="C1800" s="2">
        <f>HYPERLINK("https://platform.v2.vetology.net/report/v/final/"&amp;2501941, 2501941)</f>
        <v>2501941</v>
      </c>
      <c r="D1800" s="2" t="s">
        <v>5063</v>
      </c>
      <c r="E1800" s="2" t="s">
        <v>5064</v>
      </c>
      <c r="F1800" s="2" t="s">
        <v>81</v>
      </c>
      <c r="G1800" s="2" t="s">
        <v>82</v>
      </c>
      <c r="H1800" s="2" t="s">
        <v>1526</v>
      </c>
      <c r="I1800" s="2" t="s">
        <v>1118</v>
      </c>
      <c r="J1800" s="2" t="s">
        <v>1119</v>
      </c>
      <c r="K1800" s="2" t="s">
        <v>38</v>
      </c>
      <c r="L1800" s="2" t="s">
        <v>39</v>
      </c>
      <c r="M1800" s="2" t="s">
        <v>39</v>
      </c>
      <c r="N1800" s="2" t="s">
        <v>38</v>
      </c>
      <c r="O1800" s="2" t="s">
        <v>39</v>
      </c>
      <c r="P1800" s="2" t="s">
        <v>39</v>
      </c>
      <c r="Q1800" s="2" t="s">
        <v>38</v>
      </c>
      <c r="R1800" s="2" t="s">
        <v>38</v>
      </c>
      <c r="S1800" s="2" t="s">
        <v>39</v>
      </c>
      <c r="T1800" s="2" t="s">
        <v>38</v>
      </c>
      <c r="U1800" s="2" t="s">
        <v>38</v>
      </c>
      <c r="V1800" s="2" t="s">
        <v>38</v>
      </c>
      <c r="W1800" s="2" t="s">
        <v>38</v>
      </c>
      <c r="X1800" s="2" t="s">
        <v>38</v>
      </c>
      <c r="Y1800" s="2" t="s">
        <v>38</v>
      </c>
      <c r="Z1800" s="2" t="s">
        <v>39</v>
      </c>
      <c r="AA1800" s="2" t="s">
        <v>38</v>
      </c>
      <c r="AB1800" s="2" t="s">
        <v>38</v>
      </c>
      <c r="AC1800" s="2" t="s">
        <v>38</v>
      </c>
      <c r="AD1800" s="2" t="s">
        <v>38</v>
      </c>
      <c r="AE1800" s="2" t="s">
        <v>38</v>
      </c>
    </row>
    <row r="1801" spans="1:31" ht="409.5">
      <c r="A1801" s="2">
        <v>2501889</v>
      </c>
      <c r="B1801" s="2">
        <f>HYPERLINK("https://platform.v2.vetology.net/cases/2501889/screening-report/18?type=pdf&amp;v=v6&amp;scorecard=1&amp;secret_key=BX%25IJ%24%2F65ieZ%29f6", 2501889)</f>
        <v>2501889</v>
      </c>
      <c r="C1801" s="2">
        <f>HYPERLINK("https://platform.v2.vetology.net/report/v/final/"&amp;2501889, 2501889)</f>
        <v>2501889</v>
      </c>
      <c r="D1801" s="2" t="s">
        <v>5065</v>
      </c>
      <c r="E1801" s="2" t="s">
        <v>5066</v>
      </c>
      <c r="F1801" s="2" t="s">
        <v>5067</v>
      </c>
      <c r="G1801" s="2" t="s">
        <v>464</v>
      </c>
      <c r="H1801" s="2" t="s">
        <v>1966</v>
      </c>
      <c r="I1801" s="2" t="s">
        <v>124</v>
      </c>
      <c r="J1801" s="2" t="s">
        <v>125</v>
      </c>
      <c r="K1801" s="2" t="s">
        <v>38</v>
      </c>
      <c r="L1801" s="2" t="s">
        <v>39</v>
      </c>
      <c r="M1801" s="2" t="s">
        <v>39</v>
      </c>
      <c r="N1801" s="2" t="s">
        <v>38</v>
      </c>
      <c r="O1801" s="2" t="s">
        <v>38</v>
      </c>
      <c r="P1801" s="2" t="s">
        <v>38</v>
      </c>
      <c r="Q1801" s="2" t="s">
        <v>38</v>
      </c>
      <c r="R1801" s="2" t="s">
        <v>38</v>
      </c>
      <c r="S1801" s="2" t="s">
        <v>39</v>
      </c>
      <c r="T1801" s="2" t="s">
        <v>39</v>
      </c>
      <c r="U1801" s="2" t="s">
        <v>38</v>
      </c>
      <c r="V1801" s="2" t="s">
        <v>39</v>
      </c>
      <c r="W1801" s="2" t="s">
        <v>38</v>
      </c>
      <c r="X1801" s="2" t="s">
        <v>39</v>
      </c>
      <c r="Y1801" s="2" t="s">
        <v>38</v>
      </c>
      <c r="Z1801" s="2" t="s">
        <v>38</v>
      </c>
      <c r="AA1801" s="2" t="s">
        <v>38</v>
      </c>
      <c r="AB1801" s="2" t="s">
        <v>39</v>
      </c>
      <c r="AC1801" s="2" t="s">
        <v>38</v>
      </c>
      <c r="AD1801" s="2" t="s">
        <v>38</v>
      </c>
      <c r="AE1801" s="2" t="s">
        <v>39</v>
      </c>
    </row>
    <row r="1802" spans="1:31" ht="409.5">
      <c r="A1802" s="2">
        <v>2501763</v>
      </c>
      <c r="B1802" s="2">
        <f>HYPERLINK("https://platform.v2.vetology.net/cases/2501763/screening-report/18?type=pdf&amp;v=v6&amp;scorecard=1&amp;secret_key=BX%25IJ%24%2F65ieZ%29f6", 2501763)</f>
        <v>2501763</v>
      </c>
      <c r="C1802" s="2">
        <f>HYPERLINK("https://platform.v2.vetology.net/report/v/final/"&amp;2501763, 2501763)</f>
        <v>2501763</v>
      </c>
      <c r="D1802" s="2" t="s">
        <v>5068</v>
      </c>
      <c r="E1802" s="2" t="s">
        <v>5069</v>
      </c>
      <c r="F1802" s="2" t="s">
        <v>5070</v>
      </c>
      <c r="G1802" s="2" t="s">
        <v>58</v>
      </c>
      <c r="H1802" s="2" t="s">
        <v>54</v>
      </c>
      <c r="I1802" s="2" t="s">
        <v>199</v>
      </c>
      <c r="J1802" s="2"/>
      <c r="K1802" s="2" t="s">
        <v>38</v>
      </c>
      <c r="L1802" s="2" t="s">
        <v>39</v>
      </c>
      <c r="M1802" s="2" t="s">
        <v>38</v>
      </c>
      <c r="N1802" s="2" t="s">
        <v>38</v>
      </c>
      <c r="O1802" s="2" t="s">
        <v>38</v>
      </c>
      <c r="P1802" s="2" t="s">
        <v>38</v>
      </c>
      <c r="Q1802" s="2" t="s">
        <v>38</v>
      </c>
      <c r="R1802" s="2" t="s">
        <v>38</v>
      </c>
      <c r="S1802" s="2" t="s">
        <v>38</v>
      </c>
      <c r="T1802" s="2" t="s">
        <v>38</v>
      </c>
      <c r="U1802" s="2" t="s">
        <v>38</v>
      </c>
      <c r="V1802" s="2" t="s">
        <v>38</v>
      </c>
      <c r="W1802" s="2" t="s">
        <v>38</v>
      </c>
      <c r="X1802" s="2" t="s">
        <v>38</v>
      </c>
      <c r="Y1802" s="2" t="s">
        <v>38</v>
      </c>
      <c r="Z1802" s="2" t="s">
        <v>38</v>
      </c>
      <c r="AA1802" s="2" t="s">
        <v>38</v>
      </c>
      <c r="AB1802" s="2" t="s">
        <v>38</v>
      </c>
      <c r="AC1802" s="2" t="s">
        <v>38</v>
      </c>
      <c r="AD1802" s="2" t="s">
        <v>38</v>
      </c>
      <c r="AE1802" s="2" t="s">
        <v>38</v>
      </c>
    </row>
    <row r="1803" spans="1:31" ht="409.5">
      <c r="A1803" s="2">
        <v>2501747</v>
      </c>
      <c r="B1803" s="2">
        <f>HYPERLINK("https://platform.v2.vetology.net/cases/2501747/screening-report/18?type=pdf&amp;v=v6&amp;scorecard=1&amp;secret_key=BX%25IJ%24%2F65ieZ%29f6", 2501747)</f>
        <v>2501747</v>
      </c>
      <c r="C1803" s="2">
        <f>HYPERLINK("https://platform.v2.vetology.net/report/v/final/"&amp;2501747, 2501747)</f>
        <v>2501747</v>
      </c>
      <c r="D1803" s="2" t="s">
        <v>5071</v>
      </c>
      <c r="E1803" s="2" t="s">
        <v>5072</v>
      </c>
      <c r="F1803" s="2" t="s">
        <v>2535</v>
      </c>
      <c r="G1803" s="2" t="s">
        <v>58</v>
      </c>
      <c r="H1803" s="2" t="s">
        <v>136</v>
      </c>
      <c r="I1803" s="2" t="s">
        <v>137</v>
      </c>
      <c r="J1803" s="2" t="s">
        <v>66</v>
      </c>
      <c r="K1803" s="2" t="s">
        <v>38</v>
      </c>
      <c r="L1803" s="2" t="s">
        <v>39</v>
      </c>
      <c r="M1803" s="2" t="s">
        <v>38</v>
      </c>
      <c r="N1803" s="2" t="s">
        <v>39</v>
      </c>
      <c r="O1803" s="2" t="s">
        <v>38</v>
      </c>
      <c r="P1803" s="2" t="s">
        <v>39</v>
      </c>
      <c r="Q1803" s="2" t="s">
        <v>39</v>
      </c>
      <c r="R1803" s="2" t="s">
        <v>38</v>
      </c>
      <c r="S1803" s="2" t="s">
        <v>38</v>
      </c>
      <c r="T1803" s="2" t="s">
        <v>38</v>
      </c>
      <c r="U1803" s="2" t="s">
        <v>38</v>
      </c>
      <c r="V1803" s="2" t="s">
        <v>38</v>
      </c>
      <c r="W1803" s="2" t="s">
        <v>38</v>
      </c>
      <c r="X1803" s="2" t="s">
        <v>38</v>
      </c>
      <c r="Y1803" s="2" t="s">
        <v>38</v>
      </c>
      <c r="Z1803" s="2" t="s">
        <v>38</v>
      </c>
      <c r="AA1803" s="2" t="s">
        <v>38</v>
      </c>
      <c r="AB1803" s="2" t="s">
        <v>39</v>
      </c>
      <c r="AC1803" s="2" t="s">
        <v>39</v>
      </c>
      <c r="AD1803" s="2" t="s">
        <v>38</v>
      </c>
      <c r="AE1803" s="2" t="s">
        <v>39</v>
      </c>
    </row>
    <row r="1804" spans="1:31" ht="409.5">
      <c r="A1804" s="2">
        <v>2501738</v>
      </c>
      <c r="B1804" s="2">
        <f>HYPERLINK("https://platform.v2.vetology.net/cases/2501738/screening-report/18?type=pdf&amp;v=v6&amp;scorecard=1&amp;secret_key=BX%25IJ%24%2F65ieZ%29f6", 2501738)</f>
        <v>2501738</v>
      </c>
      <c r="C1804" s="2">
        <f>HYPERLINK("https://platform.v2.vetology.net/report/v/final/"&amp;2501738, 2501738)</f>
        <v>2501738</v>
      </c>
      <c r="D1804" s="2" t="s">
        <v>5073</v>
      </c>
      <c r="E1804" s="2" t="s">
        <v>5074</v>
      </c>
      <c r="F1804" s="2" t="s">
        <v>5075</v>
      </c>
      <c r="G1804" s="2" t="s">
        <v>93</v>
      </c>
      <c r="H1804" s="2" t="s">
        <v>54</v>
      </c>
      <c r="I1804" s="2" t="s">
        <v>44</v>
      </c>
      <c r="J1804" s="2" t="s">
        <v>106</v>
      </c>
      <c r="K1804" s="2" t="s">
        <v>38</v>
      </c>
      <c r="L1804" s="2" t="s">
        <v>39</v>
      </c>
      <c r="M1804" s="2" t="s">
        <v>38</v>
      </c>
      <c r="N1804" s="2" t="s">
        <v>38</v>
      </c>
      <c r="O1804" s="2" t="s">
        <v>38</v>
      </c>
      <c r="P1804" s="2" t="s">
        <v>38</v>
      </c>
      <c r="Q1804" s="2" t="s">
        <v>38</v>
      </c>
      <c r="R1804" s="2" t="s">
        <v>38</v>
      </c>
      <c r="S1804" s="2" t="s">
        <v>38</v>
      </c>
      <c r="T1804" s="2" t="s">
        <v>38</v>
      </c>
      <c r="U1804" s="2" t="s">
        <v>38</v>
      </c>
      <c r="V1804" s="2" t="s">
        <v>38</v>
      </c>
      <c r="W1804" s="2" t="s">
        <v>38</v>
      </c>
      <c r="X1804" s="2" t="s">
        <v>38</v>
      </c>
      <c r="Y1804" s="2" t="s">
        <v>38</v>
      </c>
      <c r="Z1804" s="2" t="s">
        <v>38</v>
      </c>
      <c r="AA1804" s="2" t="s">
        <v>38</v>
      </c>
      <c r="AB1804" s="2" t="s">
        <v>38</v>
      </c>
      <c r="AC1804" s="2" t="s">
        <v>38</v>
      </c>
      <c r="AD1804" s="2" t="s">
        <v>38</v>
      </c>
      <c r="AE1804" s="2" t="s">
        <v>38</v>
      </c>
    </row>
    <row r="1805" spans="1:31" ht="409.5">
      <c r="A1805" s="2">
        <v>2501611</v>
      </c>
      <c r="B1805" s="2">
        <f>HYPERLINK("https://platform.v2.vetology.net/cases/2501611/screening-report/18?type=pdf&amp;v=v6&amp;scorecard=1&amp;secret_key=BX%25IJ%24%2F65ieZ%29f6", 2501611)</f>
        <v>2501611</v>
      </c>
      <c r="C1805" s="2">
        <f>HYPERLINK("https://platform.v2.vetology.net/report/v/final/"&amp;2501611, 2501611)</f>
        <v>2501611</v>
      </c>
      <c r="D1805" s="2" t="s">
        <v>5076</v>
      </c>
      <c r="E1805" s="2" t="s">
        <v>5077</v>
      </c>
      <c r="F1805" s="2" t="s">
        <v>5078</v>
      </c>
      <c r="G1805" s="2" t="s">
        <v>63</v>
      </c>
      <c r="H1805" s="2" t="s">
        <v>94</v>
      </c>
      <c r="I1805" s="2" t="s">
        <v>89</v>
      </c>
      <c r="J1805" s="2" t="s">
        <v>66</v>
      </c>
      <c r="K1805" s="2" t="s">
        <v>38</v>
      </c>
      <c r="L1805" s="2" t="s">
        <v>38</v>
      </c>
      <c r="M1805" s="2" t="s">
        <v>38</v>
      </c>
      <c r="N1805" s="2" t="s">
        <v>38</v>
      </c>
      <c r="O1805" s="2" t="s">
        <v>38</v>
      </c>
      <c r="P1805" s="2" t="s">
        <v>38</v>
      </c>
      <c r="Q1805" s="2" t="s">
        <v>38</v>
      </c>
      <c r="R1805" s="2" t="s">
        <v>38</v>
      </c>
      <c r="S1805" s="2" t="s">
        <v>38</v>
      </c>
      <c r="T1805" s="2" t="s">
        <v>38</v>
      </c>
      <c r="U1805" s="2" t="s">
        <v>38</v>
      </c>
      <c r="V1805" s="2" t="s">
        <v>38</v>
      </c>
      <c r="W1805" s="2" t="s">
        <v>38</v>
      </c>
      <c r="X1805" s="2" t="s">
        <v>38</v>
      </c>
      <c r="Y1805" s="2" t="s">
        <v>38</v>
      </c>
      <c r="Z1805" s="2" t="s">
        <v>38</v>
      </c>
      <c r="AA1805" s="2" t="s">
        <v>38</v>
      </c>
      <c r="AB1805" s="2" t="s">
        <v>38</v>
      </c>
      <c r="AC1805" s="2" t="s">
        <v>38</v>
      </c>
      <c r="AD1805" s="2" t="s">
        <v>38</v>
      </c>
      <c r="AE1805" s="2" t="s">
        <v>39</v>
      </c>
    </row>
    <row r="1806" spans="1:31" ht="409.5">
      <c r="A1806" s="2">
        <v>2501598</v>
      </c>
      <c r="B1806" s="2">
        <f>HYPERLINK("https://platform.v2.vetology.net/cases/2501598/screening-report/18?type=pdf&amp;v=v6&amp;scorecard=1&amp;secret_key=BX%25IJ%24%2F65ieZ%29f6", 2501598)</f>
        <v>2501598</v>
      </c>
      <c r="C1806" s="2">
        <f>HYPERLINK("https://platform.v2.vetology.net/report/v/final/"&amp;2501598, 2501598)</f>
        <v>2501598</v>
      </c>
      <c r="D1806" s="2" t="s">
        <v>5079</v>
      </c>
      <c r="E1806" s="2" t="s">
        <v>5080</v>
      </c>
      <c r="F1806" s="2" t="s">
        <v>5081</v>
      </c>
      <c r="G1806" s="2" t="s">
        <v>464</v>
      </c>
      <c r="H1806" s="2" t="s">
        <v>1166</v>
      </c>
      <c r="I1806" s="2" t="s">
        <v>1167</v>
      </c>
      <c r="J1806" s="2" t="s">
        <v>1168</v>
      </c>
      <c r="K1806" s="2" t="s">
        <v>38</v>
      </c>
      <c r="L1806" s="2" t="s">
        <v>39</v>
      </c>
      <c r="M1806" s="2" t="s">
        <v>39</v>
      </c>
      <c r="N1806" s="2" t="s">
        <v>39</v>
      </c>
      <c r="O1806" s="2" t="s">
        <v>39</v>
      </c>
      <c r="P1806" s="2" t="s">
        <v>39</v>
      </c>
      <c r="Q1806" s="2" t="s">
        <v>38</v>
      </c>
      <c r="R1806" s="2" t="s">
        <v>38</v>
      </c>
      <c r="S1806" s="2" t="s">
        <v>39</v>
      </c>
      <c r="T1806" s="2" t="s">
        <v>39</v>
      </c>
      <c r="U1806" s="2" t="s">
        <v>39</v>
      </c>
      <c r="V1806" s="2" t="s">
        <v>39</v>
      </c>
      <c r="W1806" s="2" t="s">
        <v>38</v>
      </c>
      <c r="X1806" s="2" t="s">
        <v>39</v>
      </c>
      <c r="Y1806" s="2" t="s">
        <v>38</v>
      </c>
      <c r="Z1806" s="2" t="s">
        <v>39</v>
      </c>
      <c r="AA1806" s="2" t="s">
        <v>39</v>
      </c>
      <c r="AB1806" s="2" t="s">
        <v>39</v>
      </c>
      <c r="AC1806" s="2" t="s">
        <v>39</v>
      </c>
      <c r="AD1806" s="2" t="s">
        <v>38</v>
      </c>
      <c r="AE1806" s="2" t="s">
        <v>39</v>
      </c>
    </row>
    <row r="1807" spans="1:31" ht="409.5">
      <c r="A1807" s="2">
        <v>2501508</v>
      </c>
      <c r="B1807" s="2">
        <f>HYPERLINK("https://platform.v2.vetology.net/cases/2501508/screening-report/18?type=pdf&amp;v=v6&amp;scorecard=1&amp;secret_key=BX%25IJ%24%2F65ieZ%29f6", 2501508)</f>
        <v>2501508</v>
      </c>
      <c r="C1807" s="2">
        <f>HYPERLINK("https://platform.v2.vetology.net/report/v/final/"&amp;2501508, 2501508)</f>
        <v>2501508</v>
      </c>
      <c r="D1807" s="2" t="s">
        <v>5082</v>
      </c>
      <c r="E1807" s="2" t="s">
        <v>5083</v>
      </c>
      <c r="F1807" s="2" t="s">
        <v>5084</v>
      </c>
      <c r="G1807" s="2" t="s">
        <v>58</v>
      </c>
      <c r="H1807" s="2" t="s">
        <v>78</v>
      </c>
      <c r="I1807" s="2" t="s">
        <v>44</v>
      </c>
      <c r="J1807" s="2" t="s">
        <v>106</v>
      </c>
      <c r="K1807" s="2" t="s">
        <v>38</v>
      </c>
      <c r="L1807" s="2" t="s">
        <v>39</v>
      </c>
      <c r="M1807" s="2" t="s">
        <v>38</v>
      </c>
      <c r="N1807" s="2" t="s">
        <v>38</v>
      </c>
      <c r="O1807" s="2" t="s">
        <v>38</v>
      </c>
      <c r="P1807" s="2" t="s">
        <v>38</v>
      </c>
      <c r="Q1807" s="2" t="s">
        <v>38</v>
      </c>
      <c r="R1807" s="2" t="s">
        <v>38</v>
      </c>
      <c r="S1807" s="2" t="s">
        <v>38</v>
      </c>
      <c r="T1807" s="2" t="s">
        <v>39</v>
      </c>
      <c r="U1807" s="2" t="s">
        <v>38</v>
      </c>
      <c r="V1807" s="2" t="s">
        <v>39</v>
      </c>
      <c r="W1807" s="2" t="s">
        <v>38</v>
      </c>
      <c r="X1807" s="2" t="s">
        <v>38</v>
      </c>
      <c r="Y1807" s="2" t="s">
        <v>38</v>
      </c>
      <c r="Z1807" s="2" t="s">
        <v>38</v>
      </c>
      <c r="AA1807" s="2" t="s">
        <v>38</v>
      </c>
      <c r="AB1807" s="2" t="s">
        <v>38</v>
      </c>
      <c r="AC1807" s="2" t="s">
        <v>38</v>
      </c>
      <c r="AD1807" s="2" t="s">
        <v>38</v>
      </c>
      <c r="AE1807" s="2" t="s">
        <v>38</v>
      </c>
    </row>
    <row r="1808" spans="1:31" ht="409.5">
      <c r="A1808" s="2">
        <v>2501412</v>
      </c>
      <c r="B1808" s="2">
        <f>HYPERLINK("https://platform.v2.vetology.net/cases/2501412/screening-report/18?type=pdf&amp;v=v6&amp;scorecard=1&amp;secret_key=BX%25IJ%24%2F65ieZ%29f6", 2501412)</f>
        <v>2501412</v>
      </c>
      <c r="C1808" s="2">
        <f>HYPERLINK("https://platform.v2.vetology.net/report/v/final/"&amp;2501412, 2501412)</f>
        <v>2501412</v>
      </c>
      <c r="D1808" s="2" t="s">
        <v>5085</v>
      </c>
      <c r="E1808" s="2" t="s">
        <v>5086</v>
      </c>
      <c r="F1808" s="2" t="s">
        <v>5087</v>
      </c>
      <c r="G1808" s="2" t="s">
        <v>58</v>
      </c>
      <c r="H1808" s="2" t="s">
        <v>88</v>
      </c>
      <c r="I1808" s="2" t="s">
        <v>89</v>
      </c>
      <c r="J1808" s="2" t="s">
        <v>66</v>
      </c>
      <c r="K1808" s="2" t="s">
        <v>38</v>
      </c>
      <c r="L1808" s="2" t="s">
        <v>38</v>
      </c>
      <c r="M1808" s="2" t="s">
        <v>38</v>
      </c>
      <c r="N1808" s="2" t="s">
        <v>38</v>
      </c>
      <c r="O1808" s="2" t="s">
        <v>38</v>
      </c>
      <c r="P1808" s="2" t="s">
        <v>38</v>
      </c>
      <c r="Q1808" s="2" t="s">
        <v>38</v>
      </c>
      <c r="R1808" s="2" t="s">
        <v>38</v>
      </c>
      <c r="S1808" s="2" t="s">
        <v>38</v>
      </c>
      <c r="T1808" s="2" t="s">
        <v>39</v>
      </c>
      <c r="U1808" s="2" t="s">
        <v>38</v>
      </c>
      <c r="V1808" s="2" t="s">
        <v>38</v>
      </c>
      <c r="W1808" s="2" t="s">
        <v>38</v>
      </c>
      <c r="X1808" s="2" t="s">
        <v>39</v>
      </c>
      <c r="Y1808" s="2" t="s">
        <v>38</v>
      </c>
      <c r="Z1808" s="2" t="s">
        <v>38</v>
      </c>
      <c r="AA1808" s="2" t="s">
        <v>38</v>
      </c>
      <c r="AB1808" s="2" t="s">
        <v>38</v>
      </c>
      <c r="AC1808" s="2" t="s">
        <v>38</v>
      </c>
      <c r="AD1808" s="2" t="s">
        <v>38</v>
      </c>
      <c r="AE1808" s="2" t="s">
        <v>38</v>
      </c>
    </row>
    <row r="1809" spans="1:31" ht="409.5">
      <c r="A1809" s="2">
        <v>2501195</v>
      </c>
      <c r="B1809" s="2">
        <f>HYPERLINK("https://platform.v2.vetology.net/cases/2501195/screening-report/18?type=pdf&amp;v=v6&amp;scorecard=1&amp;secret_key=BX%25IJ%24%2F65ieZ%29f6", 2501195)</f>
        <v>2501195</v>
      </c>
      <c r="C1809" s="2">
        <f>HYPERLINK("https://platform.v2.vetology.net/report/v/final/"&amp;2501195, 2501195)</f>
        <v>2501195</v>
      </c>
      <c r="D1809" s="2" t="s">
        <v>5088</v>
      </c>
      <c r="E1809" s="2" t="s">
        <v>5089</v>
      </c>
      <c r="F1809" s="2" t="s">
        <v>81</v>
      </c>
      <c r="G1809" s="2" t="s">
        <v>150</v>
      </c>
      <c r="H1809" s="2" t="s">
        <v>162</v>
      </c>
      <c r="I1809" s="2" t="s">
        <v>124</v>
      </c>
      <c r="J1809" s="2" t="s">
        <v>125</v>
      </c>
      <c r="K1809" s="2" t="s">
        <v>38</v>
      </c>
      <c r="L1809" s="2" t="s">
        <v>38</v>
      </c>
      <c r="M1809" s="2" t="s">
        <v>39</v>
      </c>
      <c r="N1809" s="2" t="s">
        <v>38</v>
      </c>
      <c r="O1809" s="2" t="s">
        <v>38</v>
      </c>
      <c r="P1809" s="2" t="s">
        <v>38</v>
      </c>
      <c r="Q1809" s="2" t="s">
        <v>38</v>
      </c>
      <c r="R1809" s="2" t="s">
        <v>38</v>
      </c>
      <c r="S1809" s="2" t="s">
        <v>38</v>
      </c>
      <c r="T1809" s="2" t="s">
        <v>38</v>
      </c>
      <c r="U1809" s="2" t="s">
        <v>38</v>
      </c>
      <c r="V1809" s="2" t="s">
        <v>38</v>
      </c>
      <c r="W1809" s="2" t="s">
        <v>38</v>
      </c>
      <c r="X1809" s="2" t="s">
        <v>38</v>
      </c>
      <c r="Y1809" s="2" t="s">
        <v>38</v>
      </c>
      <c r="Z1809" s="2" t="s">
        <v>38</v>
      </c>
      <c r="AA1809" s="2" t="s">
        <v>38</v>
      </c>
      <c r="AB1809" s="2" t="s">
        <v>38</v>
      </c>
      <c r="AC1809" s="2" t="s">
        <v>38</v>
      </c>
      <c r="AD1809" s="2" t="s">
        <v>38</v>
      </c>
      <c r="AE1809" s="2" t="s">
        <v>38</v>
      </c>
    </row>
    <row r="1810" spans="1:31" ht="409.5">
      <c r="A1810" s="2">
        <v>2501035</v>
      </c>
      <c r="B1810" s="2">
        <f>HYPERLINK("https://platform.v2.vetology.net/cases/2501035/screening-report/18?type=pdf&amp;v=v6&amp;scorecard=1&amp;secret_key=BX%25IJ%24%2F65ieZ%29f6", 2501035)</f>
        <v>2501035</v>
      </c>
      <c r="C1810" s="2">
        <f>HYPERLINK("https://platform.v2.vetology.net/report/v/final/"&amp;2501035, 2501035)</f>
        <v>2501035</v>
      </c>
      <c r="D1810" s="2" t="s">
        <v>5090</v>
      </c>
      <c r="E1810" s="2" t="s">
        <v>5091</v>
      </c>
      <c r="F1810" s="2" t="s">
        <v>5092</v>
      </c>
      <c r="G1810" s="2" t="s">
        <v>268</v>
      </c>
      <c r="H1810" s="2" t="s">
        <v>5093</v>
      </c>
      <c r="I1810" s="2" t="s">
        <v>543</v>
      </c>
      <c r="J1810" s="2" t="s">
        <v>544</v>
      </c>
      <c r="K1810" s="2" t="s">
        <v>39</v>
      </c>
      <c r="L1810" s="2" t="s">
        <v>39</v>
      </c>
      <c r="M1810" s="2" t="s">
        <v>39</v>
      </c>
      <c r="N1810" s="2" t="s">
        <v>39</v>
      </c>
      <c r="O1810" s="2" t="s">
        <v>39</v>
      </c>
      <c r="P1810" s="2" t="s">
        <v>39</v>
      </c>
      <c r="Q1810" s="2" t="s">
        <v>39</v>
      </c>
      <c r="R1810" s="2" t="s">
        <v>39</v>
      </c>
      <c r="S1810" s="2" t="s">
        <v>39</v>
      </c>
      <c r="T1810" s="2" t="s">
        <v>39</v>
      </c>
      <c r="U1810" s="2" t="s">
        <v>39</v>
      </c>
      <c r="V1810" s="2" t="s">
        <v>39</v>
      </c>
      <c r="W1810" s="2" t="s">
        <v>38</v>
      </c>
      <c r="X1810" s="2" t="s">
        <v>39</v>
      </c>
      <c r="Y1810" s="2" t="s">
        <v>38</v>
      </c>
      <c r="Z1810" s="2" t="s">
        <v>39</v>
      </c>
      <c r="AA1810" s="2" t="s">
        <v>39</v>
      </c>
      <c r="AB1810" s="2" t="s">
        <v>39</v>
      </c>
      <c r="AC1810" s="2" t="s">
        <v>39</v>
      </c>
      <c r="AD1810" s="2" t="s">
        <v>38</v>
      </c>
      <c r="AE1810" s="2" t="s">
        <v>39</v>
      </c>
    </row>
    <row r="1811" spans="1:31" ht="409.5">
      <c r="A1811" s="2">
        <v>2500998</v>
      </c>
      <c r="B1811" s="2">
        <f>HYPERLINK("https://platform.v2.vetology.net/cases/2500998/screening-report/18?type=pdf&amp;v=v6&amp;scorecard=1&amp;secret_key=BX%25IJ%24%2F65ieZ%29f6", 2500998)</f>
        <v>2500998</v>
      </c>
      <c r="C1811" s="2">
        <f>HYPERLINK("https://platform.v2.vetology.net/report/v/final/"&amp;2500998, 2500998)</f>
        <v>2500998</v>
      </c>
      <c r="D1811" s="2" t="s">
        <v>5094</v>
      </c>
      <c r="E1811" s="2" t="s">
        <v>5095</v>
      </c>
      <c r="F1811" s="2" t="s">
        <v>5096</v>
      </c>
      <c r="G1811" s="2" t="s">
        <v>268</v>
      </c>
      <c r="H1811" s="2" t="s">
        <v>4924</v>
      </c>
      <c r="I1811" s="2" t="s">
        <v>137</v>
      </c>
      <c r="J1811" s="2" t="s">
        <v>66</v>
      </c>
      <c r="K1811" s="2" t="s">
        <v>38</v>
      </c>
      <c r="L1811" s="2" t="s">
        <v>38</v>
      </c>
      <c r="M1811" s="2" t="s">
        <v>38</v>
      </c>
      <c r="N1811" s="2" t="s">
        <v>38</v>
      </c>
      <c r="O1811" s="2" t="s">
        <v>38</v>
      </c>
      <c r="P1811" s="2" t="s">
        <v>38</v>
      </c>
      <c r="Q1811" s="2" t="s">
        <v>38</v>
      </c>
      <c r="R1811" s="2" t="s">
        <v>38</v>
      </c>
      <c r="S1811" s="2" t="s">
        <v>38</v>
      </c>
      <c r="T1811" s="2" t="s">
        <v>39</v>
      </c>
      <c r="U1811" s="2" t="s">
        <v>38</v>
      </c>
      <c r="V1811" s="2" t="s">
        <v>39</v>
      </c>
      <c r="W1811" s="2" t="s">
        <v>38</v>
      </c>
      <c r="X1811" s="2" t="s">
        <v>39</v>
      </c>
      <c r="Y1811" s="2" t="s">
        <v>38</v>
      </c>
      <c r="Z1811" s="2" t="s">
        <v>38</v>
      </c>
      <c r="AA1811" s="2" t="s">
        <v>38</v>
      </c>
      <c r="AB1811" s="2" t="s">
        <v>39</v>
      </c>
      <c r="AC1811" s="2" t="s">
        <v>38</v>
      </c>
      <c r="AD1811" s="2" t="s">
        <v>38</v>
      </c>
      <c r="AE1811" s="2" t="s">
        <v>38</v>
      </c>
    </row>
    <row r="1812" spans="1:31" ht="409.5">
      <c r="A1812" s="2">
        <v>2500369</v>
      </c>
      <c r="B1812" s="2">
        <f>HYPERLINK("https://platform.v2.vetology.net/cases/2500369/screening-report/18?type=pdf&amp;v=v6&amp;scorecard=1&amp;secret_key=BX%25IJ%24%2F65ieZ%29f6", 2500369)</f>
        <v>2500369</v>
      </c>
      <c r="C1812" s="2">
        <f>HYPERLINK("https://platform.v2.vetology.net/report/v/final/"&amp;2500369, 2500369)</f>
        <v>2500369</v>
      </c>
      <c r="D1812" s="2" t="s">
        <v>5097</v>
      </c>
      <c r="E1812" s="2" t="s">
        <v>5098</v>
      </c>
      <c r="F1812" s="2" t="s">
        <v>5099</v>
      </c>
      <c r="G1812" s="2" t="s">
        <v>268</v>
      </c>
      <c r="H1812" s="2" t="s">
        <v>71</v>
      </c>
      <c r="I1812" s="2" t="s">
        <v>44</v>
      </c>
      <c r="J1812" s="2"/>
      <c r="K1812" s="2" t="s">
        <v>38</v>
      </c>
      <c r="L1812" s="2" t="s">
        <v>39</v>
      </c>
      <c r="M1812" s="2" t="s">
        <v>39</v>
      </c>
      <c r="N1812" s="2" t="s">
        <v>38</v>
      </c>
      <c r="O1812" s="2" t="s">
        <v>38</v>
      </c>
      <c r="P1812" s="2" t="s">
        <v>39</v>
      </c>
      <c r="Q1812" s="2" t="s">
        <v>38</v>
      </c>
      <c r="R1812" s="2" t="s">
        <v>38</v>
      </c>
      <c r="S1812" s="2" t="s">
        <v>39</v>
      </c>
      <c r="T1812" s="2" t="s">
        <v>39</v>
      </c>
      <c r="U1812" s="2" t="s">
        <v>38</v>
      </c>
      <c r="V1812" s="2" t="s">
        <v>39</v>
      </c>
      <c r="W1812" s="2" t="s">
        <v>38</v>
      </c>
      <c r="X1812" s="2" t="s">
        <v>39</v>
      </c>
      <c r="Y1812" s="2" t="s">
        <v>38</v>
      </c>
      <c r="Z1812" s="2" t="s">
        <v>38</v>
      </c>
      <c r="AA1812" s="2" t="s">
        <v>38</v>
      </c>
      <c r="AB1812" s="2" t="s">
        <v>38</v>
      </c>
      <c r="AC1812" s="2" t="s">
        <v>38</v>
      </c>
      <c r="AD1812" s="2" t="s">
        <v>38</v>
      </c>
      <c r="AE1812" s="2" t="s">
        <v>38</v>
      </c>
    </row>
    <row r="1813" spans="1:31" ht="409.5">
      <c r="A1813" s="2">
        <v>2500325</v>
      </c>
      <c r="B1813" s="2">
        <f>HYPERLINK("https://platform.v2.vetology.net/cases/2500325/screening-report/18?type=pdf&amp;v=v6&amp;scorecard=1&amp;secret_key=BX%25IJ%24%2F65ieZ%29f6", 2500325)</f>
        <v>2500325</v>
      </c>
      <c r="C1813" s="2">
        <f>HYPERLINK("https://platform.v2.vetology.net/report/v/final/"&amp;2500325, 2500325)</f>
        <v>2500325</v>
      </c>
      <c r="D1813" s="2" t="s">
        <v>5100</v>
      </c>
      <c r="E1813" s="2" t="s">
        <v>5101</v>
      </c>
      <c r="F1813" s="2" t="s">
        <v>5102</v>
      </c>
      <c r="G1813" s="2" t="s">
        <v>268</v>
      </c>
      <c r="H1813" s="2" t="s">
        <v>78</v>
      </c>
      <c r="I1813" s="2" t="s">
        <v>44</v>
      </c>
      <c r="J1813" s="2" t="s">
        <v>106</v>
      </c>
      <c r="K1813" s="2" t="s">
        <v>38</v>
      </c>
      <c r="L1813" s="2" t="s">
        <v>38</v>
      </c>
      <c r="M1813" s="2" t="s">
        <v>38</v>
      </c>
      <c r="N1813" s="2" t="s">
        <v>38</v>
      </c>
      <c r="O1813" s="2" t="s">
        <v>38</v>
      </c>
      <c r="P1813" s="2" t="s">
        <v>38</v>
      </c>
      <c r="Q1813" s="2" t="s">
        <v>38</v>
      </c>
      <c r="R1813" s="2" t="s">
        <v>38</v>
      </c>
      <c r="S1813" s="2" t="s">
        <v>38</v>
      </c>
      <c r="T1813" s="2" t="s">
        <v>38</v>
      </c>
      <c r="U1813" s="2" t="s">
        <v>38</v>
      </c>
      <c r="V1813" s="2" t="s">
        <v>38</v>
      </c>
      <c r="W1813" s="2" t="s">
        <v>38</v>
      </c>
      <c r="X1813" s="2" t="s">
        <v>38</v>
      </c>
      <c r="Y1813" s="2" t="s">
        <v>38</v>
      </c>
      <c r="Z1813" s="2" t="s">
        <v>38</v>
      </c>
      <c r="AA1813" s="2" t="s">
        <v>38</v>
      </c>
      <c r="AB1813" s="2" t="s">
        <v>38</v>
      </c>
      <c r="AC1813" s="2" t="s">
        <v>38</v>
      </c>
      <c r="AD1813" s="2" t="s">
        <v>38</v>
      </c>
      <c r="AE1813" s="2" t="s">
        <v>38</v>
      </c>
    </row>
    <row r="1814" spans="1:31" ht="409.5">
      <c r="A1814" s="2">
        <v>2500307</v>
      </c>
      <c r="B1814" s="2">
        <f>HYPERLINK("https://platform.v2.vetology.net/cases/2500307/screening-report/18?type=pdf&amp;v=v6&amp;scorecard=1&amp;secret_key=BX%25IJ%24%2F65ieZ%29f6", 2500307)</f>
        <v>2500307</v>
      </c>
      <c r="C1814" s="2">
        <f>HYPERLINK("https://platform.v2.vetology.net/report/v/final/"&amp;2500307, 2500307)</f>
        <v>2500307</v>
      </c>
      <c r="D1814" s="2" t="s">
        <v>5103</v>
      </c>
      <c r="E1814" s="2" t="s">
        <v>5104</v>
      </c>
      <c r="F1814" s="2" t="s">
        <v>5105</v>
      </c>
      <c r="G1814" s="2" t="s">
        <v>268</v>
      </c>
      <c r="H1814" s="2" t="s">
        <v>5106</v>
      </c>
      <c r="I1814" s="2" t="s">
        <v>689</v>
      </c>
      <c r="J1814" s="2" t="s">
        <v>690</v>
      </c>
      <c r="K1814" s="2" t="s">
        <v>38</v>
      </c>
      <c r="L1814" s="2" t="s">
        <v>39</v>
      </c>
      <c r="M1814" s="2" t="s">
        <v>38</v>
      </c>
      <c r="N1814" s="2" t="s">
        <v>38</v>
      </c>
      <c r="O1814" s="2" t="s">
        <v>38</v>
      </c>
      <c r="P1814" s="2" t="s">
        <v>38</v>
      </c>
      <c r="Q1814" s="2" t="s">
        <v>38</v>
      </c>
      <c r="R1814" s="2" t="s">
        <v>38</v>
      </c>
      <c r="S1814" s="2" t="s">
        <v>38</v>
      </c>
      <c r="T1814" s="2" t="s">
        <v>39</v>
      </c>
      <c r="U1814" s="2" t="s">
        <v>38</v>
      </c>
      <c r="V1814" s="2" t="s">
        <v>38</v>
      </c>
      <c r="W1814" s="2" t="s">
        <v>38</v>
      </c>
      <c r="X1814" s="2" t="s">
        <v>39</v>
      </c>
      <c r="Y1814" s="2" t="s">
        <v>38</v>
      </c>
      <c r="Z1814" s="2" t="s">
        <v>39</v>
      </c>
      <c r="AA1814" s="2" t="s">
        <v>38</v>
      </c>
      <c r="AB1814" s="2" t="s">
        <v>38</v>
      </c>
      <c r="AC1814" s="2" t="s">
        <v>39</v>
      </c>
      <c r="AD1814" s="2" t="s">
        <v>38</v>
      </c>
      <c r="AE1814" s="2" t="s">
        <v>38</v>
      </c>
    </row>
    <row r="1815" spans="1:31" ht="409.5">
      <c r="A1815" s="2">
        <v>2500202</v>
      </c>
      <c r="B1815" s="2">
        <f>HYPERLINK("https://platform.v2.vetology.net/cases/2500202/screening-report/18?type=pdf&amp;v=v6&amp;scorecard=1&amp;secret_key=BX%25IJ%24%2F65ieZ%29f6", 2500202)</f>
        <v>2500202</v>
      </c>
      <c r="C1815" s="2">
        <f>HYPERLINK("https://platform.v2.vetology.net/report/v/final/"&amp;2500202, 2500202)</f>
        <v>2500202</v>
      </c>
      <c r="D1815" s="2" t="s">
        <v>5107</v>
      </c>
      <c r="E1815" s="2" t="s">
        <v>5108</v>
      </c>
      <c r="F1815" s="2" t="s">
        <v>5109</v>
      </c>
      <c r="G1815" s="2" t="s">
        <v>93</v>
      </c>
      <c r="H1815" s="2" t="s">
        <v>5110</v>
      </c>
      <c r="I1815" s="2" t="s">
        <v>957</v>
      </c>
      <c r="J1815" s="2" t="s">
        <v>66</v>
      </c>
      <c r="K1815" s="2" t="s">
        <v>38</v>
      </c>
      <c r="L1815" s="2" t="s">
        <v>39</v>
      </c>
      <c r="M1815" s="2" t="s">
        <v>39</v>
      </c>
      <c r="N1815" s="2" t="s">
        <v>38</v>
      </c>
      <c r="O1815" s="2" t="s">
        <v>39</v>
      </c>
      <c r="P1815" s="2" t="s">
        <v>38</v>
      </c>
      <c r="Q1815" s="2" t="s">
        <v>38</v>
      </c>
      <c r="R1815" s="2" t="s">
        <v>38</v>
      </c>
      <c r="S1815" s="2" t="s">
        <v>38</v>
      </c>
      <c r="T1815" s="2" t="s">
        <v>39</v>
      </c>
      <c r="U1815" s="2" t="s">
        <v>38</v>
      </c>
      <c r="V1815" s="2" t="s">
        <v>39</v>
      </c>
      <c r="W1815" s="2" t="s">
        <v>38</v>
      </c>
      <c r="X1815" s="2" t="s">
        <v>39</v>
      </c>
      <c r="Y1815" s="2" t="s">
        <v>38</v>
      </c>
      <c r="Z1815" s="2" t="s">
        <v>39</v>
      </c>
      <c r="AA1815" s="2" t="s">
        <v>38</v>
      </c>
      <c r="AB1815" s="2" t="s">
        <v>39</v>
      </c>
      <c r="AC1815" s="2" t="s">
        <v>39</v>
      </c>
      <c r="AD1815" s="2" t="s">
        <v>38</v>
      </c>
      <c r="AE1815" s="2" t="s">
        <v>38</v>
      </c>
    </row>
    <row r="1816" spans="1:31" ht="409.5">
      <c r="A1816" s="2">
        <v>2500100</v>
      </c>
      <c r="B1816" s="2">
        <f>HYPERLINK("https://platform.v2.vetology.net/cases/2500100/screening-report/18?type=pdf&amp;v=v6&amp;scorecard=1&amp;secret_key=BX%25IJ%24%2F65ieZ%29f6", 2500100)</f>
        <v>2500100</v>
      </c>
      <c r="C1816" s="2">
        <f>HYPERLINK("https://platform.v2.vetology.net/report/v/final/"&amp;2500100, 2500100)</f>
        <v>2500100</v>
      </c>
      <c r="D1816" s="2" t="s">
        <v>5111</v>
      </c>
      <c r="E1816" s="2" t="s">
        <v>5112</v>
      </c>
      <c r="F1816" s="2" t="s">
        <v>5113</v>
      </c>
      <c r="G1816" s="2" t="s">
        <v>58</v>
      </c>
      <c r="H1816" s="2" t="s">
        <v>733</v>
      </c>
      <c r="I1816" s="2" t="s">
        <v>158</v>
      </c>
      <c r="J1816" s="2" t="s">
        <v>50</v>
      </c>
      <c r="K1816" s="2" t="s">
        <v>38</v>
      </c>
      <c r="L1816" s="2" t="s">
        <v>39</v>
      </c>
      <c r="M1816" s="2" t="s">
        <v>39</v>
      </c>
      <c r="N1816" s="2" t="s">
        <v>38</v>
      </c>
      <c r="O1816" s="2" t="s">
        <v>38</v>
      </c>
      <c r="P1816" s="2" t="s">
        <v>38</v>
      </c>
      <c r="Q1816" s="2" t="s">
        <v>38</v>
      </c>
      <c r="R1816" s="2" t="s">
        <v>38</v>
      </c>
      <c r="S1816" s="2" t="s">
        <v>38</v>
      </c>
      <c r="T1816" s="2" t="s">
        <v>38</v>
      </c>
      <c r="U1816" s="2" t="s">
        <v>38</v>
      </c>
      <c r="V1816" s="2" t="s">
        <v>38</v>
      </c>
      <c r="W1816" s="2" t="s">
        <v>38</v>
      </c>
      <c r="X1816" s="2" t="s">
        <v>38</v>
      </c>
      <c r="Y1816" s="2" t="s">
        <v>38</v>
      </c>
      <c r="Z1816" s="2" t="s">
        <v>39</v>
      </c>
      <c r="AA1816" s="2" t="s">
        <v>38</v>
      </c>
      <c r="AB1816" s="2" t="s">
        <v>39</v>
      </c>
      <c r="AC1816" s="2" t="s">
        <v>38</v>
      </c>
      <c r="AD1816" s="2" t="s">
        <v>38</v>
      </c>
      <c r="AE1816" s="2" t="s">
        <v>38</v>
      </c>
    </row>
    <row r="1817" spans="1:31" ht="409.5">
      <c r="A1817" s="2">
        <v>2499523</v>
      </c>
      <c r="B1817" s="2">
        <f>HYPERLINK("https://platform.v2.vetology.net/cases/2499523/screening-report/18?type=pdf&amp;v=v6&amp;scorecard=1&amp;secret_key=BX%25IJ%24%2F65ieZ%29f6", 2499523)</f>
        <v>2499523</v>
      </c>
      <c r="C1817" s="2">
        <f>HYPERLINK("https://platform.v2.vetology.net/report/v/final/"&amp;2499523, 2499523)</f>
        <v>2499523</v>
      </c>
      <c r="D1817" s="2" t="s">
        <v>1256</v>
      </c>
      <c r="E1817" s="2" t="s">
        <v>295</v>
      </c>
      <c r="F1817" s="2" t="s">
        <v>5114</v>
      </c>
      <c r="G1817" s="2" t="s">
        <v>135</v>
      </c>
      <c r="H1817" s="2" t="s">
        <v>360</v>
      </c>
      <c r="I1817" s="2" t="s">
        <v>284</v>
      </c>
      <c r="J1817" s="2" t="s">
        <v>285</v>
      </c>
      <c r="K1817" s="2" t="s">
        <v>38</v>
      </c>
      <c r="L1817" s="2" t="s">
        <v>38</v>
      </c>
      <c r="M1817" s="2" t="s">
        <v>38</v>
      </c>
      <c r="N1817" s="2" t="s">
        <v>38</v>
      </c>
      <c r="O1817" s="2" t="s">
        <v>38</v>
      </c>
      <c r="P1817" s="2" t="s">
        <v>38</v>
      </c>
      <c r="Q1817" s="2" t="s">
        <v>38</v>
      </c>
      <c r="R1817" s="2" t="s">
        <v>38</v>
      </c>
      <c r="S1817" s="2" t="s">
        <v>38</v>
      </c>
      <c r="T1817" s="2" t="s">
        <v>38</v>
      </c>
      <c r="U1817" s="2" t="s">
        <v>38</v>
      </c>
      <c r="V1817" s="2" t="s">
        <v>38</v>
      </c>
      <c r="W1817" s="2" t="s">
        <v>38</v>
      </c>
      <c r="X1817" s="2" t="s">
        <v>38</v>
      </c>
      <c r="Y1817" s="2" t="s">
        <v>38</v>
      </c>
      <c r="Z1817" s="2" t="s">
        <v>38</v>
      </c>
      <c r="AA1817" s="2" t="s">
        <v>38</v>
      </c>
      <c r="AB1817" s="2" t="s">
        <v>38</v>
      </c>
      <c r="AC1817" s="2" t="s">
        <v>38</v>
      </c>
      <c r="AD1817" s="2" t="s">
        <v>38</v>
      </c>
      <c r="AE1817" s="2" t="s">
        <v>38</v>
      </c>
    </row>
    <row r="1818" spans="1:31" ht="409.5">
      <c r="A1818" s="2">
        <v>2498108</v>
      </c>
      <c r="B1818" s="2">
        <f>HYPERLINK("https://platform.v2.vetology.net/cases/2498108/screening-report/18?type=pdf&amp;v=v6&amp;scorecard=1&amp;secret_key=BX%25IJ%24%2F65ieZ%29f6", 2498108)</f>
        <v>2498108</v>
      </c>
      <c r="C1818" s="2">
        <f>HYPERLINK("https://platform.v2.vetology.net/report/v/final/"&amp;2498108, 2498108)</f>
        <v>2498108</v>
      </c>
      <c r="D1818" s="2" t="s">
        <v>5115</v>
      </c>
      <c r="E1818" s="2" t="s">
        <v>5116</v>
      </c>
      <c r="F1818" s="2" t="s">
        <v>81</v>
      </c>
      <c r="G1818" s="2" t="s">
        <v>268</v>
      </c>
      <c r="H1818" s="2" t="s">
        <v>54</v>
      </c>
      <c r="I1818" s="2" t="s">
        <v>199</v>
      </c>
      <c r="J1818" s="2"/>
      <c r="K1818" s="2" t="s">
        <v>38</v>
      </c>
      <c r="L1818" s="2" t="s">
        <v>39</v>
      </c>
      <c r="M1818" s="2" t="s">
        <v>39</v>
      </c>
      <c r="N1818" s="2" t="s">
        <v>38</v>
      </c>
      <c r="O1818" s="2" t="s">
        <v>38</v>
      </c>
      <c r="P1818" s="2" t="s">
        <v>39</v>
      </c>
      <c r="Q1818" s="2" t="s">
        <v>38</v>
      </c>
      <c r="R1818" s="2" t="s">
        <v>38</v>
      </c>
      <c r="S1818" s="2" t="s">
        <v>38</v>
      </c>
      <c r="T1818" s="2" t="s">
        <v>39</v>
      </c>
      <c r="U1818" s="2" t="s">
        <v>38</v>
      </c>
      <c r="V1818" s="2" t="s">
        <v>38</v>
      </c>
      <c r="W1818" s="2" t="s">
        <v>38</v>
      </c>
      <c r="X1818" s="2" t="s">
        <v>39</v>
      </c>
      <c r="Y1818" s="2" t="s">
        <v>38</v>
      </c>
      <c r="Z1818" s="2" t="s">
        <v>38</v>
      </c>
      <c r="AA1818" s="2" t="s">
        <v>38</v>
      </c>
      <c r="AB1818" s="2" t="s">
        <v>39</v>
      </c>
      <c r="AC1818" s="2" t="s">
        <v>38</v>
      </c>
      <c r="AD1818" s="2" t="s">
        <v>38</v>
      </c>
      <c r="AE1818" s="2" t="s">
        <v>38</v>
      </c>
    </row>
    <row r="1819" spans="1:31" ht="409.5">
      <c r="A1819" s="2">
        <v>2498005</v>
      </c>
      <c r="B1819" s="2">
        <f>HYPERLINK("https://platform.v2.vetology.net/cases/2498005/screening-report/18?type=pdf&amp;v=v6&amp;scorecard=1&amp;secret_key=BX%25IJ%24%2F65ieZ%29f6", 2498005)</f>
        <v>2498005</v>
      </c>
      <c r="C1819" s="2">
        <f>HYPERLINK("https://platform.v2.vetology.net/report/v/final/"&amp;2498005, 2498005)</f>
        <v>2498005</v>
      </c>
      <c r="D1819" s="2" t="s">
        <v>5117</v>
      </c>
      <c r="E1819" s="2" t="s">
        <v>5118</v>
      </c>
      <c r="F1819" s="2"/>
      <c r="G1819" s="2" t="s">
        <v>150</v>
      </c>
      <c r="H1819" s="2" t="s">
        <v>5119</v>
      </c>
      <c r="I1819" s="2" t="s">
        <v>1102</v>
      </c>
      <c r="J1819" s="2" t="s">
        <v>307</v>
      </c>
      <c r="K1819" s="2" t="s">
        <v>38</v>
      </c>
      <c r="L1819" s="2" t="s">
        <v>39</v>
      </c>
      <c r="M1819" s="2" t="s">
        <v>38</v>
      </c>
      <c r="N1819" s="2" t="s">
        <v>39</v>
      </c>
      <c r="O1819" s="2" t="s">
        <v>38</v>
      </c>
      <c r="P1819" s="2" t="s">
        <v>38</v>
      </c>
      <c r="Q1819" s="2" t="s">
        <v>38</v>
      </c>
      <c r="R1819" s="2" t="s">
        <v>38</v>
      </c>
      <c r="S1819" s="2" t="s">
        <v>38</v>
      </c>
      <c r="T1819" s="2" t="s">
        <v>38</v>
      </c>
      <c r="U1819" s="2" t="s">
        <v>38</v>
      </c>
      <c r="V1819" s="2" t="s">
        <v>38</v>
      </c>
      <c r="W1819" s="2" t="s">
        <v>38</v>
      </c>
      <c r="X1819" s="2" t="s">
        <v>38</v>
      </c>
      <c r="Y1819" s="2" t="s">
        <v>38</v>
      </c>
      <c r="Z1819" s="2" t="s">
        <v>38</v>
      </c>
      <c r="AA1819" s="2" t="s">
        <v>38</v>
      </c>
      <c r="AB1819" s="2" t="s">
        <v>39</v>
      </c>
      <c r="AC1819" s="2" t="s">
        <v>38</v>
      </c>
      <c r="AD1819" s="2" t="s">
        <v>38</v>
      </c>
      <c r="AE1819" s="2" t="s">
        <v>38</v>
      </c>
    </row>
    <row r="1820" spans="1:31" ht="409.5">
      <c r="A1820" s="2">
        <v>2497866</v>
      </c>
      <c r="B1820" s="2">
        <f>HYPERLINK("https://platform.v2.vetology.net/cases/2497866/screening-report/18?type=pdf&amp;v=v6&amp;scorecard=1&amp;secret_key=BX%25IJ%24%2F65ieZ%29f6", 2497866)</f>
        <v>2497866</v>
      </c>
      <c r="C1820" s="2">
        <f>HYPERLINK("https://platform.v2.vetology.net/report/v/final/"&amp;2497866, 2497866)</f>
        <v>2497866</v>
      </c>
      <c r="D1820" s="2" t="s">
        <v>5120</v>
      </c>
      <c r="E1820" s="2" t="s">
        <v>5121</v>
      </c>
      <c r="F1820" s="2" t="s">
        <v>3246</v>
      </c>
      <c r="G1820" s="2" t="s">
        <v>93</v>
      </c>
      <c r="H1820" s="2" t="s">
        <v>609</v>
      </c>
      <c r="I1820" s="2" t="s">
        <v>152</v>
      </c>
      <c r="J1820" s="2" t="s">
        <v>153</v>
      </c>
      <c r="K1820" s="2" t="s">
        <v>38</v>
      </c>
      <c r="L1820" s="2" t="s">
        <v>39</v>
      </c>
      <c r="M1820" s="2" t="s">
        <v>39</v>
      </c>
      <c r="N1820" s="2" t="s">
        <v>38</v>
      </c>
      <c r="O1820" s="2" t="s">
        <v>38</v>
      </c>
      <c r="P1820" s="2" t="s">
        <v>39</v>
      </c>
      <c r="Q1820" s="2" t="s">
        <v>39</v>
      </c>
      <c r="R1820" s="2" t="s">
        <v>38</v>
      </c>
      <c r="S1820" s="2" t="s">
        <v>38</v>
      </c>
      <c r="T1820" s="2" t="s">
        <v>38</v>
      </c>
      <c r="U1820" s="2" t="s">
        <v>38</v>
      </c>
      <c r="V1820" s="2" t="s">
        <v>38</v>
      </c>
      <c r="W1820" s="2" t="s">
        <v>38</v>
      </c>
      <c r="X1820" s="2" t="s">
        <v>38</v>
      </c>
      <c r="Y1820" s="2" t="s">
        <v>38</v>
      </c>
      <c r="Z1820" s="2" t="s">
        <v>38</v>
      </c>
      <c r="AA1820" s="2" t="s">
        <v>38</v>
      </c>
      <c r="AB1820" s="2" t="s">
        <v>39</v>
      </c>
      <c r="AC1820" s="2" t="s">
        <v>38</v>
      </c>
      <c r="AD1820" s="2" t="s">
        <v>38</v>
      </c>
      <c r="AE1820" s="2" t="s">
        <v>38</v>
      </c>
    </row>
    <row r="1821" spans="1:31" ht="409.5">
      <c r="A1821" s="2">
        <v>2497796</v>
      </c>
      <c r="B1821" s="2">
        <f>HYPERLINK("https://platform.v2.vetology.net/cases/2497796/screening-report/18?type=pdf&amp;v=v6&amp;scorecard=1&amp;secret_key=BX%25IJ%24%2F65ieZ%29f6", 2497796)</f>
        <v>2497796</v>
      </c>
      <c r="C1821" s="2">
        <f>HYPERLINK("https://platform.v2.vetology.net/report/v/final/"&amp;2497796, 2497796)</f>
        <v>2497796</v>
      </c>
      <c r="D1821" s="2" t="s">
        <v>5122</v>
      </c>
      <c r="E1821" s="2" t="s">
        <v>5123</v>
      </c>
      <c r="F1821" s="2" t="s">
        <v>5124</v>
      </c>
      <c r="G1821" s="2" t="s">
        <v>70</v>
      </c>
      <c r="H1821" s="2" t="s">
        <v>2050</v>
      </c>
      <c r="I1821" s="2" t="s">
        <v>270</v>
      </c>
      <c r="J1821" s="2" t="s">
        <v>66</v>
      </c>
      <c r="K1821" s="2" t="s">
        <v>38</v>
      </c>
      <c r="L1821" s="2" t="s">
        <v>39</v>
      </c>
      <c r="M1821" s="2" t="s">
        <v>39</v>
      </c>
      <c r="N1821" s="2" t="s">
        <v>38</v>
      </c>
      <c r="O1821" s="2" t="s">
        <v>39</v>
      </c>
      <c r="P1821" s="2" t="s">
        <v>39</v>
      </c>
      <c r="Q1821" s="2" t="s">
        <v>38</v>
      </c>
      <c r="R1821" s="2" t="s">
        <v>38</v>
      </c>
      <c r="S1821" s="2" t="s">
        <v>39</v>
      </c>
      <c r="T1821" s="2" t="s">
        <v>39</v>
      </c>
      <c r="U1821" s="2" t="s">
        <v>38</v>
      </c>
      <c r="V1821" s="2" t="s">
        <v>39</v>
      </c>
      <c r="W1821" s="2" t="s">
        <v>38</v>
      </c>
      <c r="X1821" s="2" t="s">
        <v>39</v>
      </c>
      <c r="Y1821" s="2" t="s">
        <v>38</v>
      </c>
      <c r="Z1821" s="2" t="s">
        <v>39</v>
      </c>
      <c r="AA1821" s="2" t="s">
        <v>38</v>
      </c>
      <c r="AB1821" s="2" t="s">
        <v>38</v>
      </c>
      <c r="AC1821" s="2" t="s">
        <v>38</v>
      </c>
      <c r="AD1821" s="2" t="s">
        <v>38</v>
      </c>
      <c r="AE1821" s="2" t="s">
        <v>38</v>
      </c>
    </row>
    <row r="1822" spans="1:31" ht="409.5">
      <c r="A1822" s="2">
        <v>2497791</v>
      </c>
      <c r="B1822" s="2">
        <f>HYPERLINK("https://platform.v2.vetology.net/cases/2497791/screening-report/18?type=pdf&amp;v=v6&amp;scorecard=1&amp;secret_key=BX%25IJ%24%2F65ieZ%29f6", 2497791)</f>
        <v>2497791</v>
      </c>
      <c r="C1822" s="2">
        <f>HYPERLINK("https://platform.v2.vetology.net/report/v/final/"&amp;2497791, 2497791)</f>
        <v>2497791</v>
      </c>
      <c r="D1822" s="2" t="s">
        <v>5125</v>
      </c>
      <c r="E1822" s="2" t="s">
        <v>5126</v>
      </c>
      <c r="F1822" s="2" t="s">
        <v>5127</v>
      </c>
      <c r="G1822" s="2" t="s">
        <v>268</v>
      </c>
      <c r="H1822" s="2" t="s">
        <v>1552</v>
      </c>
      <c r="I1822" s="2" t="s">
        <v>264</v>
      </c>
      <c r="J1822" s="2" t="s">
        <v>265</v>
      </c>
      <c r="K1822" s="2" t="s">
        <v>38</v>
      </c>
      <c r="L1822" s="2" t="s">
        <v>39</v>
      </c>
      <c r="M1822" s="2" t="s">
        <v>39</v>
      </c>
      <c r="N1822" s="2" t="s">
        <v>38</v>
      </c>
      <c r="O1822" s="2" t="s">
        <v>39</v>
      </c>
      <c r="P1822" s="2" t="s">
        <v>39</v>
      </c>
      <c r="Q1822" s="2" t="s">
        <v>38</v>
      </c>
      <c r="R1822" s="2" t="s">
        <v>38</v>
      </c>
      <c r="S1822" s="2" t="s">
        <v>38</v>
      </c>
      <c r="T1822" s="2" t="s">
        <v>39</v>
      </c>
      <c r="U1822" s="2" t="s">
        <v>38</v>
      </c>
      <c r="V1822" s="2" t="s">
        <v>39</v>
      </c>
      <c r="W1822" s="2" t="s">
        <v>38</v>
      </c>
      <c r="X1822" s="2" t="s">
        <v>39</v>
      </c>
      <c r="Y1822" s="2" t="s">
        <v>38</v>
      </c>
      <c r="Z1822" s="2" t="s">
        <v>39</v>
      </c>
      <c r="AA1822" s="2" t="s">
        <v>38</v>
      </c>
      <c r="AB1822" s="2" t="s">
        <v>39</v>
      </c>
      <c r="AC1822" s="2" t="s">
        <v>39</v>
      </c>
      <c r="AD1822" s="2" t="s">
        <v>38</v>
      </c>
      <c r="AE1822" s="2" t="s">
        <v>38</v>
      </c>
    </row>
    <row r="1823" spans="1:31" ht="409.5">
      <c r="A1823" s="2">
        <v>2497746</v>
      </c>
      <c r="B1823" s="2">
        <f>HYPERLINK("https://platform.v2.vetology.net/cases/2497746/screening-report/18?type=pdf&amp;v=v6&amp;scorecard=1&amp;secret_key=BX%25IJ%24%2F65ieZ%29f6", 2497746)</f>
        <v>2497746</v>
      </c>
      <c r="C1823" s="2">
        <f>HYPERLINK("https://platform.v2.vetology.net/report/v/final/"&amp;2497746, 2497746)</f>
        <v>2497746</v>
      </c>
      <c r="D1823" s="2" t="s">
        <v>5128</v>
      </c>
      <c r="E1823" s="2" t="s">
        <v>5129</v>
      </c>
      <c r="F1823" s="2" t="s">
        <v>81</v>
      </c>
      <c r="G1823" s="2" t="s">
        <v>268</v>
      </c>
      <c r="H1823" s="2" t="s">
        <v>607</v>
      </c>
      <c r="I1823" s="2" t="s">
        <v>137</v>
      </c>
      <c r="J1823" s="2" t="s">
        <v>66</v>
      </c>
      <c r="K1823" s="2" t="s">
        <v>38</v>
      </c>
      <c r="L1823" s="2" t="s">
        <v>38</v>
      </c>
      <c r="M1823" s="2" t="s">
        <v>38</v>
      </c>
      <c r="N1823" s="2" t="s">
        <v>38</v>
      </c>
      <c r="O1823" s="2" t="s">
        <v>38</v>
      </c>
      <c r="P1823" s="2" t="s">
        <v>38</v>
      </c>
      <c r="Q1823" s="2" t="s">
        <v>38</v>
      </c>
      <c r="R1823" s="2" t="s">
        <v>38</v>
      </c>
      <c r="S1823" s="2" t="s">
        <v>38</v>
      </c>
      <c r="T1823" s="2" t="s">
        <v>38</v>
      </c>
      <c r="U1823" s="2" t="s">
        <v>38</v>
      </c>
      <c r="V1823" s="2" t="s">
        <v>38</v>
      </c>
      <c r="W1823" s="2" t="s">
        <v>38</v>
      </c>
      <c r="X1823" s="2" t="s">
        <v>38</v>
      </c>
      <c r="Y1823" s="2" t="s">
        <v>38</v>
      </c>
      <c r="Z1823" s="2" t="s">
        <v>38</v>
      </c>
      <c r="AA1823" s="2" t="s">
        <v>38</v>
      </c>
      <c r="AB1823" s="2" t="s">
        <v>38</v>
      </c>
      <c r="AC1823" s="2" t="s">
        <v>38</v>
      </c>
      <c r="AD1823" s="2" t="s">
        <v>38</v>
      </c>
      <c r="AE1823" s="2" t="s">
        <v>38</v>
      </c>
    </row>
    <row r="1824" spans="1:31" ht="409.5">
      <c r="A1824" s="2">
        <v>2497644</v>
      </c>
      <c r="B1824" s="2">
        <f>HYPERLINK("https://platform.v2.vetology.net/cases/2497644/screening-report/18?type=pdf&amp;v=v6&amp;scorecard=1&amp;secret_key=BX%25IJ%24%2F65ieZ%29f6", 2497644)</f>
        <v>2497644</v>
      </c>
      <c r="C1824" s="2">
        <f>HYPERLINK("https://platform.v2.vetology.net/report/v/final/"&amp;2497644, 2497644)</f>
        <v>2497644</v>
      </c>
      <c r="D1824" s="2" t="s">
        <v>5130</v>
      </c>
      <c r="E1824" s="2" t="s">
        <v>5131</v>
      </c>
      <c r="F1824" s="2" t="s">
        <v>5132</v>
      </c>
      <c r="G1824" s="2" t="s">
        <v>58</v>
      </c>
      <c r="H1824" s="2" t="s">
        <v>502</v>
      </c>
      <c r="I1824" s="2" t="s">
        <v>503</v>
      </c>
      <c r="J1824" s="2" t="s">
        <v>66</v>
      </c>
      <c r="K1824" s="2" t="s">
        <v>38</v>
      </c>
      <c r="L1824" s="2" t="s">
        <v>39</v>
      </c>
      <c r="M1824" s="2" t="s">
        <v>38</v>
      </c>
      <c r="N1824" s="2" t="s">
        <v>39</v>
      </c>
      <c r="O1824" s="2" t="s">
        <v>39</v>
      </c>
      <c r="P1824" s="2" t="s">
        <v>39</v>
      </c>
      <c r="Q1824" s="2" t="s">
        <v>38</v>
      </c>
      <c r="R1824" s="2" t="s">
        <v>38</v>
      </c>
      <c r="S1824" s="2" t="s">
        <v>38</v>
      </c>
      <c r="T1824" s="2" t="s">
        <v>39</v>
      </c>
      <c r="U1824" s="2" t="s">
        <v>38</v>
      </c>
      <c r="V1824" s="2" t="s">
        <v>38</v>
      </c>
      <c r="W1824" s="2" t="s">
        <v>38</v>
      </c>
      <c r="X1824" s="2" t="s">
        <v>39</v>
      </c>
      <c r="Y1824" s="2" t="s">
        <v>38</v>
      </c>
      <c r="Z1824" s="2" t="s">
        <v>39</v>
      </c>
      <c r="AA1824" s="2" t="s">
        <v>38</v>
      </c>
      <c r="AB1824" s="2" t="s">
        <v>39</v>
      </c>
      <c r="AC1824" s="2" t="s">
        <v>39</v>
      </c>
      <c r="AD1824" s="2" t="s">
        <v>38</v>
      </c>
      <c r="AE1824" s="2" t="s">
        <v>39</v>
      </c>
    </row>
    <row r="1825" spans="1:31" ht="409.5">
      <c r="A1825" s="2">
        <v>2497220</v>
      </c>
      <c r="B1825" s="2">
        <f>HYPERLINK("https://platform.v2.vetology.net/cases/2497220/screening-report/18?type=pdf&amp;v=v6&amp;scorecard=1&amp;secret_key=BX%25IJ%24%2F65ieZ%29f6", 2497220)</f>
        <v>2497220</v>
      </c>
      <c r="C1825" s="2">
        <f>HYPERLINK("https://platform.v2.vetology.net/report/v/final/"&amp;2497220, 2497220)</f>
        <v>2497220</v>
      </c>
      <c r="D1825" s="2" t="s">
        <v>5133</v>
      </c>
      <c r="E1825" s="2" t="s">
        <v>4044</v>
      </c>
      <c r="F1825" s="2" t="s">
        <v>5134</v>
      </c>
      <c r="G1825" s="2" t="s">
        <v>82</v>
      </c>
      <c r="H1825" s="2" t="s">
        <v>5135</v>
      </c>
      <c r="I1825" s="2" t="s">
        <v>36</v>
      </c>
      <c r="J1825" s="2" t="s">
        <v>37</v>
      </c>
      <c r="K1825" s="2" t="s">
        <v>38</v>
      </c>
      <c r="L1825" s="2" t="s">
        <v>38</v>
      </c>
      <c r="M1825" s="2" t="s">
        <v>38</v>
      </c>
      <c r="N1825" s="2" t="s">
        <v>38</v>
      </c>
      <c r="O1825" s="2" t="s">
        <v>38</v>
      </c>
      <c r="P1825" s="2" t="s">
        <v>38</v>
      </c>
      <c r="Q1825" s="2" t="s">
        <v>38</v>
      </c>
      <c r="R1825" s="2" t="s">
        <v>38</v>
      </c>
      <c r="S1825" s="2" t="s">
        <v>38</v>
      </c>
      <c r="T1825" s="2" t="s">
        <v>38</v>
      </c>
      <c r="U1825" s="2" t="s">
        <v>38</v>
      </c>
      <c r="V1825" s="2" t="s">
        <v>38</v>
      </c>
      <c r="W1825" s="2" t="s">
        <v>38</v>
      </c>
      <c r="X1825" s="2" t="s">
        <v>38</v>
      </c>
      <c r="Y1825" s="2" t="s">
        <v>38</v>
      </c>
      <c r="Z1825" s="2" t="s">
        <v>38</v>
      </c>
      <c r="AA1825" s="2" t="s">
        <v>38</v>
      </c>
      <c r="AB1825" s="2" t="s">
        <v>38</v>
      </c>
      <c r="AC1825" s="2" t="s">
        <v>38</v>
      </c>
      <c r="AD1825" s="2" t="s">
        <v>38</v>
      </c>
      <c r="AE1825" s="2" t="s">
        <v>38</v>
      </c>
    </row>
    <row r="1826" spans="1:31" ht="409.5">
      <c r="A1826" s="2">
        <v>2497082</v>
      </c>
      <c r="B1826" s="2">
        <f>HYPERLINK("https://platform.v2.vetology.net/cases/2497082/screening-report/18?type=pdf&amp;v=v6&amp;scorecard=1&amp;secret_key=BX%25IJ%24%2F65ieZ%29f6", 2497082)</f>
        <v>2497082</v>
      </c>
      <c r="C1826" s="2">
        <f>HYPERLINK("https://platform.v2.vetology.net/report/v/final/"&amp;2497082, 2497082)</f>
        <v>2497082</v>
      </c>
      <c r="D1826" s="2" t="s">
        <v>5136</v>
      </c>
      <c r="E1826" s="2" t="s">
        <v>5137</v>
      </c>
      <c r="F1826" s="2" t="s">
        <v>2793</v>
      </c>
      <c r="G1826" s="2" t="s">
        <v>70</v>
      </c>
      <c r="H1826" s="2" t="s">
        <v>54</v>
      </c>
      <c r="I1826" s="2" t="s">
        <v>44</v>
      </c>
      <c r="J1826" s="2"/>
      <c r="K1826" s="2" t="s">
        <v>38</v>
      </c>
      <c r="L1826" s="2" t="s">
        <v>38</v>
      </c>
      <c r="M1826" s="2" t="s">
        <v>38</v>
      </c>
      <c r="N1826" s="2" t="s">
        <v>38</v>
      </c>
      <c r="O1826" s="2" t="s">
        <v>38</v>
      </c>
      <c r="P1826" s="2" t="s">
        <v>38</v>
      </c>
      <c r="Q1826" s="2" t="s">
        <v>38</v>
      </c>
      <c r="R1826" s="2" t="s">
        <v>38</v>
      </c>
      <c r="S1826" s="2" t="s">
        <v>38</v>
      </c>
      <c r="T1826" s="2" t="s">
        <v>38</v>
      </c>
      <c r="U1826" s="2" t="s">
        <v>38</v>
      </c>
      <c r="V1826" s="2" t="s">
        <v>38</v>
      </c>
      <c r="W1826" s="2" t="s">
        <v>38</v>
      </c>
      <c r="X1826" s="2" t="s">
        <v>38</v>
      </c>
      <c r="Y1826" s="2" t="s">
        <v>38</v>
      </c>
      <c r="Z1826" s="2" t="s">
        <v>39</v>
      </c>
      <c r="AA1826" s="2" t="s">
        <v>38</v>
      </c>
      <c r="AB1826" s="2" t="s">
        <v>38</v>
      </c>
      <c r="AC1826" s="2" t="s">
        <v>38</v>
      </c>
      <c r="AD1826" s="2" t="s">
        <v>38</v>
      </c>
      <c r="AE1826" s="2" t="s">
        <v>38</v>
      </c>
    </row>
    <row r="1827" spans="1:31" ht="409.5">
      <c r="A1827" s="2">
        <v>2496827</v>
      </c>
      <c r="B1827" s="2">
        <f>HYPERLINK("https://platform.v2.vetology.net/cases/2496827/screening-report/18?type=pdf&amp;v=v6&amp;scorecard=1&amp;secret_key=BX%25IJ%24%2F65ieZ%29f6", 2496827)</f>
        <v>2496827</v>
      </c>
      <c r="C1827" s="2">
        <f>HYPERLINK("https://platform.v2.vetology.net/report/v/final/"&amp;2496827, 2496827)</f>
        <v>2496827</v>
      </c>
      <c r="D1827" s="2" t="s">
        <v>5138</v>
      </c>
      <c r="E1827" s="2" t="s">
        <v>5139</v>
      </c>
      <c r="F1827" s="2" t="s">
        <v>5140</v>
      </c>
      <c r="G1827" s="2" t="s">
        <v>58</v>
      </c>
      <c r="H1827" s="2" t="s">
        <v>889</v>
      </c>
      <c r="I1827" s="2" t="s">
        <v>49</v>
      </c>
      <c r="J1827" s="2" t="s">
        <v>50</v>
      </c>
      <c r="K1827" s="2" t="s">
        <v>39</v>
      </c>
      <c r="L1827" s="2" t="s">
        <v>39</v>
      </c>
      <c r="M1827" s="2" t="s">
        <v>39</v>
      </c>
      <c r="N1827" s="2" t="s">
        <v>38</v>
      </c>
      <c r="O1827" s="2" t="s">
        <v>38</v>
      </c>
      <c r="P1827" s="2" t="s">
        <v>38</v>
      </c>
      <c r="Q1827" s="2" t="s">
        <v>38</v>
      </c>
      <c r="R1827" s="2" t="s">
        <v>38</v>
      </c>
      <c r="S1827" s="2" t="s">
        <v>38</v>
      </c>
      <c r="T1827" s="2" t="s">
        <v>39</v>
      </c>
      <c r="U1827" s="2" t="s">
        <v>38</v>
      </c>
      <c r="V1827" s="2" t="s">
        <v>39</v>
      </c>
      <c r="W1827" s="2" t="s">
        <v>38</v>
      </c>
      <c r="X1827" s="2" t="s">
        <v>39</v>
      </c>
      <c r="Y1827" s="2" t="s">
        <v>38</v>
      </c>
      <c r="Z1827" s="2" t="s">
        <v>38</v>
      </c>
      <c r="AA1827" s="2" t="s">
        <v>38</v>
      </c>
      <c r="AB1827" s="2" t="s">
        <v>39</v>
      </c>
      <c r="AC1827" s="2" t="s">
        <v>38</v>
      </c>
      <c r="AD1827" s="2" t="s">
        <v>38</v>
      </c>
      <c r="AE1827" s="2" t="s">
        <v>39</v>
      </c>
    </row>
    <row r="1828" spans="1:31" ht="409.5">
      <c r="A1828" s="2">
        <v>2496662</v>
      </c>
      <c r="B1828" s="2">
        <f>HYPERLINK("https://platform.v2.vetology.net/cases/2496662/screening-report/18?type=pdf&amp;v=v6&amp;scorecard=1&amp;secret_key=BX%25IJ%24%2F65ieZ%29f6", 2496662)</f>
        <v>2496662</v>
      </c>
      <c r="C1828" s="2">
        <f>HYPERLINK("https://platform.v2.vetology.net/report/v/final/"&amp;2496662, 2496662)</f>
        <v>2496662</v>
      </c>
      <c r="D1828" s="2" t="s">
        <v>5141</v>
      </c>
      <c r="E1828" s="2" t="s">
        <v>5142</v>
      </c>
      <c r="F1828" s="2" t="s">
        <v>5143</v>
      </c>
      <c r="G1828" s="2" t="s">
        <v>464</v>
      </c>
      <c r="H1828" s="2" t="s">
        <v>54</v>
      </c>
      <c r="I1828" s="2" t="s">
        <v>44</v>
      </c>
      <c r="J1828" s="2" t="s">
        <v>106</v>
      </c>
      <c r="K1828" s="2" t="s">
        <v>38</v>
      </c>
      <c r="L1828" s="2" t="s">
        <v>38</v>
      </c>
      <c r="M1828" s="2" t="s">
        <v>38</v>
      </c>
      <c r="N1828" s="2" t="s">
        <v>38</v>
      </c>
      <c r="O1828" s="2" t="s">
        <v>38</v>
      </c>
      <c r="P1828" s="2" t="s">
        <v>38</v>
      </c>
      <c r="Q1828" s="2" t="s">
        <v>38</v>
      </c>
      <c r="R1828" s="2" t="s">
        <v>38</v>
      </c>
      <c r="S1828" s="2" t="s">
        <v>38</v>
      </c>
      <c r="T1828" s="2" t="s">
        <v>39</v>
      </c>
      <c r="U1828" s="2" t="s">
        <v>38</v>
      </c>
      <c r="V1828" s="2" t="s">
        <v>38</v>
      </c>
      <c r="W1828" s="2" t="s">
        <v>38</v>
      </c>
      <c r="X1828" s="2" t="s">
        <v>38</v>
      </c>
      <c r="Y1828" s="2" t="s">
        <v>38</v>
      </c>
      <c r="Z1828" s="2" t="s">
        <v>38</v>
      </c>
      <c r="AA1828" s="2" t="s">
        <v>38</v>
      </c>
      <c r="AB1828" s="2" t="s">
        <v>39</v>
      </c>
      <c r="AC1828" s="2" t="s">
        <v>39</v>
      </c>
      <c r="AD1828" s="2" t="s">
        <v>38</v>
      </c>
      <c r="AE1828" s="2" t="s">
        <v>38</v>
      </c>
    </row>
    <row r="1829" spans="1:31" ht="409.5">
      <c r="A1829" s="2">
        <v>2496588</v>
      </c>
      <c r="B1829" s="2">
        <f>HYPERLINK("https://platform.v2.vetology.net/cases/2496588/screening-report/18?type=pdf&amp;v=v6&amp;scorecard=1&amp;secret_key=BX%25IJ%24%2F65ieZ%29f6", 2496588)</f>
        <v>2496588</v>
      </c>
      <c r="C1829" s="2">
        <f>HYPERLINK("https://platform.v2.vetology.net/report/v/final/"&amp;2496588, 2496588)</f>
        <v>2496588</v>
      </c>
      <c r="D1829" s="2" t="s">
        <v>5144</v>
      </c>
      <c r="E1829" s="2" t="s">
        <v>5145</v>
      </c>
      <c r="F1829" s="2" t="s">
        <v>81</v>
      </c>
      <c r="G1829" s="2" t="s">
        <v>82</v>
      </c>
      <c r="H1829" s="2" t="s">
        <v>43</v>
      </c>
      <c r="I1829" s="2" t="s">
        <v>44</v>
      </c>
      <c r="J1829" s="2"/>
      <c r="K1829" s="2" t="s">
        <v>38</v>
      </c>
      <c r="L1829" s="2" t="s">
        <v>39</v>
      </c>
      <c r="M1829" s="2" t="s">
        <v>38</v>
      </c>
      <c r="N1829" s="2" t="s">
        <v>38</v>
      </c>
      <c r="O1829" s="2" t="s">
        <v>38</v>
      </c>
      <c r="P1829" s="2" t="s">
        <v>38</v>
      </c>
      <c r="Q1829" s="2" t="s">
        <v>38</v>
      </c>
      <c r="R1829" s="2" t="s">
        <v>38</v>
      </c>
      <c r="S1829" s="2" t="s">
        <v>38</v>
      </c>
      <c r="T1829" s="2" t="s">
        <v>39</v>
      </c>
      <c r="U1829" s="2" t="s">
        <v>38</v>
      </c>
      <c r="V1829" s="2" t="s">
        <v>39</v>
      </c>
      <c r="W1829" s="2" t="s">
        <v>38</v>
      </c>
      <c r="X1829" s="2" t="s">
        <v>39</v>
      </c>
      <c r="Y1829" s="2" t="s">
        <v>38</v>
      </c>
      <c r="Z1829" s="2" t="s">
        <v>38</v>
      </c>
      <c r="AA1829" s="2" t="s">
        <v>38</v>
      </c>
      <c r="AB1829" s="2" t="s">
        <v>38</v>
      </c>
      <c r="AC1829" s="2" t="s">
        <v>38</v>
      </c>
      <c r="AD1829" s="2" t="s">
        <v>38</v>
      </c>
      <c r="AE1829" s="2" t="s">
        <v>39</v>
      </c>
    </row>
    <row r="1830" spans="1:31" ht="409.5">
      <c r="A1830" s="2">
        <v>2496066</v>
      </c>
      <c r="B1830" s="2">
        <f>HYPERLINK("https://platform.v2.vetology.net/cases/2496066/screening-report/18?type=pdf&amp;v=v6&amp;scorecard=1&amp;secret_key=BX%25IJ%24%2F65ieZ%29f6", 2496066)</f>
        <v>2496066</v>
      </c>
      <c r="C1830" s="2">
        <f>HYPERLINK("https://platform.v2.vetology.net/report/v/final/"&amp;2496066, 2496066)</f>
        <v>2496066</v>
      </c>
      <c r="D1830" s="2" t="s">
        <v>5146</v>
      </c>
      <c r="E1830" s="2" t="s">
        <v>5147</v>
      </c>
      <c r="F1830" s="2" t="s">
        <v>5148</v>
      </c>
      <c r="G1830" s="2" t="s">
        <v>268</v>
      </c>
      <c r="H1830" s="2" t="s">
        <v>723</v>
      </c>
      <c r="I1830" s="2" t="s">
        <v>44</v>
      </c>
      <c r="J1830" s="2"/>
      <c r="K1830" s="2" t="s">
        <v>38</v>
      </c>
      <c r="L1830" s="2" t="s">
        <v>38</v>
      </c>
      <c r="M1830" s="2" t="s">
        <v>38</v>
      </c>
      <c r="N1830" s="2" t="s">
        <v>38</v>
      </c>
      <c r="O1830" s="2" t="s">
        <v>38</v>
      </c>
      <c r="P1830" s="2" t="s">
        <v>38</v>
      </c>
      <c r="Q1830" s="2" t="s">
        <v>38</v>
      </c>
      <c r="R1830" s="2" t="s">
        <v>38</v>
      </c>
      <c r="S1830" s="2" t="s">
        <v>38</v>
      </c>
      <c r="T1830" s="2" t="s">
        <v>39</v>
      </c>
      <c r="U1830" s="2" t="s">
        <v>38</v>
      </c>
      <c r="V1830" s="2" t="s">
        <v>39</v>
      </c>
      <c r="W1830" s="2" t="s">
        <v>38</v>
      </c>
      <c r="X1830" s="2" t="s">
        <v>39</v>
      </c>
      <c r="Y1830" s="2" t="s">
        <v>38</v>
      </c>
      <c r="Z1830" s="2" t="s">
        <v>38</v>
      </c>
      <c r="AA1830" s="2" t="s">
        <v>38</v>
      </c>
      <c r="AB1830" s="2" t="s">
        <v>39</v>
      </c>
      <c r="AC1830" s="2" t="s">
        <v>38</v>
      </c>
      <c r="AD1830" s="2" t="s">
        <v>38</v>
      </c>
      <c r="AE1830" s="2" t="s">
        <v>38</v>
      </c>
    </row>
    <row r="1831" spans="1:31" ht="409.5">
      <c r="A1831" s="2">
        <v>2495585</v>
      </c>
      <c r="B1831" s="2">
        <f>HYPERLINK("https://platform.v2.vetology.net/cases/2495585/screening-report/18?type=pdf&amp;v=v6&amp;scorecard=1&amp;secret_key=BX%25IJ%24%2F65ieZ%29f6", 2495585)</f>
        <v>2495585</v>
      </c>
      <c r="C1831" s="2">
        <f>HYPERLINK("https://platform.v2.vetology.net/report/v/final/"&amp;2495585, 2495585)</f>
        <v>2495585</v>
      </c>
      <c r="D1831" s="2" t="s">
        <v>5149</v>
      </c>
      <c r="E1831" s="2" t="s">
        <v>5150</v>
      </c>
      <c r="F1831" s="2" t="s">
        <v>81</v>
      </c>
      <c r="G1831" s="2" t="s">
        <v>268</v>
      </c>
      <c r="H1831" s="2" t="s">
        <v>339</v>
      </c>
      <c r="I1831" s="2" t="s">
        <v>124</v>
      </c>
      <c r="J1831" s="2" t="s">
        <v>125</v>
      </c>
      <c r="K1831" s="2" t="s">
        <v>38</v>
      </c>
      <c r="L1831" s="2" t="s">
        <v>39</v>
      </c>
      <c r="M1831" s="2" t="s">
        <v>39</v>
      </c>
      <c r="N1831" s="2" t="s">
        <v>38</v>
      </c>
      <c r="O1831" s="2" t="s">
        <v>38</v>
      </c>
      <c r="P1831" s="2" t="s">
        <v>39</v>
      </c>
      <c r="Q1831" s="2" t="s">
        <v>38</v>
      </c>
      <c r="R1831" s="2" t="s">
        <v>38</v>
      </c>
      <c r="S1831" s="2" t="s">
        <v>39</v>
      </c>
      <c r="T1831" s="2" t="s">
        <v>39</v>
      </c>
      <c r="U1831" s="2" t="s">
        <v>38</v>
      </c>
      <c r="V1831" s="2" t="s">
        <v>39</v>
      </c>
      <c r="W1831" s="2" t="s">
        <v>38</v>
      </c>
      <c r="X1831" s="2" t="s">
        <v>39</v>
      </c>
      <c r="Y1831" s="2" t="s">
        <v>38</v>
      </c>
      <c r="Z1831" s="2" t="s">
        <v>38</v>
      </c>
      <c r="AA1831" s="2" t="s">
        <v>38</v>
      </c>
      <c r="AB1831" s="2" t="s">
        <v>38</v>
      </c>
      <c r="AC1831" s="2" t="s">
        <v>38</v>
      </c>
      <c r="AD1831" s="2" t="s">
        <v>38</v>
      </c>
      <c r="AE1831" s="2" t="s">
        <v>38</v>
      </c>
    </row>
    <row r="1832" spans="1:31" ht="409.5">
      <c r="A1832" s="2">
        <v>2495584</v>
      </c>
      <c r="B1832" s="2">
        <f>HYPERLINK("https://platform.v2.vetology.net/cases/2495584/screening-report/18?type=pdf&amp;v=v6&amp;scorecard=1&amp;secret_key=BX%25IJ%24%2F65ieZ%29f6", 2495584)</f>
        <v>2495584</v>
      </c>
      <c r="C1832" s="2">
        <f>HYPERLINK("https://platform.v2.vetology.net/report/v/final/"&amp;2495584, 2495584)</f>
        <v>2495584</v>
      </c>
      <c r="D1832" s="2" t="s">
        <v>5151</v>
      </c>
      <c r="E1832" s="2" t="s">
        <v>5152</v>
      </c>
      <c r="F1832" s="2"/>
      <c r="G1832" s="2" t="s">
        <v>141</v>
      </c>
      <c r="H1832" s="2" t="s">
        <v>1572</v>
      </c>
      <c r="I1832" s="2" t="s">
        <v>988</v>
      </c>
      <c r="J1832" s="2" t="s">
        <v>989</v>
      </c>
      <c r="K1832" s="2" t="s">
        <v>39</v>
      </c>
      <c r="L1832" s="2" t="s">
        <v>39</v>
      </c>
      <c r="M1832" s="2" t="s">
        <v>39</v>
      </c>
      <c r="N1832" s="2" t="s">
        <v>39</v>
      </c>
      <c r="O1832" s="2" t="s">
        <v>39</v>
      </c>
      <c r="P1832" s="2" t="s">
        <v>39</v>
      </c>
      <c r="Q1832" s="2" t="s">
        <v>39</v>
      </c>
      <c r="R1832" s="2" t="s">
        <v>39</v>
      </c>
      <c r="S1832" s="2" t="s">
        <v>39</v>
      </c>
      <c r="T1832" s="2" t="s">
        <v>39</v>
      </c>
      <c r="U1832" s="2" t="s">
        <v>39</v>
      </c>
      <c r="V1832" s="2" t="s">
        <v>39</v>
      </c>
      <c r="W1832" s="2" t="s">
        <v>39</v>
      </c>
      <c r="X1832" s="2" t="s">
        <v>39</v>
      </c>
      <c r="Y1832" s="2" t="s">
        <v>39</v>
      </c>
      <c r="Z1832" s="2" t="s">
        <v>39</v>
      </c>
      <c r="AA1832" s="2" t="s">
        <v>39</v>
      </c>
      <c r="AB1832" s="2" t="s">
        <v>39</v>
      </c>
      <c r="AC1832" s="2" t="s">
        <v>39</v>
      </c>
      <c r="AD1832" s="2" t="s">
        <v>39</v>
      </c>
      <c r="AE1832" s="2" t="s">
        <v>38</v>
      </c>
    </row>
    <row r="1833" spans="1:31" ht="409.5">
      <c r="A1833" s="2">
        <v>2495498</v>
      </c>
      <c r="B1833" s="2">
        <f>HYPERLINK("https://platform.v2.vetology.net/cases/2495498/screening-report/18?type=pdf&amp;v=v6&amp;scorecard=1&amp;secret_key=BX%25IJ%24%2F65ieZ%29f6", 2495498)</f>
        <v>2495498</v>
      </c>
      <c r="C1833" s="2">
        <f>HYPERLINK("https://platform.v2.vetology.net/report/v/final/"&amp;2495498, 2495498)</f>
        <v>2495498</v>
      </c>
      <c r="D1833" s="2" t="s">
        <v>5153</v>
      </c>
      <c r="E1833" s="2" t="s">
        <v>5154</v>
      </c>
      <c r="F1833" s="2" t="s">
        <v>5155</v>
      </c>
      <c r="G1833" s="2" t="s">
        <v>268</v>
      </c>
      <c r="H1833" s="2" t="s">
        <v>3252</v>
      </c>
      <c r="I1833" s="2" t="s">
        <v>158</v>
      </c>
      <c r="J1833" s="2" t="s">
        <v>50</v>
      </c>
      <c r="K1833" s="2" t="s">
        <v>38</v>
      </c>
      <c r="L1833" s="2" t="s">
        <v>38</v>
      </c>
      <c r="M1833" s="2" t="s">
        <v>38</v>
      </c>
      <c r="N1833" s="2" t="s">
        <v>38</v>
      </c>
      <c r="O1833" s="2" t="s">
        <v>38</v>
      </c>
      <c r="P1833" s="2" t="s">
        <v>38</v>
      </c>
      <c r="Q1833" s="2" t="s">
        <v>38</v>
      </c>
      <c r="R1833" s="2" t="s">
        <v>38</v>
      </c>
      <c r="S1833" s="2" t="s">
        <v>38</v>
      </c>
      <c r="T1833" s="2" t="s">
        <v>38</v>
      </c>
      <c r="U1833" s="2" t="s">
        <v>38</v>
      </c>
      <c r="V1833" s="2" t="s">
        <v>38</v>
      </c>
      <c r="W1833" s="2" t="s">
        <v>38</v>
      </c>
      <c r="X1833" s="2" t="s">
        <v>39</v>
      </c>
      <c r="Y1833" s="2" t="s">
        <v>38</v>
      </c>
      <c r="Z1833" s="2" t="s">
        <v>38</v>
      </c>
      <c r="AA1833" s="2" t="s">
        <v>38</v>
      </c>
      <c r="AB1833" s="2" t="s">
        <v>38</v>
      </c>
      <c r="AC1833" s="2" t="s">
        <v>38</v>
      </c>
      <c r="AD1833" s="2" t="s">
        <v>38</v>
      </c>
      <c r="AE1833" s="2" t="s">
        <v>38</v>
      </c>
    </row>
    <row r="1834" spans="1:31" ht="409.5">
      <c r="A1834" s="2">
        <v>2495331</v>
      </c>
      <c r="B1834" s="2">
        <f>HYPERLINK("https://platform.v2.vetology.net/cases/2495331/screening-report/18?type=pdf&amp;v=v6&amp;scorecard=1&amp;secret_key=BX%25IJ%24%2F65ieZ%29f6", 2495331)</f>
        <v>2495331</v>
      </c>
      <c r="C1834" s="2">
        <f>HYPERLINK("https://platform.v2.vetology.net/report/v/final/"&amp;2495331, 2495331)</f>
        <v>2495331</v>
      </c>
      <c r="D1834" s="2" t="s">
        <v>5156</v>
      </c>
      <c r="E1834" s="2" t="s">
        <v>5157</v>
      </c>
      <c r="F1834" s="2" t="s">
        <v>81</v>
      </c>
      <c r="G1834" s="2" t="s">
        <v>82</v>
      </c>
      <c r="H1834" s="2" t="s">
        <v>2091</v>
      </c>
      <c r="I1834" s="2" t="s">
        <v>89</v>
      </c>
      <c r="J1834" s="2" t="s">
        <v>66</v>
      </c>
      <c r="K1834" s="2" t="s">
        <v>38</v>
      </c>
      <c r="L1834" s="2" t="s">
        <v>39</v>
      </c>
      <c r="M1834" s="2" t="s">
        <v>38</v>
      </c>
      <c r="N1834" s="2" t="s">
        <v>38</v>
      </c>
      <c r="O1834" s="2" t="s">
        <v>38</v>
      </c>
      <c r="P1834" s="2" t="s">
        <v>38</v>
      </c>
      <c r="Q1834" s="2" t="s">
        <v>38</v>
      </c>
      <c r="R1834" s="2" t="s">
        <v>38</v>
      </c>
      <c r="S1834" s="2" t="s">
        <v>38</v>
      </c>
      <c r="T1834" s="2" t="s">
        <v>38</v>
      </c>
      <c r="U1834" s="2" t="s">
        <v>38</v>
      </c>
      <c r="V1834" s="2" t="s">
        <v>38</v>
      </c>
      <c r="W1834" s="2" t="s">
        <v>38</v>
      </c>
      <c r="X1834" s="2" t="s">
        <v>38</v>
      </c>
      <c r="Y1834" s="2" t="s">
        <v>38</v>
      </c>
      <c r="Z1834" s="2" t="s">
        <v>38</v>
      </c>
      <c r="AA1834" s="2" t="s">
        <v>38</v>
      </c>
      <c r="AB1834" s="2" t="s">
        <v>38</v>
      </c>
      <c r="AC1834" s="2" t="s">
        <v>38</v>
      </c>
      <c r="AD1834" s="2" t="s">
        <v>38</v>
      </c>
      <c r="AE1834" s="2" t="s">
        <v>39</v>
      </c>
    </row>
    <row r="1835" spans="1:31" ht="409.5">
      <c r="A1835" s="2">
        <v>2495310</v>
      </c>
      <c r="B1835" s="2">
        <f>HYPERLINK("https://platform.v2.vetology.net/cases/2495310/screening-report/18?type=pdf&amp;v=v6&amp;scorecard=1&amp;secret_key=BX%25IJ%24%2F65ieZ%29f6", 2495310)</f>
        <v>2495310</v>
      </c>
      <c r="C1835" s="2">
        <f>HYPERLINK("https://platform.v2.vetology.net/report/v/final/"&amp;2495310, 2495310)</f>
        <v>2495310</v>
      </c>
      <c r="D1835" s="2" t="s">
        <v>5158</v>
      </c>
      <c r="E1835" s="2" t="s">
        <v>5159</v>
      </c>
      <c r="F1835" s="2" t="s">
        <v>5160</v>
      </c>
      <c r="G1835" s="2" t="s">
        <v>58</v>
      </c>
      <c r="H1835" s="2" t="s">
        <v>54</v>
      </c>
      <c r="I1835" s="2" t="s">
        <v>199</v>
      </c>
      <c r="J1835" s="2"/>
      <c r="K1835" s="2" t="s">
        <v>38</v>
      </c>
      <c r="L1835" s="2" t="s">
        <v>39</v>
      </c>
      <c r="M1835" s="2" t="s">
        <v>38</v>
      </c>
      <c r="N1835" s="2" t="s">
        <v>38</v>
      </c>
      <c r="O1835" s="2" t="s">
        <v>38</v>
      </c>
      <c r="P1835" s="2" t="s">
        <v>38</v>
      </c>
      <c r="Q1835" s="2" t="s">
        <v>38</v>
      </c>
      <c r="R1835" s="2" t="s">
        <v>38</v>
      </c>
      <c r="S1835" s="2" t="s">
        <v>38</v>
      </c>
      <c r="T1835" s="2" t="s">
        <v>38</v>
      </c>
      <c r="U1835" s="2" t="s">
        <v>38</v>
      </c>
      <c r="V1835" s="2" t="s">
        <v>38</v>
      </c>
      <c r="W1835" s="2" t="s">
        <v>38</v>
      </c>
      <c r="X1835" s="2" t="s">
        <v>38</v>
      </c>
      <c r="Y1835" s="2" t="s">
        <v>38</v>
      </c>
      <c r="Z1835" s="2" t="s">
        <v>38</v>
      </c>
      <c r="AA1835" s="2" t="s">
        <v>38</v>
      </c>
      <c r="AB1835" s="2" t="s">
        <v>39</v>
      </c>
      <c r="AC1835" s="2" t="s">
        <v>38</v>
      </c>
      <c r="AD1835" s="2" t="s">
        <v>38</v>
      </c>
      <c r="AE1835" s="2" t="s">
        <v>38</v>
      </c>
    </row>
    <row r="1836" spans="1:31" ht="409.5">
      <c r="A1836" s="2">
        <v>2494926</v>
      </c>
      <c r="B1836" s="2">
        <f>HYPERLINK("https://platform.v2.vetology.net/cases/2494926/screening-report/18?type=pdf&amp;v=v6&amp;scorecard=1&amp;secret_key=BX%25IJ%24%2F65ieZ%29f6", 2494926)</f>
        <v>2494926</v>
      </c>
      <c r="C1836" s="2">
        <f>HYPERLINK("https://platform.v2.vetology.net/report/v/final/"&amp;2494926, 2494926)</f>
        <v>2494926</v>
      </c>
      <c r="D1836" s="2" t="s">
        <v>5161</v>
      </c>
      <c r="E1836" s="2" t="s">
        <v>5162</v>
      </c>
      <c r="F1836" s="2" t="s">
        <v>149</v>
      </c>
      <c r="G1836" s="2" t="s">
        <v>150</v>
      </c>
      <c r="H1836" s="2" t="s">
        <v>1400</v>
      </c>
      <c r="I1836" s="2" t="s">
        <v>1401</v>
      </c>
      <c r="J1836" s="2" t="s">
        <v>1402</v>
      </c>
      <c r="K1836" s="2" t="s">
        <v>39</v>
      </c>
      <c r="L1836" s="2" t="s">
        <v>39</v>
      </c>
      <c r="M1836" s="2" t="s">
        <v>39</v>
      </c>
      <c r="N1836" s="2" t="s">
        <v>39</v>
      </c>
      <c r="O1836" s="2" t="s">
        <v>39</v>
      </c>
      <c r="P1836" s="2" t="s">
        <v>39</v>
      </c>
      <c r="Q1836" s="2" t="s">
        <v>38</v>
      </c>
      <c r="R1836" s="2" t="s">
        <v>38</v>
      </c>
      <c r="S1836" s="2" t="s">
        <v>39</v>
      </c>
      <c r="T1836" s="2" t="s">
        <v>39</v>
      </c>
      <c r="U1836" s="2" t="s">
        <v>39</v>
      </c>
      <c r="V1836" s="2" t="s">
        <v>39</v>
      </c>
      <c r="W1836" s="2" t="s">
        <v>38</v>
      </c>
      <c r="X1836" s="2" t="s">
        <v>39</v>
      </c>
      <c r="Y1836" s="2" t="s">
        <v>38</v>
      </c>
      <c r="Z1836" s="2" t="s">
        <v>39</v>
      </c>
      <c r="AA1836" s="2" t="s">
        <v>39</v>
      </c>
      <c r="AB1836" s="2" t="s">
        <v>39</v>
      </c>
      <c r="AC1836" s="2" t="s">
        <v>39</v>
      </c>
      <c r="AD1836" s="2" t="s">
        <v>38</v>
      </c>
      <c r="AE1836" s="2" t="s">
        <v>39</v>
      </c>
    </row>
    <row r="1837" spans="1:31" ht="409.5">
      <c r="A1837" s="2">
        <v>2494874</v>
      </c>
      <c r="B1837" s="2">
        <f>HYPERLINK("https://platform.v2.vetology.net/cases/2494874/screening-report/18?type=pdf&amp;v=v6&amp;scorecard=1&amp;secret_key=BX%25IJ%24%2F65ieZ%29f6", 2494874)</f>
        <v>2494874</v>
      </c>
      <c r="C1837" s="2">
        <f>HYPERLINK("https://platform.v2.vetology.net/report/v/final/"&amp;2494874, 2494874)</f>
        <v>2494874</v>
      </c>
      <c r="D1837" s="2" t="s">
        <v>5163</v>
      </c>
      <c r="E1837" s="2" t="s">
        <v>2219</v>
      </c>
      <c r="F1837" s="2" t="s">
        <v>5164</v>
      </c>
      <c r="G1837" s="2" t="s">
        <v>464</v>
      </c>
      <c r="H1837" s="2" t="s">
        <v>78</v>
      </c>
      <c r="I1837" s="2" t="s">
        <v>44</v>
      </c>
      <c r="J1837" s="2" t="s">
        <v>106</v>
      </c>
      <c r="K1837" s="2" t="s">
        <v>38</v>
      </c>
      <c r="L1837" s="2" t="s">
        <v>39</v>
      </c>
      <c r="M1837" s="2" t="s">
        <v>39</v>
      </c>
      <c r="N1837" s="2" t="s">
        <v>38</v>
      </c>
      <c r="O1837" s="2" t="s">
        <v>38</v>
      </c>
      <c r="P1837" s="2" t="s">
        <v>38</v>
      </c>
      <c r="Q1837" s="2" t="s">
        <v>38</v>
      </c>
      <c r="R1837" s="2" t="s">
        <v>38</v>
      </c>
      <c r="S1837" s="2" t="s">
        <v>38</v>
      </c>
      <c r="T1837" s="2" t="s">
        <v>38</v>
      </c>
      <c r="U1837" s="2" t="s">
        <v>38</v>
      </c>
      <c r="V1837" s="2" t="s">
        <v>38</v>
      </c>
      <c r="W1837" s="2" t="s">
        <v>38</v>
      </c>
      <c r="X1837" s="2" t="s">
        <v>38</v>
      </c>
      <c r="Y1837" s="2" t="s">
        <v>38</v>
      </c>
      <c r="Z1837" s="2" t="s">
        <v>38</v>
      </c>
      <c r="AA1837" s="2" t="s">
        <v>38</v>
      </c>
      <c r="AB1837" s="2" t="s">
        <v>39</v>
      </c>
      <c r="AC1837" s="2" t="s">
        <v>38</v>
      </c>
      <c r="AD1837" s="2" t="s">
        <v>38</v>
      </c>
      <c r="AE1837" s="2" t="s">
        <v>38</v>
      </c>
    </row>
    <row r="1838" spans="1:31" ht="409.5">
      <c r="A1838" s="2">
        <v>2494431</v>
      </c>
      <c r="B1838" s="2">
        <f>HYPERLINK("https://platform.v2.vetology.net/cases/2494431/screening-report/18?type=pdf&amp;v=v6&amp;scorecard=1&amp;secret_key=BX%25IJ%24%2F65ieZ%29f6", 2494431)</f>
        <v>2494431</v>
      </c>
      <c r="C1838" s="2">
        <f>HYPERLINK("https://platform.v2.vetology.net/report/v/final/"&amp;2494431, 2494431)</f>
        <v>2494431</v>
      </c>
      <c r="D1838" s="2" t="s">
        <v>5165</v>
      </c>
      <c r="E1838" s="2" t="s">
        <v>5166</v>
      </c>
      <c r="F1838" s="2" t="s">
        <v>515</v>
      </c>
      <c r="G1838" s="2" t="s">
        <v>268</v>
      </c>
      <c r="H1838" s="2" t="s">
        <v>129</v>
      </c>
      <c r="I1838" s="2" t="s">
        <v>44</v>
      </c>
      <c r="J1838" s="2"/>
      <c r="K1838" s="2" t="s">
        <v>38</v>
      </c>
      <c r="L1838" s="2" t="s">
        <v>39</v>
      </c>
      <c r="M1838" s="2" t="s">
        <v>39</v>
      </c>
      <c r="N1838" s="2" t="s">
        <v>38</v>
      </c>
      <c r="O1838" s="2" t="s">
        <v>38</v>
      </c>
      <c r="P1838" s="2" t="s">
        <v>38</v>
      </c>
      <c r="Q1838" s="2" t="s">
        <v>38</v>
      </c>
      <c r="R1838" s="2" t="s">
        <v>38</v>
      </c>
      <c r="S1838" s="2" t="s">
        <v>39</v>
      </c>
      <c r="T1838" s="2" t="s">
        <v>38</v>
      </c>
      <c r="U1838" s="2" t="s">
        <v>38</v>
      </c>
      <c r="V1838" s="2" t="s">
        <v>38</v>
      </c>
      <c r="W1838" s="2" t="s">
        <v>38</v>
      </c>
      <c r="X1838" s="2" t="s">
        <v>39</v>
      </c>
      <c r="Y1838" s="2" t="s">
        <v>38</v>
      </c>
      <c r="Z1838" s="2" t="s">
        <v>39</v>
      </c>
      <c r="AA1838" s="2" t="s">
        <v>38</v>
      </c>
      <c r="AB1838" s="2" t="s">
        <v>39</v>
      </c>
      <c r="AC1838" s="2" t="s">
        <v>39</v>
      </c>
      <c r="AD1838" s="2" t="s">
        <v>38</v>
      </c>
      <c r="AE1838" s="2" t="s">
        <v>38</v>
      </c>
    </row>
    <row r="1839" spans="1:31" ht="409.5">
      <c r="A1839" s="2">
        <v>2494389</v>
      </c>
      <c r="B1839" s="2">
        <f>HYPERLINK("https://platform.v2.vetology.net/cases/2494389/screening-report/18?type=pdf&amp;v=v6&amp;scorecard=1&amp;secret_key=BX%25IJ%24%2F65ieZ%29f6", 2494389)</f>
        <v>2494389</v>
      </c>
      <c r="C1839" s="2">
        <f>HYPERLINK("https://platform.v2.vetology.net/report/v/final/"&amp;2494389, 2494389)</f>
        <v>2494389</v>
      </c>
      <c r="D1839" s="2" t="s">
        <v>5167</v>
      </c>
      <c r="E1839" s="2" t="s">
        <v>5168</v>
      </c>
      <c r="F1839" s="2" t="s">
        <v>81</v>
      </c>
      <c r="G1839" s="2" t="s">
        <v>82</v>
      </c>
      <c r="H1839" s="2" t="s">
        <v>5169</v>
      </c>
      <c r="I1839" s="2" t="s">
        <v>245</v>
      </c>
      <c r="J1839" s="2" t="s">
        <v>246</v>
      </c>
      <c r="K1839" s="2" t="s">
        <v>38</v>
      </c>
      <c r="L1839" s="2" t="s">
        <v>39</v>
      </c>
      <c r="M1839" s="2" t="s">
        <v>39</v>
      </c>
      <c r="N1839" s="2" t="s">
        <v>38</v>
      </c>
      <c r="O1839" s="2" t="s">
        <v>38</v>
      </c>
      <c r="P1839" s="2" t="s">
        <v>39</v>
      </c>
      <c r="Q1839" s="2" t="s">
        <v>38</v>
      </c>
      <c r="R1839" s="2" t="s">
        <v>38</v>
      </c>
      <c r="S1839" s="2" t="s">
        <v>38</v>
      </c>
      <c r="T1839" s="2" t="s">
        <v>38</v>
      </c>
      <c r="U1839" s="2" t="s">
        <v>38</v>
      </c>
      <c r="V1839" s="2" t="s">
        <v>38</v>
      </c>
      <c r="W1839" s="2" t="s">
        <v>38</v>
      </c>
      <c r="X1839" s="2" t="s">
        <v>38</v>
      </c>
      <c r="Y1839" s="2" t="s">
        <v>38</v>
      </c>
      <c r="Z1839" s="2" t="s">
        <v>38</v>
      </c>
      <c r="AA1839" s="2" t="s">
        <v>38</v>
      </c>
      <c r="AB1839" s="2" t="s">
        <v>39</v>
      </c>
      <c r="AC1839" s="2" t="s">
        <v>39</v>
      </c>
      <c r="AD1839" s="2" t="s">
        <v>38</v>
      </c>
      <c r="AE1839" s="2" t="s">
        <v>39</v>
      </c>
    </row>
    <row r="1840" spans="1:31" ht="409.5">
      <c r="A1840" s="2">
        <v>2494211</v>
      </c>
      <c r="B1840" s="2">
        <f>HYPERLINK("https://platform.v2.vetology.net/cases/2494211/screening-report/18?type=pdf&amp;v=v6&amp;scorecard=1&amp;secret_key=BX%25IJ%24%2F65ieZ%29f6", 2494211)</f>
        <v>2494211</v>
      </c>
      <c r="C1840" s="2">
        <f>HYPERLINK("https://platform.v2.vetology.net/report/v/final/"&amp;2494211, 2494211)</f>
        <v>2494211</v>
      </c>
      <c r="D1840" s="2" t="s">
        <v>5170</v>
      </c>
      <c r="E1840" s="2" t="s">
        <v>5171</v>
      </c>
      <c r="F1840" s="2"/>
      <c r="G1840" s="2" t="s">
        <v>150</v>
      </c>
      <c r="H1840" s="2" t="s">
        <v>5172</v>
      </c>
      <c r="I1840" s="2" t="s">
        <v>214</v>
      </c>
      <c r="J1840" s="2" t="s">
        <v>50</v>
      </c>
      <c r="K1840" s="2" t="s">
        <v>38</v>
      </c>
      <c r="L1840" s="2" t="s">
        <v>39</v>
      </c>
      <c r="M1840" s="2" t="s">
        <v>39</v>
      </c>
      <c r="N1840" s="2" t="s">
        <v>38</v>
      </c>
      <c r="O1840" s="2" t="s">
        <v>38</v>
      </c>
      <c r="P1840" s="2" t="s">
        <v>38</v>
      </c>
      <c r="Q1840" s="2" t="s">
        <v>38</v>
      </c>
      <c r="R1840" s="2" t="s">
        <v>38</v>
      </c>
      <c r="S1840" s="2" t="s">
        <v>38</v>
      </c>
      <c r="T1840" s="2" t="s">
        <v>39</v>
      </c>
      <c r="U1840" s="2" t="s">
        <v>38</v>
      </c>
      <c r="V1840" s="2" t="s">
        <v>38</v>
      </c>
      <c r="W1840" s="2" t="s">
        <v>38</v>
      </c>
      <c r="X1840" s="2" t="s">
        <v>38</v>
      </c>
      <c r="Y1840" s="2" t="s">
        <v>38</v>
      </c>
      <c r="Z1840" s="2" t="s">
        <v>39</v>
      </c>
      <c r="AA1840" s="2" t="s">
        <v>38</v>
      </c>
      <c r="AB1840" s="2" t="s">
        <v>39</v>
      </c>
      <c r="AC1840" s="2" t="s">
        <v>39</v>
      </c>
      <c r="AD1840" s="2" t="s">
        <v>38</v>
      </c>
      <c r="AE1840" s="2" t="s">
        <v>38</v>
      </c>
    </row>
    <row r="1841" spans="1:31" ht="409.5">
      <c r="A1841" s="2">
        <v>2493970</v>
      </c>
      <c r="B1841" s="2">
        <f>HYPERLINK("https://platform.v2.vetology.net/cases/2493970/screening-report/18?type=pdf&amp;v=v6&amp;scorecard=1&amp;secret_key=BX%25IJ%24%2F65ieZ%29f6", 2493970)</f>
        <v>2493970</v>
      </c>
      <c r="C1841" s="2">
        <f>HYPERLINK("https://platform.v2.vetology.net/report/v/final/"&amp;2493970, 2493970)</f>
        <v>2493970</v>
      </c>
      <c r="D1841" s="2" t="s">
        <v>5173</v>
      </c>
      <c r="E1841" s="2" t="s">
        <v>5174</v>
      </c>
      <c r="F1841" s="2" t="s">
        <v>5175</v>
      </c>
      <c r="G1841" s="2" t="s">
        <v>93</v>
      </c>
      <c r="H1841" s="2" t="s">
        <v>5176</v>
      </c>
      <c r="I1841" s="2" t="s">
        <v>214</v>
      </c>
      <c r="J1841" s="2" t="s">
        <v>50</v>
      </c>
      <c r="K1841" s="2" t="s">
        <v>38</v>
      </c>
      <c r="L1841" s="2" t="s">
        <v>39</v>
      </c>
      <c r="M1841" s="2" t="s">
        <v>39</v>
      </c>
      <c r="N1841" s="2" t="s">
        <v>38</v>
      </c>
      <c r="O1841" s="2" t="s">
        <v>38</v>
      </c>
      <c r="P1841" s="2" t="s">
        <v>38</v>
      </c>
      <c r="Q1841" s="2" t="s">
        <v>38</v>
      </c>
      <c r="R1841" s="2" t="s">
        <v>38</v>
      </c>
      <c r="S1841" s="2" t="s">
        <v>38</v>
      </c>
      <c r="T1841" s="2" t="s">
        <v>38</v>
      </c>
      <c r="U1841" s="2" t="s">
        <v>38</v>
      </c>
      <c r="V1841" s="2" t="s">
        <v>38</v>
      </c>
      <c r="W1841" s="2" t="s">
        <v>38</v>
      </c>
      <c r="X1841" s="2" t="s">
        <v>39</v>
      </c>
      <c r="Y1841" s="2" t="s">
        <v>38</v>
      </c>
      <c r="Z1841" s="2" t="s">
        <v>38</v>
      </c>
      <c r="AA1841" s="2" t="s">
        <v>38</v>
      </c>
      <c r="AB1841" s="2" t="s">
        <v>39</v>
      </c>
      <c r="AC1841" s="2" t="s">
        <v>39</v>
      </c>
      <c r="AD1841" s="2" t="s">
        <v>38</v>
      </c>
      <c r="AE1841" s="2" t="s">
        <v>38</v>
      </c>
    </row>
    <row r="1842" spans="1:31" ht="409.5">
      <c r="A1842" s="2">
        <v>2493942</v>
      </c>
      <c r="B1842" s="2">
        <f>HYPERLINK("https://platform.v2.vetology.net/cases/2493942/screening-report/18?type=pdf&amp;v=v6&amp;scorecard=1&amp;secret_key=BX%25IJ%24%2F65ieZ%29f6", 2493942)</f>
        <v>2493942</v>
      </c>
      <c r="C1842" s="2">
        <f>HYPERLINK("https://platform.v2.vetology.net/report/v/final/"&amp;2493942, 2493942)</f>
        <v>2493942</v>
      </c>
      <c r="D1842" s="2" t="s">
        <v>5177</v>
      </c>
      <c r="E1842" s="2" t="s">
        <v>5178</v>
      </c>
      <c r="F1842" s="2" t="s">
        <v>5179</v>
      </c>
      <c r="G1842" s="2" t="s">
        <v>58</v>
      </c>
      <c r="H1842" s="2" t="s">
        <v>417</v>
      </c>
      <c r="I1842" s="2" t="s">
        <v>418</v>
      </c>
      <c r="J1842" s="2" t="s">
        <v>419</v>
      </c>
      <c r="K1842" s="2" t="s">
        <v>38</v>
      </c>
      <c r="L1842" s="2" t="s">
        <v>39</v>
      </c>
      <c r="M1842" s="2" t="s">
        <v>39</v>
      </c>
      <c r="N1842" s="2" t="s">
        <v>38</v>
      </c>
      <c r="O1842" s="2" t="s">
        <v>39</v>
      </c>
      <c r="P1842" s="2" t="s">
        <v>39</v>
      </c>
      <c r="Q1842" s="2" t="s">
        <v>38</v>
      </c>
      <c r="R1842" s="2" t="s">
        <v>38</v>
      </c>
      <c r="S1842" s="2" t="s">
        <v>39</v>
      </c>
      <c r="T1842" s="2" t="s">
        <v>39</v>
      </c>
      <c r="U1842" s="2" t="s">
        <v>39</v>
      </c>
      <c r="V1842" s="2" t="s">
        <v>38</v>
      </c>
      <c r="W1842" s="2" t="s">
        <v>38</v>
      </c>
      <c r="X1842" s="2" t="s">
        <v>39</v>
      </c>
      <c r="Y1842" s="2" t="s">
        <v>38</v>
      </c>
      <c r="Z1842" s="2" t="s">
        <v>39</v>
      </c>
      <c r="AA1842" s="2" t="s">
        <v>38</v>
      </c>
      <c r="AB1842" s="2" t="s">
        <v>38</v>
      </c>
      <c r="AC1842" s="2" t="s">
        <v>39</v>
      </c>
      <c r="AD1842" s="2" t="s">
        <v>38</v>
      </c>
      <c r="AE1842" s="2" t="s">
        <v>38</v>
      </c>
    </row>
    <row r="1843" spans="1:31" ht="409.5">
      <c r="A1843" s="2">
        <v>2493918</v>
      </c>
      <c r="B1843" s="2">
        <f>HYPERLINK("https://platform.v2.vetology.net/cases/2493918/screening-report/18?type=pdf&amp;v=v6&amp;scorecard=1&amp;secret_key=BX%25IJ%24%2F65ieZ%29f6", 2493918)</f>
        <v>2493918</v>
      </c>
      <c r="C1843" s="2">
        <f>HYPERLINK("https://platform.v2.vetology.net/report/v/final/"&amp;2493918, 2493918)</f>
        <v>2493918</v>
      </c>
      <c r="D1843" s="2" t="s">
        <v>5180</v>
      </c>
      <c r="E1843" s="2" t="s">
        <v>5181</v>
      </c>
      <c r="F1843" s="2" t="s">
        <v>5182</v>
      </c>
      <c r="G1843" s="2" t="s">
        <v>93</v>
      </c>
      <c r="H1843" s="2" t="s">
        <v>5183</v>
      </c>
      <c r="I1843" s="2" t="s">
        <v>1167</v>
      </c>
      <c r="J1843" s="2" t="s">
        <v>1168</v>
      </c>
      <c r="K1843" s="2" t="s">
        <v>38</v>
      </c>
      <c r="L1843" s="2" t="s">
        <v>39</v>
      </c>
      <c r="M1843" s="2" t="s">
        <v>39</v>
      </c>
      <c r="N1843" s="2" t="s">
        <v>39</v>
      </c>
      <c r="O1843" s="2" t="s">
        <v>39</v>
      </c>
      <c r="P1843" s="2" t="s">
        <v>39</v>
      </c>
      <c r="Q1843" s="2" t="s">
        <v>39</v>
      </c>
      <c r="R1843" s="2" t="s">
        <v>39</v>
      </c>
      <c r="S1843" s="2" t="s">
        <v>39</v>
      </c>
      <c r="T1843" s="2" t="s">
        <v>38</v>
      </c>
      <c r="U1843" s="2" t="s">
        <v>39</v>
      </c>
      <c r="V1843" s="2" t="s">
        <v>38</v>
      </c>
      <c r="W1843" s="2" t="s">
        <v>39</v>
      </c>
      <c r="X1843" s="2" t="s">
        <v>38</v>
      </c>
      <c r="Y1843" s="2" t="s">
        <v>38</v>
      </c>
      <c r="Z1843" s="2" t="s">
        <v>39</v>
      </c>
      <c r="AA1843" s="2" t="s">
        <v>39</v>
      </c>
      <c r="AB1843" s="2" t="s">
        <v>39</v>
      </c>
      <c r="AC1843" s="2" t="s">
        <v>39</v>
      </c>
      <c r="AD1843" s="2" t="s">
        <v>38</v>
      </c>
      <c r="AE1843" s="2" t="s">
        <v>39</v>
      </c>
    </row>
    <row r="1844" spans="1:31" ht="409.5">
      <c r="A1844" s="2">
        <v>2493903</v>
      </c>
      <c r="B1844" s="2">
        <f>HYPERLINK("https://platform.v2.vetology.net/cases/2493903/screening-report/18?type=pdf&amp;v=v6&amp;scorecard=1&amp;secret_key=BX%25IJ%24%2F65ieZ%29f6", 2493903)</f>
        <v>2493903</v>
      </c>
      <c r="C1844" s="2">
        <f>HYPERLINK("https://platform.v2.vetology.net/report/v/final/"&amp;2493903, 2493903)</f>
        <v>2493903</v>
      </c>
      <c r="D1844" s="2" t="s">
        <v>5184</v>
      </c>
      <c r="E1844" s="2" t="s">
        <v>5185</v>
      </c>
      <c r="F1844" s="2" t="s">
        <v>5186</v>
      </c>
      <c r="G1844" s="2" t="s">
        <v>93</v>
      </c>
      <c r="H1844" s="2" t="s">
        <v>43</v>
      </c>
      <c r="I1844" s="2" t="s">
        <v>44</v>
      </c>
      <c r="J1844" s="2" t="s">
        <v>106</v>
      </c>
      <c r="K1844" s="2" t="s">
        <v>38</v>
      </c>
      <c r="L1844" s="2" t="s">
        <v>38</v>
      </c>
      <c r="M1844" s="2" t="s">
        <v>38</v>
      </c>
      <c r="N1844" s="2" t="s">
        <v>38</v>
      </c>
      <c r="O1844" s="2" t="s">
        <v>38</v>
      </c>
      <c r="P1844" s="2" t="s">
        <v>39</v>
      </c>
      <c r="Q1844" s="2" t="s">
        <v>38</v>
      </c>
      <c r="R1844" s="2" t="s">
        <v>38</v>
      </c>
      <c r="S1844" s="2" t="s">
        <v>38</v>
      </c>
      <c r="T1844" s="2" t="s">
        <v>38</v>
      </c>
      <c r="U1844" s="2" t="s">
        <v>38</v>
      </c>
      <c r="V1844" s="2" t="s">
        <v>38</v>
      </c>
      <c r="W1844" s="2" t="s">
        <v>38</v>
      </c>
      <c r="X1844" s="2" t="s">
        <v>38</v>
      </c>
      <c r="Y1844" s="2" t="s">
        <v>38</v>
      </c>
      <c r="Z1844" s="2" t="s">
        <v>38</v>
      </c>
      <c r="AA1844" s="2" t="s">
        <v>38</v>
      </c>
      <c r="AB1844" s="2" t="s">
        <v>38</v>
      </c>
      <c r="AC1844" s="2" t="s">
        <v>38</v>
      </c>
      <c r="AD1844" s="2" t="s">
        <v>38</v>
      </c>
      <c r="AE1844" s="2" t="s">
        <v>38</v>
      </c>
    </row>
    <row r="1845" spans="1:31" ht="409.5">
      <c r="A1845" s="2">
        <v>2493883</v>
      </c>
      <c r="B1845" s="2">
        <f>HYPERLINK("https://platform.v2.vetology.net/cases/2493883/screening-report/18?type=pdf&amp;v=v6&amp;scorecard=1&amp;secret_key=BX%25IJ%24%2F65ieZ%29f6", 2493883)</f>
        <v>2493883</v>
      </c>
      <c r="C1845" s="2">
        <f>HYPERLINK("https://platform.v2.vetology.net/report/v/final/"&amp;2493883, 2493883)</f>
        <v>2493883</v>
      </c>
      <c r="D1845" s="2" t="s">
        <v>5187</v>
      </c>
      <c r="E1845" s="2" t="s">
        <v>5188</v>
      </c>
      <c r="F1845" s="2" t="s">
        <v>5189</v>
      </c>
      <c r="G1845" s="2" t="s">
        <v>575</v>
      </c>
      <c r="H1845" s="2" t="s">
        <v>43</v>
      </c>
      <c r="I1845" s="2" t="s">
        <v>44</v>
      </c>
      <c r="J1845" s="2"/>
      <c r="K1845" s="2" t="s">
        <v>38</v>
      </c>
      <c r="L1845" s="2" t="s">
        <v>38</v>
      </c>
      <c r="M1845" s="2" t="s">
        <v>38</v>
      </c>
      <c r="N1845" s="2" t="s">
        <v>38</v>
      </c>
      <c r="O1845" s="2" t="s">
        <v>38</v>
      </c>
      <c r="P1845" s="2" t="s">
        <v>38</v>
      </c>
      <c r="Q1845" s="2" t="s">
        <v>38</v>
      </c>
      <c r="R1845" s="2" t="s">
        <v>38</v>
      </c>
      <c r="S1845" s="2" t="s">
        <v>38</v>
      </c>
      <c r="T1845" s="2" t="s">
        <v>38</v>
      </c>
      <c r="U1845" s="2" t="s">
        <v>38</v>
      </c>
      <c r="V1845" s="2" t="s">
        <v>38</v>
      </c>
      <c r="W1845" s="2" t="s">
        <v>38</v>
      </c>
      <c r="X1845" s="2" t="s">
        <v>38</v>
      </c>
      <c r="Y1845" s="2" t="s">
        <v>38</v>
      </c>
      <c r="Z1845" s="2" t="s">
        <v>38</v>
      </c>
      <c r="AA1845" s="2" t="s">
        <v>38</v>
      </c>
      <c r="AB1845" s="2" t="s">
        <v>38</v>
      </c>
      <c r="AC1845" s="2" t="s">
        <v>38</v>
      </c>
      <c r="AD1845" s="2" t="s">
        <v>38</v>
      </c>
      <c r="AE1845" s="2" t="s">
        <v>38</v>
      </c>
    </row>
    <row r="1846" spans="1:31" ht="409.5">
      <c r="A1846" s="2">
        <v>2493848</v>
      </c>
      <c r="B1846" s="2">
        <f>HYPERLINK("https://platform.v2.vetology.net/cases/2493848/screening-report/18?type=pdf&amp;v=v6&amp;scorecard=1&amp;secret_key=BX%25IJ%24%2F65ieZ%29f6", 2493848)</f>
        <v>2493848</v>
      </c>
      <c r="C1846" s="2">
        <f>HYPERLINK("https://platform.v2.vetology.net/report/v/final/"&amp;2493848, 2493848)</f>
        <v>2493848</v>
      </c>
      <c r="D1846" s="2" t="s">
        <v>5190</v>
      </c>
      <c r="E1846" s="2" t="s">
        <v>5191</v>
      </c>
      <c r="F1846" s="2" t="s">
        <v>5192</v>
      </c>
      <c r="G1846" s="2" t="s">
        <v>464</v>
      </c>
      <c r="H1846" s="2" t="s">
        <v>1754</v>
      </c>
      <c r="I1846" s="2" t="s">
        <v>988</v>
      </c>
      <c r="J1846" s="2" t="s">
        <v>989</v>
      </c>
      <c r="K1846" s="2" t="s">
        <v>39</v>
      </c>
      <c r="L1846" s="2" t="s">
        <v>39</v>
      </c>
      <c r="M1846" s="2" t="s">
        <v>39</v>
      </c>
      <c r="N1846" s="2" t="s">
        <v>39</v>
      </c>
      <c r="O1846" s="2" t="s">
        <v>39</v>
      </c>
      <c r="P1846" s="2" t="s">
        <v>39</v>
      </c>
      <c r="Q1846" s="2" t="s">
        <v>39</v>
      </c>
      <c r="R1846" s="2" t="s">
        <v>39</v>
      </c>
      <c r="S1846" s="2" t="s">
        <v>39</v>
      </c>
      <c r="T1846" s="2" t="s">
        <v>39</v>
      </c>
      <c r="U1846" s="2" t="s">
        <v>39</v>
      </c>
      <c r="V1846" s="2" t="s">
        <v>39</v>
      </c>
      <c r="W1846" s="2" t="s">
        <v>39</v>
      </c>
      <c r="X1846" s="2" t="s">
        <v>39</v>
      </c>
      <c r="Y1846" s="2" t="s">
        <v>39</v>
      </c>
      <c r="Z1846" s="2" t="s">
        <v>39</v>
      </c>
      <c r="AA1846" s="2" t="s">
        <v>39</v>
      </c>
      <c r="AB1846" s="2" t="s">
        <v>39</v>
      </c>
      <c r="AC1846" s="2" t="s">
        <v>39</v>
      </c>
      <c r="AD1846" s="2" t="s">
        <v>39</v>
      </c>
      <c r="AE1846" s="2" t="s">
        <v>39</v>
      </c>
    </row>
    <row r="1847" spans="1:31" ht="409.5">
      <c r="A1847" s="2">
        <v>2493426</v>
      </c>
      <c r="B1847" s="2">
        <f>HYPERLINK("https://platform.v2.vetology.net/cases/2493426/screening-report/18?type=pdf&amp;v=v6&amp;scorecard=1&amp;secret_key=BX%25IJ%24%2F65ieZ%29f6", 2493426)</f>
        <v>2493426</v>
      </c>
      <c r="C1847" s="2">
        <f>HYPERLINK("https://platform.v2.vetology.net/report/v/final/"&amp;2493426, 2493426)</f>
        <v>2493426</v>
      </c>
      <c r="D1847" s="2" t="s">
        <v>5193</v>
      </c>
      <c r="E1847" s="2" t="s">
        <v>5194</v>
      </c>
      <c r="F1847" s="2" t="s">
        <v>455</v>
      </c>
      <c r="G1847" s="2" t="s">
        <v>58</v>
      </c>
      <c r="H1847" s="2" t="s">
        <v>94</v>
      </c>
      <c r="I1847" s="2" t="s">
        <v>89</v>
      </c>
      <c r="J1847" s="2" t="s">
        <v>66</v>
      </c>
      <c r="K1847" s="2" t="s">
        <v>38</v>
      </c>
      <c r="L1847" s="2" t="s">
        <v>38</v>
      </c>
      <c r="M1847" s="2" t="s">
        <v>38</v>
      </c>
      <c r="N1847" s="2" t="s">
        <v>38</v>
      </c>
      <c r="O1847" s="2" t="s">
        <v>38</v>
      </c>
      <c r="P1847" s="2" t="s">
        <v>38</v>
      </c>
      <c r="Q1847" s="2" t="s">
        <v>38</v>
      </c>
      <c r="R1847" s="2" t="s">
        <v>38</v>
      </c>
      <c r="S1847" s="2" t="s">
        <v>38</v>
      </c>
      <c r="T1847" s="2" t="s">
        <v>39</v>
      </c>
      <c r="U1847" s="2" t="s">
        <v>38</v>
      </c>
      <c r="V1847" s="2" t="s">
        <v>39</v>
      </c>
      <c r="W1847" s="2" t="s">
        <v>38</v>
      </c>
      <c r="X1847" s="2" t="s">
        <v>39</v>
      </c>
      <c r="Y1847" s="2" t="s">
        <v>38</v>
      </c>
      <c r="Z1847" s="2" t="s">
        <v>38</v>
      </c>
      <c r="AA1847" s="2" t="s">
        <v>38</v>
      </c>
      <c r="AB1847" s="2" t="s">
        <v>38</v>
      </c>
      <c r="AC1847" s="2" t="s">
        <v>38</v>
      </c>
      <c r="AD1847" s="2" t="s">
        <v>38</v>
      </c>
      <c r="AE1847" s="2" t="s">
        <v>39</v>
      </c>
    </row>
    <row r="1848" spans="1:31" ht="409.5">
      <c r="A1848" s="2">
        <v>2493110</v>
      </c>
      <c r="B1848" s="2">
        <f>HYPERLINK("https://platform.v2.vetology.net/cases/2493110/screening-report/18?type=pdf&amp;v=v6&amp;scorecard=1&amp;secret_key=BX%25IJ%24%2F65ieZ%29f6", 2493110)</f>
        <v>2493110</v>
      </c>
      <c r="C1848" s="2">
        <f>HYPERLINK("https://platform.v2.vetology.net/report/v/final/"&amp;2493110, 2493110)</f>
        <v>2493110</v>
      </c>
      <c r="D1848" s="2" t="s">
        <v>5195</v>
      </c>
      <c r="E1848" s="2" t="s">
        <v>5196</v>
      </c>
      <c r="F1848" s="2" t="s">
        <v>5197</v>
      </c>
      <c r="G1848" s="2" t="s">
        <v>268</v>
      </c>
      <c r="H1848" s="2" t="s">
        <v>5198</v>
      </c>
      <c r="I1848" s="2" t="s">
        <v>2869</v>
      </c>
      <c r="J1848" s="2" t="s">
        <v>989</v>
      </c>
      <c r="K1848" s="2" t="s">
        <v>39</v>
      </c>
      <c r="L1848" s="2" t="s">
        <v>39</v>
      </c>
      <c r="M1848" s="2" t="s">
        <v>39</v>
      </c>
      <c r="N1848" s="2" t="s">
        <v>39</v>
      </c>
      <c r="O1848" s="2" t="s">
        <v>39</v>
      </c>
      <c r="P1848" s="2" t="s">
        <v>39</v>
      </c>
      <c r="Q1848" s="2" t="s">
        <v>39</v>
      </c>
      <c r="R1848" s="2" t="s">
        <v>39</v>
      </c>
      <c r="S1848" s="2" t="s">
        <v>39</v>
      </c>
      <c r="T1848" s="2" t="s">
        <v>39</v>
      </c>
      <c r="U1848" s="2" t="s">
        <v>39</v>
      </c>
      <c r="V1848" s="2" t="s">
        <v>38</v>
      </c>
      <c r="W1848" s="2" t="s">
        <v>38</v>
      </c>
      <c r="X1848" s="2" t="s">
        <v>39</v>
      </c>
      <c r="Y1848" s="2" t="s">
        <v>39</v>
      </c>
      <c r="Z1848" s="2" t="s">
        <v>39</v>
      </c>
      <c r="AA1848" s="2" t="s">
        <v>39</v>
      </c>
      <c r="AB1848" s="2" t="s">
        <v>39</v>
      </c>
      <c r="AC1848" s="2" t="s">
        <v>39</v>
      </c>
      <c r="AD1848" s="2" t="s">
        <v>38</v>
      </c>
      <c r="AE1848" s="2" t="s">
        <v>38</v>
      </c>
    </row>
    <row r="1849" spans="1:31" ht="409.5">
      <c r="A1849" s="2">
        <v>2493008</v>
      </c>
      <c r="B1849" s="2">
        <f>HYPERLINK("https://platform.v2.vetology.net/cases/2493008/screening-report/18?type=pdf&amp;v=v6&amp;scorecard=1&amp;secret_key=BX%25IJ%24%2F65ieZ%29f6", 2493008)</f>
        <v>2493008</v>
      </c>
      <c r="C1849" s="2">
        <f>HYPERLINK("https://platform.v2.vetology.net/report/v/final/"&amp;2493008, 2493008)</f>
        <v>2493008</v>
      </c>
      <c r="D1849" s="2" t="s">
        <v>5199</v>
      </c>
      <c r="E1849" s="2" t="s">
        <v>5200</v>
      </c>
      <c r="F1849" s="2" t="s">
        <v>5201</v>
      </c>
      <c r="G1849" s="2" t="s">
        <v>464</v>
      </c>
      <c r="H1849" s="2" t="s">
        <v>3219</v>
      </c>
      <c r="I1849" s="2" t="s">
        <v>137</v>
      </c>
      <c r="J1849" s="2" t="s">
        <v>66</v>
      </c>
      <c r="K1849" s="2" t="s">
        <v>38</v>
      </c>
      <c r="L1849" s="2" t="s">
        <v>39</v>
      </c>
      <c r="M1849" s="2" t="s">
        <v>38</v>
      </c>
      <c r="N1849" s="2" t="s">
        <v>38</v>
      </c>
      <c r="O1849" s="2" t="s">
        <v>38</v>
      </c>
      <c r="P1849" s="2" t="s">
        <v>39</v>
      </c>
      <c r="Q1849" s="2" t="s">
        <v>38</v>
      </c>
      <c r="R1849" s="2" t="s">
        <v>38</v>
      </c>
      <c r="S1849" s="2" t="s">
        <v>38</v>
      </c>
      <c r="T1849" s="2" t="s">
        <v>38</v>
      </c>
      <c r="U1849" s="2" t="s">
        <v>38</v>
      </c>
      <c r="V1849" s="2" t="s">
        <v>38</v>
      </c>
      <c r="W1849" s="2" t="s">
        <v>38</v>
      </c>
      <c r="X1849" s="2" t="s">
        <v>38</v>
      </c>
      <c r="Y1849" s="2" t="s">
        <v>38</v>
      </c>
      <c r="Z1849" s="2" t="s">
        <v>38</v>
      </c>
      <c r="AA1849" s="2" t="s">
        <v>38</v>
      </c>
      <c r="AB1849" s="2" t="s">
        <v>39</v>
      </c>
      <c r="AC1849" s="2" t="s">
        <v>38</v>
      </c>
      <c r="AD1849" s="2" t="s">
        <v>38</v>
      </c>
      <c r="AE1849" s="2" t="s">
        <v>38</v>
      </c>
    </row>
    <row r="1850" spans="1:31" ht="409.5">
      <c r="A1850" s="2">
        <v>2492976</v>
      </c>
      <c r="B1850" s="2">
        <f>HYPERLINK("https://platform.v2.vetology.net/cases/2492976/screening-report/18?type=pdf&amp;v=v6&amp;scorecard=1&amp;secret_key=BX%25IJ%24%2F65ieZ%29f6", 2492976)</f>
        <v>2492976</v>
      </c>
      <c r="C1850" s="2">
        <f>HYPERLINK("https://platform.v2.vetology.net/report/v/final/"&amp;2492976, 2492976)</f>
        <v>2492976</v>
      </c>
      <c r="D1850" s="2" t="s">
        <v>5202</v>
      </c>
      <c r="E1850" s="2" t="s">
        <v>5203</v>
      </c>
      <c r="F1850" s="2" t="s">
        <v>5204</v>
      </c>
      <c r="G1850" s="2" t="s">
        <v>135</v>
      </c>
      <c r="H1850" s="2" t="s">
        <v>54</v>
      </c>
      <c r="I1850" s="2" t="s">
        <v>44</v>
      </c>
      <c r="J1850" s="2"/>
      <c r="K1850" s="2" t="s">
        <v>38</v>
      </c>
      <c r="L1850" s="2" t="s">
        <v>38</v>
      </c>
      <c r="M1850" s="2" t="s">
        <v>38</v>
      </c>
      <c r="N1850" s="2" t="s">
        <v>38</v>
      </c>
      <c r="O1850" s="2" t="s">
        <v>38</v>
      </c>
      <c r="P1850" s="2" t="s">
        <v>38</v>
      </c>
      <c r="Q1850" s="2" t="s">
        <v>38</v>
      </c>
      <c r="R1850" s="2" t="s">
        <v>38</v>
      </c>
      <c r="S1850" s="2" t="s">
        <v>38</v>
      </c>
      <c r="T1850" s="2" t="s">
        <v>39</v>
      </c>
      <c r="U1850" s="2" t="s">
        <v>38</v>
      </c>
      <c r="V1850" s="2" t="s">
        <v>38</v>
      </c>
      <c r="W1850" s="2" t="s">
        <v>38</v>
      </c>
      <c r="X1850" s="2" t="s">
        <v>38</v>
      </c>
      <c r="Y1850" s="2" t="s">
        <v>38</v>
      </c>
      <c r="Z1850" s="2" t="s">
        <v>38</v>
      </c>
      <c r="AA1850" s="2" t="s">
        <v>38</v>
      </c>
      <c r="AB1850" s="2" t="s">
        <v>38</v>
      </c>
      <c r="AC1850" s="2" t="s">
        <v>38</v>
      </c>
      <c r="AD1850" s="2" t="s">
        <v>38</v>
      </c>
      <c r="AE1850" s="2" t="s">
        <v>38</v>
      </c>
    </row>
    <row r="1851" spans="1:31" ht="409.5">
      <c r="A1851" s="2">
        <v>2492894</v>
      </c>
      <c r="B1851" s="2">
        <f>HYPERLINK("https://platform.v2.vetology.net/cases/2492894/screening-report/18?type=pdf&amp;v=v6&amp;scorecard=1&amp;secret_key=BX%25IJ%24%2F65ieZ%29f6", 2492894)</f>
        <v>2492894</v>
      </c>
      <c r="C1851" s="2">
        <f>HYPERLINK("https://platform.v2.vetology.net/report/v/final/"&amp;2492894, 2492894)</f>
        <v>2492894</v>
      </c>
      <c r="D1851" s="2" t="s">
        <v>5205</v>
      </c>
      <c r="E1851" s="2" t="s">
        <v>5206</v>
      </c>
      <c r="F1851" s="2" t="s">
        <v>5207</v>
      </c>
      <c r="G1851" s="2" t="s">
        <v>93</v>
      </c>
      <c r="H1851" s="2" t="s">
        <v>733</v>
      </c>
      <c r="I1851" s="2" t="s">
        <v>158</v>
      </c>
      <c r="J1851" s="2" t="s">
        <v>50</v>
      </c>
      <c r="K1851" s="2" t="s">
        <v>38</v>
      </c>
      <c r="L1851" s="2" t="s">
        <v>39</v>
      </c>
      <c r="M1851" s="2" t="s">
        <v>39</v>
      </c>
      <c r="N1851" s="2" t="s">
        <v>38</v>
      </c>
      <c r="O1851" s="2" t="s">
        <v>38</v>
      </c>
      <c r="P1851" s="2" t="s">
        <v>38</v>
      </c>
      <c r="Q1851" s="2" t="s">
        <v>38</v>
      </c>
      <c r="R1851" s="2" t="s">
        <v>38</v>
      </c>
      <c r="S1851" s="2" t="s">
        <v>38</v>
      </c>
      <c r="T1851" s="2" t="s">
        <v>39</v>
      </c>
      <c r="U1851" s="2" t="s">
        <v>38</v>
      </c>
      <c r="V1851" s="2" t="s">
        <v>39</v>
      </c>
      <c r="W1851" s="2" t="s">
        <v>38</v>
      </c>
      <c r="X1851" s="2" t="s">
        <v>39</v>
      </c>
      <c r="Y1851" s="2" t="s">
        <v>38</v>
      </c>
      <c r="Z1851" s="2" t="s">
        <v>39</v>
      </c>
      <c r="AA1851" s="2" t="s">
        <v>38</v>
      </c>
      <c r="AB1851" s="2" t="s">
        <v>39</v>
      </c>
      <c r="AC1851" s="2" t="s">
        <v>39</v>
      </c>
      <c r="AD1851" s="2" t="s">
        <v>38</v>
      </c>
      <c r="AE1851" s="2" t="s">
        <v>38</v>
      </c>
    </row>
    <row r="1852" spans="1:31" ht="409.5">
      <c r="A1852" s="2">
        <v>2492698</v>
      </c>
      <c r="B1852" s="2">
        <f>HYPERLINK("https://platform.v2.vetology.net/cases/2492698/screening-report/18?type=pdf&amp;v=v6&amp;scorecard=1&amp;secret_key=BX%25IJ%24%2F65ieZ%29f6", 2492698)</f>
        <v>2492698</v>
      </c>
      <c r="C1852" s="2">
        <f>HYPERLINK("https://platform.v2.vetology.net/report/v/final/"&amp;2492698, 2492698)</f>
        <v>2492698</v>
      </c>
      <c r="D1852" s="2" t="s">
        <v>5208</v>
      </c>
      <c r="E1852" s="2" t="s">
        <v>5209</v>
      </c>
      <c r="F1852" s="2" t="s">
        <v>5210</v>
      </c>
      <c r="G1852" s="2" t="s">
        <v>93</v>
      </c>
      <c r="H1852" s="2" t="s">
        <v>5211</v>
      </c>
      <c r="I1852" s="2" t="s">
        <v>689</v>
      </c>
      <c r="J1852" s="2" t="s">
        <v>690</v>
      </c>
      <c r="K1852" s="2" t="s">
        <v>38</v>
      </c>
      <c r="L1852" s="2" t="s">
        <v>39</v>
      </c>
      <c r="M1852" s="2" t="s">
        <v>39</v>
      </c>
      <c r="N1852" s="2" t="s">
        <v>39</v>
      </c>
      <c r="O1852" s="2" t="s">
        <v>38</v>
      </c>
      <c r="P1852" s="2" t="s">
        <v>38</v>
      </c>
      <c r="Q1852" s="2" t="s">
        <v>38</v>
      </c>
      <c r="R1852" s="2" t="s">
        <v>38</v>
      </c>
      <c r="S1852" s="2" t="s">
        <v>38</v>
      </c>
      <c r="T1852" s="2" t="s">
        <v>38</v>
      </c>
      <c r="U1852" s="2" t="s">
        <v>38</v>
      </c>
      <c r="V1852" s="2" t="s">
        <v>38</v>
      </c>
      <c r="W1852" s="2" t="s">
        <v>38</v>
      </c>
      <c r="X1852" s="2" t="s">
        <v>38</v>
      </c>
      <c r="Y1852" s="2" t="s">
        <v>38</v>
      </c>
      <c r="Z1852" s="2" t="s">
        <v>38</v>
      </c>
      <c r="AA1852" s="2" t="s">
        <v>38</v>
      </c>
      <c r="AB1852" s="2" t="s">
        <v>38</v>
      </c>
      <c r="AC1852" s="2" t="s">
        <v>39</v>
      </c>
      <c r="AD1852" s="2" t="s">
        <v>38</v>
      </c>
      <c r="AE1852" s="2" t="s">
        <v>39</v>
      </c>
    </row>
    <row r="1853" spans="1:31" ht="409.5">
      <c r="A1853" s="2">
        <v>2492683</v>
      </c>
      <c r="B1853" s="2">
        <f>HYPERLINK("https://platform.v2.vetology.net/cases/2492683/screening-report/18?type=pdf&amp;v=v6&amp;scorecard=1&amp;secret_key=BX%25IJ%24%2F65ieZ%29f6", 2492683)</f>
        <v>2492683</v>
      </c>
      <c r="C1853" s="2">
        <f>HYPERLINK("https://platform.v2.vetology.net/report/v/final/"&amp;2492683, 2492683)</f>
        <v>2492683</v>
      </c>
      <c r="D1853" s="2" t="s">
        <v>5212</v>
      </c>
      <c r="E1853" s="2" t="s">
        <v>4835</v>
      </c>
      <c r="F1853" s="2" t="s">
        <v>239</v>
      </c>
      <c r="G1853" s="2" t="s">
        <v>150</v>
      </c>
      <c r="H1853" s="2" t="s">
        <v>5213</v>
      </c>
      <c r="I1853" s="2" t="s">
        <v>1085</v>
      </c>
      <c r="J1853" s="2" t="s">
        <v>518</v>
      </c>
      <c r="K1853" s="2" t="s">
        <v>38</v>
      </c>
      <c r="L1853" s="2" t="s">
        <v>39</v>
      </c>
      <c r="M1853" s="2" t="s">
        <v>39</v>
      </c>
      <c r="N1853" s="2" t="s">
        <v>39</v>
      </c>
      <c r="O1853" s="2" t="s">
        <v>39</v>
      </c>
      <c r="P1853" s="2" t="s">
        <v>39</v>
      </c>
      <c r="Q1853" s="2" t="s">
        <v>39</v>
      </c>
      <c r="R1853" s="2" t="s">
        <v>39</v>
      </c>
      <c r="S1853" s="2" t="s">
        <v>39</v>
      </c>
      <c r="T1853" s="2" t="s">
        <v>39</v>
      </c>
      <c r="U1853" s="2" t="s">
        <v>39</v>
      </c>
      <c r="V1853" s="2" t="s">
        <v>39</v>
      </c>
      <c r="W1853" s="2" t="s">
        <v>39</v>
      </c>
      <c r="X1853" s="2" t="s">
        <v>39</v>
      </c>
      <c r="Y1853" s="2" t="s">
        <v>39</v>
      </c>
      <c r="Z1853" s="2" t="s">
        <v>39</v>
      </c>
      <c r="AA1853" s="2" t="s">
        <v>39</v>
      </c>
      <c r="AB1853" s="2" t="s">
        <v>39</v>
      </c>
      <c r="AC1853" s="2" t="s">
        <v>39</v>
      </c>
      <c r="AD1853" s="2" t="s">
        <v>38</v>
      </c>
      <c r="AE1853" s="2" t="s">
        <v>38</v>
      </c>
    </row>
    <row r="1854" spans="1:31" ht="409.5">
      <c r="A1854" s="2">
        <v>2492658</v>
      </c>
      <c r="B1854" s="2">
        <f>HYPERLINK("https://platform.v2.vetology.net/cases/2492658/screening-report/18?type=pdf&amp;v=v6&amp;scorecard=1&amp;secret_key=BX%25IJ%24%2F65ieZ%29f6", 2492658)</f>
        <v>2492658</v>
      </c>
      <c r="C1854" s="2">
        <f>HYPERLINK("https://platform.v2.vetology.net/report/v/final/"&amp;2492658, 2492658)</f>
        <v>2492658</v>
      </c>
      <c r="D1854" s="2" t="s">
        <v>5214</v>
      </c>
      <c r="E1854" s="2" t="s">
        <v>5215</v>
      </c>
      <c r="F1854" s="2" t="s">
        <v>5216</v>
      </c>
      <c r="G1854" s="2" t="s">
        <v>58</v>
      </c>
      <c r="H1854" s="2" t="s">
        <v>5217</v>
      </c>
      <c r="I1854" s="2" t="s">
        <v>264</v>
      </c>
      <c r="J1854" s="2" t="s">
        <v>265</v>
      </c>
      <c r="K1854" s="2" t="s">
        <v>38</v>
      </c>
      <c r="L1854" s="2" t="s">
        <v>39</v>
      </c>
      <c r="M1854" s="2" t="s">
        <v>39</v>
      </c>
      <c r="N1854" s="2" t="s">
        <v>38</v>
      </c>
      <c r="O1854" s="2" t="s">
        <v>39</v>
      </c>
      <c r="P1854" s="2" t="s">
        <v>39</v>
      </c>
      <c r="Q1854" s="2" t="s">
        <v>38</v>
      </c>
      <c r="R1854" s="2" t="s">
        <v>38</v>
      </c>
      <c r="S1854" s="2" t="s">
        <v>38</v>
      </c>
      <c r="T1854" s="2" t="s">
        <v>39</v>
      </c>
      <c r="U1854" s="2" t="s">
        <v>38</v>
      </c>
      <c r="V1854" s="2" t="s">
        <v>39</v>
      </c>
      <c r="W1854" s="2" t="s">
        <v>38</v>
      </c>
      <c r="X1854" s="2" t="s">
        <v>39</v>
      </c>
      <c r="Y1854" s="2" t="s">
        <v>38</v>
      </c>
      <c r="Z1854" s="2" t="s">
        <v>39</v>
      </c>
      <c r="AA1854" s="2" t="s">
        <v>38</v>
      </c>
      <c r="AB1854" s="2" t="s">
        <v>39</v>
      </c>
      <c r="AC1854" s="2" t="s">
        <v>38</v>
      </c>
      <c r="AD1854" s="2" t="s">
        <v>38</v>
      </c>
      <c r="AE1854" s="2" t="s">
        <v>38</v>
      </c>
    </row>
    <row r="1855" spans="1:31" ht="409.5">
      <c r="A1855" s="2">
        <v>2492268</v>
      </c>
      <c r="B1855" s="2">
        <f>HYPERLINK("https://platform.v2.vetology.net/cases/2492268/screening-report/18?type=pdf&amp;v=v6&amp;scorecard=1&amp;secret_key=BX%25IJ%24%2F65ieZ%29f6", 2492268)</f>
        <v>2492268</v>
      </c>
      <c r="C1855" s="2">
        <f>HYPERLINK("https://platform.v2.vetology.net/report/v/final/"&amp;2492268, 2492268)</f>
        <v>2492268</v>
      </c>
      <c r="D1855" s="2" t="s">
        <v>5218</v>
      </c>
      <c r="E1855" s="2" t="s">
        <v>5219</v>
      </c>
      <c r="F1855" s="2" t="s">
        <v>3109</v>
      </c>
      <c r="G1855" s="2" t="s">
        <v>58</v>
      </c>
      <c r="H1855" s="2" t="s">
        <v>129</v>
      </c>
      <c r="I1855" s="2" t="s">
        <v>44</v>
      </c>
      <c r="J1855" s="2"/>
      <c r="K1855" s="2" t="s">
        <v>38</v>
      </c>
      <c r="L1855" s="2" t="s">
        <v>38</v>
      </c>
      <c r="M1855" s="2" t="s">
        <v>38</v>
      </c>
      <c r="N1855" s="2" t="s">
        <v>38</v>
      </c>
      <c r="O1855" s="2" t="s">
        <v>38</v>
      </c>
      <c r="P1855" s="2" t="s">
        <v>38</v>
      </c>
      <c r="Q1855" s="2" t="s">
        <v>38</v>
      </c>
      <c r="R1855" s="2" t="s">
        <v>38</v>
      </c>
      <c r="S1855" s="2" t="s">
        <v>38</v>
      </c>
      <c r="T1855" s="2" t="s">
        <v>39</v>
      </c>
      <c r="U1855" s="2" t="s">
        <v>38</v>
      </c>
      <c r="V1855" s="2" t="s">
        <v>39</v>
      </c>
      <c r="W1855" s="2" t="s">
        <v>38</v>
      </c>
      <c r="X1855" s="2" t="s">
        <v>39</v>
      </c>
      <c r="Y1855" s="2" t="s">
        <v>38</v>
      </c>
      <c r="Z1855" s="2" t="s">
        <v>38</v>
      </c>
      <c r="AA1855" s="2" t="s">
        <v>38</v>
      </c>
      <c r="AB1855" s="2" t="s">
        <v>38</v>
      </c>
      <c r="AC1855" s="2" t="s">
        <v>38</v>
      </c>
      <c r="AD1855" s="2" t="s">
        <v>38</v>
      </c>
      <c r="AE1855" s="2" t="s">
        <v>38</v>
      </c>
    </row>
    <row r="1856" spans="1:31" ht="409.5">
      <c r="A1856" s="2">
        <v>2492077</v>
      </c>
      <c r="B1856" s="2">
        <f>HYPERLINK("https://platform.v2.vetology.net/cases/2492077/screening-report/18?type=pdf&amp;v=v6&amp;scorecard=1&amp;secret_key=BX%25IJ%24%2F65ieZ%29f6", 2492077)</f>
        <v>2492077</v>
      </c>
      <c r="C1856" s="2">
        <f>HYPERLINK("https://platform.v2.vetology.net/report/v/final/"&amp;2492077, 2492077)</f>
        <v>2492077</v>
      </c>
      <c r="D1856" s="2" t="s">
        <v>5220</v>
      </c>
      <c r="E1856" s="2" t="s">
        <v>5221</v>
      </c>
      <c r="F1856" s="2" t="s">
        <v>5222</v>
      </c>
      <c r="G1856" s="2" t="s">
        <v>58</v>
      </c>
      <c r="H1856" s="2" t="s">
        <v>5223</v>
      </c>
      <c r="I1856" s="2" t="s">
        <v>2834</v>
      </c>
      <c r="J1856" s="2" t="s">
        <v>66</v>
      </c>
      <c r="K1856" s="2" t="s">
        <v>39</v>
      </c>
      <c r="L1856" s="2" t="s">
        <v>39</v>
      </c>
      <c r="M1856" s="2" t="s">
        <v>39</v>
      </c>
      <c r="N1856" s="2" t="s">
        <v>38</v>
      </c>
      <c r="O1856" s="2" t="s">
        <v>39</v>
      </c>
      <c r="P1856" s="2" t="s">
        <v>39</v>
      </c>
      <c r="Q1856" s="2" t="s">
        <v>38</v>
      </c>
      <c r="R1856" s="2" t="s">
        <v>38</v>
      </c>
      <c r="S1856" s="2" t="s">
        <v>39</v>
      </c>
      <c r="T1856" s="2" t="s">
        <v>39</v>
      </c>
      <c r="U1856" s="2" t="s">
        <v>39</v>
      </c>
      <c r="V1856" s="2" t="s">
        <v>39</v>
      </c>
      <c r="W1856" s="2" t="s">
        <v>38</v>
      </c>
      <c r="X1856" s="2" t="s">
        <v>39</v>
      </c>
      <c r="Y1856" s="2" t="s">
        <v>38</v>
      </c>
      <c r="Z1856" s="2" t="s">
        <v>39</v>
      </c>
      <c r="AA1856" s="2" t="s">
        <v>38</v>
      </c>
      <c r="AB1856" s="2" t="s">
        <v>39</v>
      </c>
      <c r="AC1856" s="2" t="s">
        <v>39</v>
      </c>
      <c r="AD1856" s="2" t="s">
        <v>38</v>
      </c>
      <c r="AE1856" s="2" t="s">
        <v>38</v>
      </c>
    </row>
    <row r="1857" spans="1:31" ht="409.5">
      <c r="A1857" s="2">
        <v>2491270</v>
      </c>
      <c r="B1857" s="2">
        <f>HYPERLINK("https://platform.v2.vetology.net/cases/2491270/screening-report/18?type=pdf&amp;v=v6&amp;scorecard=1&amp;secret_key=BX%25IJ%24%2F65ieZ%29f6", 2491270)</f>
        <v>2491270</v>
      </c>
      <c r="C1857" s="2">
        <f>HYPERLINK("https://platform.v2.vetology.net/report/v/final/"&amp;2491270, 2491270)</f>
        <v>2491270</v>
      </c>
      <c r="D1857" s="2" t="s">
        <v>5224</v>
      </c>
      <c r="E1857" s="2" t="s">
        <v>5225</v>
      </c>
      <c r="F1857" s="2" t="s">
        <v>5226</v>
      </c>
      <c r="G1857" s="2" t="s">
        <v>268</v>
      </c>
      <c r="H1857" s="2" t="s">
        <v>54</v>
      </c>
      <c r="I1857" s="2" t="s">
        <v>44</v>
      </c>
      <c r="J1857" s="2" t="s">
        <v>106</v>
      </c>
      <c r="K1857" s="2" t="s">
        <v>38</v>
      </c>
      <c r="L1857" s="2" t="s">
        <v>39</v>
      </c>
      <c r="M1857" s="2" t="s">
        <v>38</v>
      </c>
      <c r="N1857" s="2" t="s">
        <v>38</v>
      </c>
      <c r="O1857" s="2" t="s">
        <v>38</v>
      </c>
      <c r="P1857" s="2" t="s">
        <v>38</v>
      </c>
      <c r="Q1857" s="2" t="s">
        <v>38</v>
      </c>
      <c r="R1857" s="2" t="s">
        <v>38</v>
      </c>
      <c r="S1857" s="2" t="s">
        <v>38</v>
      </c>
      <c r="T1857" s="2" t="s">
        <v>38</v>
      </c>
      <c r="U1857" s="2" t="s">
        <v>38</v>
      </c>
      <c r="V1857" s="2" t="s">
        <v>38</v>
      </c>
      <c r="W1857" s="2" t="s">
        <v>38</v>
      </c>
      <c r="X1857" s="2" t="s">
        <v>38</v>
      </c>
      <c r="Y1857" s="2" t="s">
        <v>38</v>
      </c>
      <c r="Z1857" s="2" t="s">
        <v>38</v>
      </c>
      <c r="AA1857" s="2" t="s">
        <v>38</v>
      </c>
      <c r="AB1857" s="2" t="s">
        <v>38</v>
      </c>
      <c r="AC1857" s="2" t="s">
        <v>38</v>
      </c>
      <c r="AD1857" s="2" t="s">
        <v>38</v>
      </c>
      <c r="AE1857" s="2" t="s">
        <v>38</v>
      </c>
    </row>
    <row r="1858" spans="1:31" ht="409.5">
      <c r="A1858" s="2">
        <v>2490901</v>
      </c>
      <c r="B1858" s="2">
        <f>HYPERLINK("https://platform.v2.vetology.net/cases/2490901/screening-report/18?type=pdf&amp;v=v6&amp;scorecard=1&amp;secret_key=BX%25IJ%24%2F65ieZ%29f6", 2490901)</f>
        <v>2490901</v>
      </c>
      <c r="C1858" s="2">
        <f>HYPERLINK("https://platform.v2.vetology.net/report/v/final/"&amp;2490901, 2490901)</f>
        <v>2490901</v>
      </c>
      <c r="D1858" s="2" t="s">
        <v>5227</v>
      </c>
      <c r="E1858" s="2" t="s">
        <v>304</v>
      </c>
      <c r="F1858" s="2"/>
      <c r="G1858" s="2" t="s">
        <v>150</v>
      </c>
      <c r="H1858" s="2" t="s">
        <v>4253</v>
      </c>
      <c r="I1858" s="2" t="s">
        <v>227</v>
      </c>
      <c r="J1858" s="2" t="s">
        <v>228</v>
      </c>
      <c r="K1858" s="2" t="s">
        <v>38</v>
      </c>
      <c r="L1858" s="2" t="s">
        <v>39</v>
      </c>
      <c r="M1858" s="2" t="s">
        <v>39</v>
      </c>
      <c r="N1858" s="2" t="s">
        <v>39</v>
      </c>
      <c r="O1858" s="2" t="s">
        <v>38</v>
      </c>
      <c r="P1858" s="2" t="s">
        <v>39</v>
      </c>
      <c r="Q1858" s="2" t="s">
        <v>39</v>
      </c>
      <c r="R1858" s="2" t="s">
        <v>38</v>
      </c>
      <c r="S1858" s="2" t="s">
        <v>38</v>
      </c>
      <c r="T1858" s="2" t="s">
        <v>39</v>
      </c>
      <c r="U1858" s="2" t="s">
        <v>38</v>
      </c>
      <c r="V1858" s="2" t="s">
        <v>38</v>
      </c>
      <c r="W1858" s="2" t="s">
        <v>38</v>
      </c>
      <c r="X1858" s="2" t="s">
        <v>39</v>
      </c>
      <c r="Y1858" s="2" t="s">
        <v>38</v>
      </c>
      <c r="Z1858" s="2" t="s">
        <v>38</v>
      </c>
      <c r="AA1858" s="2" t="s">
        <v>38</v>
      </c>
      <c r="AB1858" s="2" t="s">
        <v>39</v>
      </c>
      <c r="AC1858" s="2" t="s">
        <v>39</v>
      </c>
      <c r="AD1858" s="2" t="s">
        <v>38</v>
      </c>
      <c r="AE1858" s="2" t="s">
        <v>38</v>
      </c>
    </row>
    <row r="1859" spans="1:31" ht="409.5">
      <c r="A1859" s="2">
        <v>2490494</v>
      </c>
      <c r="B1859" s="2">
        <f>HYPERLINK("https://platform.v2.vetology.net/cases/2490494/screening-report/18?type=pdf&amp;v=v6&amp;scorecard=1&amp;secret_key=BX%25IJ%24%2F65ieZ%29f6", 2490494)</f>
        <v>2490494</v>
      </c>
      <c r="C1859" s="2">
        <f>HYPERLINK("https://platform.v2.vetology.net/report/v/final/"&amp;2490494, 2490494)</f>
        <v>2490494</v>
      </c>
      <c r="D1859" s="2" t="s">
        <v>2088</v>
      </c>
      <c r="E1859" s="2" t="s">
        <v>387</v>
      </c>
      <c r="F1859" s="2" t="s">
        <v>149</v>
      </c>
      <c r="G1859" s="2" t="s">
        <v>150</v>
      </c>
      <c r="H1859" s="2" t="s">
        <v>54</v>
      </c>
      <c r="I1859" s="2" t="s">
        <v>44</v>
      </c>
      <c r="J1859" s="2"/>
      <c r="K1859" s="2" t="s">
        <v>38</v>
      </c>
      <c r="L1859" s="2" t="s">
        <v>38</v>
      </c>
      <c r="M1859" s="2" t="s">
        <v>39</v>
      </c>
      <c r="N1859" s="2" t="s">
        <v>38</v>
      </c>
      <c r="O1859" s="2" t="s">
        <v>38</v>
      </c>
      <c r="P1859" s="2" t="s">
        <v>38</v>
      </c>
      <c r="Q1859" s="2" t="s">
        <v>38</v>
      </c>
      <c r="R1859" s="2" t="s">
        <v>38</v>
      </c>
      <c r="S1859" s="2" t="s">
        <v>38</v>
      </c>
      <c r="T1859" s="2" t="s">
        <v>38</v>
      </c>
      <c r="U1859" s="2" t="s">
        <v>38</v>
      </c>
      <c r="V1859" s="2" t="s">
        <v>38</v>
      </c>
      <c r="W1859" s="2" t="s">
        <v>38</v>
      </c>
      <c r="X1859" s="2" t="s">
        <v>38</v>
      </c>
      <c r="Y1859" s="2" t="s">
        <v>38</v>
      </c>
      <c r="Z1859" s="2" t="s">
        <v>38</v>
      </c>
      <c r="AA1859" s="2" t="s">
        <v>38</v>
      </c>
      <c r="AB1859" s="2" t="s">
        <v>38</v>
      </c>
      <c r="AC1859" s="2" t="s">
        <v>38</v>
      </c>
      <c r="AD1859" s="2" t="s">
        <v>38</v>
      </c>
      <c r="AE1859" s="2" t="s">
        <v>38</v>
      </c>
    </row>
    <row r="1860" spans="1:31" ht="409.5">
      <c r="A1860" s="2">
        <v>2490457</v>
      </c>
      <c r="B1860" s="2">
        <f>HYPERLINK("https://platform.v2.vetology.net/cases/2490457/screening-report/18?type=pdf&amp;v=v6&amp;scorecard=1&amp;secret_key=BX%25IJ%24%2F65ieZ%29f6", 2490457)</f>
        <v>2490457</v>
      </c>
      <c r="C1860" s="2">
        <f>HYPERLINK("https://platform.v2.vetology.net/report/v/final/"&amp;2490457, 2490457)</f>
        <v>2490457</v>
      </c>
      <c r="D1860" s="2" t="s">
        <v>5228</v>
      </c>
      <c r="E1860" s="2" t="s">
        <v>5229</v>
      </c>
      <c r="F1860" s="2" t="s">
        <v>5230</v>
      </c>
      <c r="G1860" s="2" t="s">
        <v>268</v>
      </c>
      <c r="H1860" s="2" t="s">
        <v>105</v>
      </c>
      <c r="I1860" s="2" t="s">
        <v>44</v>
      </c>
      <c r="J1860" s="2" t="s">
        <v>106</v>
      </c>
      <c r="K1860" s="2" t="s">
        <v>38</v>
      </c>
      <c r="L1860" s="2" t="s">
        <v>38</v>
      </c>
      <c r="M1860" s="2" t="s">
        <v>38</v>
      </c>
      <c r="N1860" s="2" t="s">
        <v>38</v>
      </c>
      <c r="O1860" s="2" t="s">
        <v>38</v>
      </c>
      <c r="P1860" s="2" t="s">
        <v>38</v>
      </c>
      <c r="Q1860" s="2" t="s">
        <v>38</v>
      </c>
      <c r="R1860" s="2" t="s">
        <v>38</v>
      </c>
      <c r="S1860" s="2" t="s">
        <v>38</v>
      </c>
      <c r="T1860" s="2" t="s">
        <v>38</v>
      </c>
      <c r="U1860" s="2" t="s">
        <v>38</v>
      </c>
      <c r="V1860" s="2" t="s">
        <v>38</v>
      </c>
      <c r="W1860" s="2" t="s">
        <v>38</v>
      </c>
      <c r="X1860" s="2" t="s">
        <v>38</v>
      </c>
      <c r="Y1860" s="2" t="s">
        <v>38</v>
      </c>
      <c r="Z1860" s="2" t="s">
        <v>38</v>
      </c>
      <c r="AA1860" s="2" t="s">
        <v>38</v>
      </c>
      <c r="AB1860" s="2" t="s">
        <v>38</v>
      </c>
      <c r="AC1860" s="2" t="s">
        <v>38</v>
      </c>
      <c r="AD1860" s="2" t="s">
        <v>38</v>
      </c>
      <c r="AE1860" s="2" t="s">
        <v>38</v>
      </c>
    </row>
    <row r="1861" spans="1:31" ht="409.5">
      <c r="A1861" s="2">
        <v>2490367</v>
      </c>
      <c r="B1861" s="2">
        <f>HYPERLINK("https://platform.v2.vetology.net/cases/2490367/screening-report/18?type=pdf&amp;v=v6&amp;scorecard=1&amp;secret_key=BX%25IJ%24%2F65ieZ%29f6", 2490367)</f>
        <v>2490367</v>
      </c>
      <c r="C1861" s="2">
        <f>HYPERLINK("https://platform.v2.vetology.net/report/v/final/"&amp;2490367, 2490367)</f>
        <v>2490367</v>
      </c>
      <c r="D1861" s="2" t="s">
        <v>5231</v>
      </c>
      <c r="E1861" s="2" t="s">
        <v>5232</v>
      </c>
      <c r="F1861" s="2" t="s">
        <v>5233</v>
      </c>
      <c r="G1861" s="2" t="s">
        <v>268</v>
      </c>
      <c r="H1861" s="2" t="s">
        <v>54</v>
      </c>
      <c r="I1861" s="2" t="s">
        <v>44</v>
      </c>
      <c r="J1861" s="2" t="s">
        <v>106</v>
      </c>
      <c r="K1861" s="2" t="s">
        <v>38</v>
      </c>
      <c r="L1861" s="2" t="s">
        <v>38</v>
      </c>
      <c r="M1861" s="2" t="s">
        <v>38</v>
      </c>
      <c r="N1861" s="2" t="s">
        <v>38</v>
      </c>
      <c r="O1861" s="2" t="s">
        <v>38</v>
      </c>
      <c r="P1861" s="2" t="s">
        <v>38</v>
      </c>
      <c r="Q1861" s="2" t="s">
        <v>38</v>
      </c>
      <c r="R1861" s="2" t="s">
        <v>38</v>
      </c>
      <c r="S1861" s="2" t="s">
        <v>38</v>
      </c>
      <c r="T1861" s="2" t="s">
        <v>38</v>
      </c>
      <c r="U1861" s="2" t="s">
        <v>38</v>
      </c>
      <c r="V1861" s="2" t="s">
        <v>38</v>
      </c>
      <c r="W1861" s="2" t="s">
        <v>38</v>
      </c>
      <c r="X1861" s="2" t="s">
        <v>38</v>
      </c>
      <c r="Y1861" s="2" t="s">
        <v>38</v>
      </c>
      <c r="Z1861" s="2" t="s">
        <v>38</v>
      </c>
      <c r="AA1861" s="2" t="s">
        <v>38</v>
      </c>
      <c r="AB1861" s="2" t="s">
        <v>39</v>
      </c>
      <c r="AC1861" s="2" t="s">
        <v>38</v>
      </c>
      <c r="AD1861" s="2" t="s">
        <v>38</v>
      </c>
      <c r="AE1861" s="2" t="s">
        <v>38</v>
      </c>
    </row>
    <row r="1862" spans="1:31" ht="409.5">
      <c r="A1862" s="2">
        <v>2489906</v>
      </c>
      <c r="B1862" s="2">
        <f>HYPERLINK("https://platform.v2.vetology.net/cases/2489906/screening-report/18?type=pdf&amp;v=v6&amp;scorecard=1&amp;secret_key=BX%25IJ%24%2F65ieZ%29f6", 2489906)</f>
        <v>2489906</v>
      </c>
      <c r="C1862" s="2">
        <f>HYPERLINK("https://platform.v2.vetology.net/report/v/final/"&amp;2489906, 2489906)</f>
        <v>2489906</v>
      </c>
      <c r="D1862" s="2" t="s">
        <v>5234</v>
      </c>
      <c r="E1862" s="2" t="s">
        <v>5235</v>
      </c>
      <c r="F1862" s="2" t="s">
        <v>81</v>
      </c>
      <c r="G1862" s="2" t="s">
        <v>268</v>
      </c>
      <c r="H1862" s="2" t="s">
        <v>43</v>
      </c>
      <c r="I1862" s="2" t="s">
        <v>44</v>
      </c>
      <c r="J1862" s="2" t="s">
        <v>106</v>
      </c>
      <c r="K1862" s="2" t="s">
        <v>38</v>
      </c>
      <c r="L1862" s="2" t="s">
        <v>38</v>
      </c>
      <c r="M1862" s="2" t="s">
        <v>38</v>
      </c>
      <c r="N1862" s="2" t="s">
        <v>38</v>
      </c>
      <c r="O1862" s="2" t="s">
        <v>38</v>
      </c>
      <c r="P1862" s="2" t="s">
        <v>38</v>
      </c>
      <c r="Q1862" s="2" t="s">
        <v>38</v>
      </c>
      <c r="R1862" s="2" t="s">
        <v>38</v>
      </c>
      <c r="S1862" s="2" t="s">
        <v>38</v>
      </c>
      <c r="T1862" s="2" t="s">
        <v>39</v>
      </c>
      <c r="U1862" s="2" t="s">
        <v>38</v>
      </c>
      <c r="V1862" s="2" t="s">
        <v>39</v>
      </c>
      <c r="W1862" s="2" t="s">
        <v>38</v>
      </c>
      <c r="X1862" s="2" t="s">
        <v>39</v>
      </c>
      <c r="Y1862" s="2" t="s">
        <v>38</v>
      </c>
      <c r="Z1862" s="2" t="s">
        <v>38</v>
      </c>
      <c r="AA1862" s="2" t="s">
        <v>38</v>
      </c>
      <c r="AB1862" s="2" t="s">
        <v>38</v>
      </c>
      <c r="AC1862" s="2" t="s">
        <v>38</v>
      </c>
      <c r="AD1862" s="2" t="s">
        <v>38</v>
      </c>
      <c r="AE1862" s="2" t="s">
        <v>38</v>
      </c>
    </row>
    <row r="1863" spans="1:31" ht="409.5">
      <c r="A1863" s="2">
        <v>2489607</v>
      </c>
      <c r="B1863" s="2">
        <f>HYPERLINK("https://platform.v2.vetology.net/cases/2489607/screening-report/18?type=pdf&amp;v=v6&amp;scorecard=1&amp;secret_key=BX%25IJ%24%2F65ieZ%29f6", 2489607)</f>
        <v>2489607</v>
      </c>
      <c r="C1863" s="2">
        <f>HYPERLINK("https://platform.v2.vetology.net/report/v/final/"&amp;2489607, 2489607)</f>
        <v>2489607</v>
      </c>
      <c r="D1863" s="2" t="s">
        <v>5236</v>
      </c>
      <c r="E1863" s="2" t="s">
        <v>5237</v>
      </c>
      <c r="F1863" s="2" t="s">
        <v>5238</v>
      </c>
      <c r="G1863" s="2" t="s">
        <v>268</v>
      </c>
      <c r="H1863" s="2" t="s">
        <v>43</v>
      </c>
      <c r="I1863" s="2" t="s">
        <v>44</v>
      </c>
      <c r="J1863" s="2" t="s">
        <v>106</v>
      </c>
      <c r="K1863" s="2" t="s">
        <v>38</v>
      </c>
      <c r="L1863" s="2" t="s">
        <v>38</v>
      </c>
      <c r="M1863" s="2" t="s">
        <v>38</v>
      </c>
      <c r="N1863" s="2" t="s">
        <v>38</v>
      </c>
      <c r="O1863" s="2" t="s">
        <v>38</v>
      </c>
      <c r="P1863" s="2" t="s">
        <v>38</v>
      </c>
      <c r="Q1863" s="2" t="s">
        <v>38</v>
      </c>
      <c r="R1863" s="2" t="s">
        <v>38</v>
      </c>
      <c r="S1863" s="2" t="s">
        <v>38</v>
      </c>
      <c r="T1863" s="2" t="s">
        <v>38</v>
      </c>
      <c r="U1863" s="2" t="s">
        <v>38</v>
      </c>
      <c r="V1863" s="2" t="s">
        <v>38</v>
      </c>
      <c r="W1863" s="2" t="s">
        <v>38</v>
      </c>
      <c r="X1863" s="2" t="s">
        <v>38</v>
      </c>
      <c r="Y1863" s="2" t="s">
        <v>38</v>
      </c>
      <c r="Z1863" s="2" t="s">
        <v>38</v>
      </c>
      <c r="AA1863" s="2" t="s">
        <v>38</v>
      </c>
      <c r="AB1863" s="2" t="s">
        <v>38</v>
      </c>
      <c r="AC1863" s="2" t="s">
        <v>38</v>
      </c>
      <c r="AD1863" s="2" t="s">
        <v>38</v>
      </c>
      <c r="AE1863" s="2" t="s">
        <v>38</v>
      </c>
    </row>
    <row r="1864" spans="1:31" ht="409.5">
      <c r="A1864" s="2">
        <v>2489439</v>
      </c>
      <c r="B1864" s="2">
        <f>HYPERLINK("https://platform.v2.vetology.net/cases/2489439/screening-report/18?type=pdf&amp;v=v6&amp;scorecard=1&amp;secret_key=BX%25IJ%24%2F65ieZ%29f6", 2489439)</f>
        <v>2489439</v>
      </c>
      <c r="C1864" s="2">
        <f>HYPERLINK("https://platform.v2.vetology.net/report/v/final/"&amp;2489439, 2489439)</f>
        <v>2489439</v>
      </c>
      <c r="D1864" s="2" t="s">
        <v>5239</v>
      </c>
      <c r="E1864" s="2" t="s">
        <v>5240</v>
      </c>
      <c r="F1864" s="2" t="s">
        <v>5241</v>
      </c>
      <c r="G1864" s="2" t="s">
        <v>268</v>
      </c>
      <c r="H1864" s="2" t="s">
        <v>730</v>
      </c>
      <c r="I1864" s="2" t="s">
        <v>382</v>
      </c>
      <c r="J1864" s="2" t="s">
        <v>66</v>
      </c>
      <c r="K1864" s="2" t="s">
        <v>38</v>
      </c>
      <c r="L1864" s="2" t="s">
        <v>39</v>
      </c>
      <c r="M1864" s="2" t="s">
        <v>39</v>
      </c>
      <c r="N1864" s="2" t="s">
        <v>39</v>
      </c>
      <c r="O1864" s="2" t="s">
        <v>38</v>
      </c>
      <c r="P1864" s="2" t="s">
        <v>39</v>
      </c>
      <c r="Q1864" s="2" t="s">
        <v>38</v>
      </c>
      <c r="R1864" s="2" t="s">
        <v>38</v>
      </c>
      <c r="S1864" s="2" t="s">
        <v>39</v>
      </c>
      <c r="T1864" s="2" t="s">
        <v>38</v>
      </c>
      <c r="U1864" s="2" t="s">
        <v>39</v>
      </c>
      <c r="V1864" s="2" t="s">
        <v>38</v>
      </c>
      <c r="W1864" s="2" t="s">
        <v>38</v>
      </c>
      <c r="X1864" s="2" t="s">
        <v>39</v>
      </c>
      <c r="Y1864" s="2" t="s">
        <v>38</v>
      </c>
      <c r="Z1864" s="2" t="s">
        <v>39</v>
      </c>
      <c r="AA1864" s="2" t="s">
        <v>38</v>
      </c>
      <c r="AB1864" s="2" t="s">
        <v>39</v>
      </c>
      <c r="AC1864" s="2" t="s">
        <v>38</v>
      </c>
      <c r="AD1864" s="2" t="s">
        <v>38</v>
      </c>
      <c r="AE1864" s="2" t="s">
        <v>38</v>
      </c>
    </row>
    <row r="1865" spans="1:31" ht="409.5">
      <c r="A1865" s="2">
        <v>2489434</v>
      </c>
      <c r="B1865" s="2">
        <f>HYPERLINK("https://platform.v2.vetology.net/cases/2489434/screening-report/18?type=pdf&amp;v=v6&amp;scorecard=1&amp;secret_key=BX%25IJ%24%2F65ieZ%29f6", 2489434)</f>
        <v>2489434</v>
      </c>
      <c r="C1865" s="2">
        <f>HYPERLINK("https://platform.v2.vetology.net/report/v/final/"&amp;2489434, 2489434)</f>
        <v>2489434</v>
      </c>
      <c r="D1865" s="2" t="s">
        <v>5242</v>
      </c>
      <c r="E1865" s="2" t="s">
        <v>5243</v>
      </c>
      <c r="F1865" s="2" t="s">
        <v>5244</v>
      </c>
      <c r="G1865" s="2" t="s">
        <v>268</v>
      </c>
      <c r="H1865" s="2" t="s">
        <v>360</v>
      </c>
      <c r="I1865" s="2" t="s">
        <v>284</v>
      </c>
      <c r="J1865" s="2" t="s">
        <v>285</v>
      </c>
      <c r="K1865" s="2" t="s">
        <v>38</v>
      </c>
      <c r="L1865" s="2" t="s">
        <v>38</v>
      </c>
      <c r="M1865" s="2" t="s">
        <v>39</v>
      </c>
      <c r="N1865" s="2" t="s">
        <v>38</v>
      </c>
      <c r="O1865" s="2" t="s">
        <v>38</v>
      </c>
      <c r="P1865" s="2" t="s">
        <v>38</v>
      </c>
      <c r="Q1865" s="2" t="s">
        <v>38</v>
      </c>
      <c r="R1865" s="2" t="s">
        <v>38</v>
      </c>
      <c r="S1865" s="2" t="s">
        <v>38</v>
      </c>
      <c r="T1865" s="2" t="s">
        <v>38</v>
      </c>
      <c r="U1865" s="2" t="s">
        <v>38</v>
      </c>
      <c r="V1865" s="2" t="s">
        <v>38</v>
      </c>
      <c r="W1865" s="2" t="s">
        <v>38</v>
      </c>
      <c r="X1865" s="2" t="s">
        <v>38</v>
      </c>
      <c r="Y1865" s="2" t="s">
        <v>38</v>
      </c>
      <c r="Z1865" s="2" t="s">
        <v>38</v>
      </c>
      <c r="AA1865" s="2" t="s">
        <v>38</v>
      </c>
      <c r="AB1865" s="2" t="s">
        <v>38</v>
      </c>
      <c r="AC1865" s="2" t="s">
        <v>38</v>
      </c>
      <c r="AD1865" s="2" t="s">
        <v>38</v>
      </c>
      <c r="AE1865" s="2" t="s">
        <v>38</v>
      </c>
    </row>
    <row r="1866" spans="1:31" ht="409.5">
      <c r="A1866" s="2">
        <v>2488930</v>
      </c>
      <c r="B1866" s="2">
        <f>HYPERLINK("https://platform.v2.vetology.net/cases/2488930/screening-report/18?type=pdf&amp;v=v6&amp;scorecard=1&amp;secret_key=BX%25IJ%24%2F65ieZ%29f6", 2488930)</f>
        <v>2488930</v>
      </c>
      <c r="C1866" s="2">
        <f>HYPERLINK("https://platform.v2.vetology.net/report/v/final/"&amp;2488930, 2488930)</f>
        <v>2488930</v>
      </c>
      <c r="D1866" s="2" t="s">
        <v>5245</v>
      </c>
      <c r="E1866" s="2" t="s">
        <v>5246</v>
      </c>
      <c r="F1866" s="2" t="s">
        <v>5247</v>
      </c>
      <c r="G1866" s="2" t="s">
        <v>268</v>
      </c>
      <c r="H1866" s="2" t="s">
        <v>54</v>
      </c>
      <c r="I1866" s="2" t="s">
        <v>44</v>
      </c>
      <c r="J1866" s="2"/>
      <c r="K1866" s="2" t="s">
        <v>38</v>
      </c>
      <c r="L1866" s="2" t="s">
        <v>38</v>
      </c>
      <c r="M1866" s="2" t="s">
        <v>39</v>
      </c>
      <c r="N1866" s="2" t="s">
        <v>38</v>
      </c>
      <c r="O1866" s="2" t="s">
        <v>38</v>
      </c>
      <c r="P1866" s="2" t="s">
        <v>38</v>
      </c>
      <c r="Q1866" s="2" t="s">
        <v>38</v>
      </c>
      <c r="R1866" s="2" t="s">
        <v>38</v>
      </c>
      <c r="S1866" s="2" t="s">
        <v>38</v>
      </c>
      <c r="T1866" s="2" t="s">
        <v>39</v>
      </c>
      <c r="U1866" s="2" t="s">
        <v>38</v>
      </c>
      <c r="V1866" s="2" t="s">
        <v>39</v>
      </c>
      <c r="W1866" s="2" t="s">
        <v>38</v>
      </c>
      <c r="X1866" s="2" t="s">
        <v>39</v>
      </c>
      <c r="Y1866" s="2" t="s">
        <v>38</v>
      </c>
      <c r="Z1866" s="2" t="s">
        <v>39</v>
      </c>
      <c r="AA1866" s="2" t="s">
        <v>38</v>
      </c>
      <c r="AB1866" s="2" t="s">
        <v>39</v>
      </c>
      <c r="AC1866" s="2" t="s">
        <v>38</v>
      </c>
      <c r="AD1866" s="2" t="s">
        <v>38</v>
      </c>
      <c r="AE1866" s="2" t="s">
        <v>38</v>
      </c>
    </row>
    <row r="1867" spans="1:31" ht="409.5">
      <c r="A1867" s="2">
        <v>2488913</v>
      </c>
      <c r="B1867" s="2">
        <f>HYPERLINK("https://platform.v2.vetology.net/cases/2488913/screening-report/18?type=pdf&amp;v=v6&amp;scorecard=1&amp;secret_key=BX%25IJ%24%2F65ieZ%29f6", 2488913)</f>
        <v>2488913</v>
      </c>
      <c r="C1867" s="2">
        <f>HYPERLINK("https://platform.v2.vetology.net/report/v/final/"&amp;2488913, 2488913)</f>
        <v>2488913</v>
      </c>
      <c r="D1867" s="2" t="s">
        <v>5248</v>
      </c>
      <c r="E1867" s="2" t="s">
        <v>5249</v>
      </c>
      <c r="F1867" s="2" t="s">
        <v>81</v>
      </c>
      <c r="G1867" s="2" t="s">
        <v>268</v>
      </c>
      <c r="H1867" s="2" t="s">
        <v>1416</v>
      </c>
      <c r="I1867" s="2" t="s">
        <v>284</v>
      </c>
      <c r="J1867" s="2" t="s">
        <v>285</v>
      </c>
      <c r="K1867" s="2" t="s">
        <v>38</v>
      </c>
      <c r="L1867" s="2" t="s">
        <v>38</v>
      </c>
      <c r="M1867" s="2" t="s">
        <v>38</v>
      </c>
      <c r="N1867" s="2" t="s">
        <v>38</v>
      </c>
      <c r="O1867" s="2" t="s">
        <v>38</v>
      </c>
      <c r="P1867" s="2" t="s">
        <v>38</v>
      </c>
      <c r="Q1867" s="2" t="s">
        <v>38</v>
      </c>
      <c r="R1867" s="2" t="s">
        <v>38</v>
      </c>
      <c r="S1867" s="2" t="s">
        <v>38</v>
      </c>
      <c r="T1867" s="2" t="s">
        <v>38</v>
      </c>
      <c r="U1867" s="2" t="s">
        <v>38</v>
      </c>
      <c r="V1867" s="2" t="s">
        <v>38</v>
      </c>
      <c r="W1867" s="2" t="s">
        <v>38</v>
      </c>
      <c r="X1867" s="2" t="s">
        <v>38</v>
      </c>
      <c r="Y1867" s="2" t="s">
        <v>38</v>
      </c>
      <c r="Z1867" s="2" t="s">
        <v>38</v>
      </c>
      <c r="AA1867" s="2" t="s">
        <v>38</v>
      </c>
      <c r="AB1867" s="2" t="s">
        <v>38</v>
      </c>
      <c r="AC1867" s="2" t="s">
        <v>38</v>
      </c>
      <c r="AD1867" s="2" t="s">
        <v>38</v>
      </c>
      <c r="AE1867" s="2" t="s">
        <v>38</v>
      </c>
    </row>
    <row r="1868" spans="1:31" ht="409.5">
      <c r="A1868" s="2">
        <v>2488829</v>
      </c>
      <c r="B1868" s="2">
        <f>HYPERLINK("https://platform.v2.vetology.net/cases/2488829/screening-report/18?type=pdf&amp;v=v6&amp;scorecard=1&amp;secret_key=BX%25IJ%24%2F65ieZ%29f6", 2488829)</f>
        <v>2488829</v>
      </c>
      <c r="C1868" s="2">
        <f>HYPERLINK("https://platform.v2.vetology.net/report/v/final/"&amp;2488829, 2488829)</f>
        <v>2488829</v>
      </c>
      <c r="D1868" s="2" t="s">
        <v>5250</v>
      </c>
      <c r="E1868" s="2" t="s">
        <v>5251</v>
      </c>
      <c r="F1868" s="2" t="s">
        <v>5252</v>
      </c>
      <c r="G1868" s="2" t="s">
        <v>70</v>
      </c>
      <c r="H1868" s="2" t="s">
        <v>43</v>
      </c>
      <c r="I1868" s="2" t="s">
        <v>44</v>
      </c>
      <c r="J1868" s="2"/>
      <c r="K1868" s="2" t="s">
        <v>38</v>
      </c>
      <c r="L1868" s="2" t="s">
        <v>39</v>
      </c>
      <c r="M1868" s="2" t="s">
        <v>39</v>
      </c>
      <c r="N1868" s="2" t="s">
        <v>38</v>
      </c>
      <c r="O1868" s="2" t="s">
        <v>39</v>
      </c>
      <c r="P1868" s="2" t="s">
        <v>38</v>
      </c>
      <c r="Q1868" s="2" t="s">
        <v>38</v>
      </c>
      <c r="R1868" s="2" t="s">
        <v>38</v>
      </c>
      <c r="S1868" s="2" t="s">
        <v>38</v>
      </c>
      <c r="T1868" s="2" t="s">
        <v>39</v>
      </c>
      <c r="U1868" s="2" t="s">
        <v>38</v>
      </c>
      <c r="V1868" s="2" t="s">
        <v>39</v>
      </c>
      <c r="W1868" s="2" t="s">
        <v>38</v>
      </c>
      <c r="X1868" s="2" t="s">
        <v>39</v>
      </c>
      <c r="Y1868" s="2" t="s">
        <v>38</v>
      </c>
      <c r="Z1868" s="2" t="s">
        <v>38</v>
      </c>
      <c r="AA1868" s="2" t="s">
        <v>38</v>
      </c>
      <c r="AB1868" s="2" t="s">
        <v>38</v>
      </c>
      <c r="AC1868" s="2" t="s">
        <v>38</v>
      </c>
      <c r="AD1868" s="2" t="s">
        <v>38</v>
      </c>
      <c r="AE1868" s="2" t="s">
        <v>39</v>
      </c>
    </row>
    <row r="1869" spans="1:31" ht="409.5">
      <c r="A1869" s="2">
        <v>2488518</v>
      </c>
      <c r="B1869" s="2">
        <f>HYPERLINK("https://platform.v2.vetology.net/cases/2488518/screening-report/18?type=pdf&amp;v=v6&amp;scorecard=1&amp;secret_key=BX%25IJ%24%2F65ieZ%29f6", 2488518)</f>
        <v>2488518</v>
      </c>
      <c r="C1869" s="2">
        <f>HYPERLINK("https://platform.v2.vetology.net/report/v/final/"&amp;2488518, 2488518)</f>
        <v>2488518</v>
      </c>
      <c r="D1869" s="2" t="s">
        <v>5253</v>
      </c>
      <c r="E1869" s="2" t="s">
        <v>5254</v>
      </c>
      <c r="F1869" s="2" t="s">
        <v>5255</v>
      </c>
      <c r="G1869" s="2" t="s">
        <v>93</v>
      </c>
      <c r="H1869" s="2" t="s">
        <v>54</v>
      </c>
      <c r="I1869" s="2" t="s">
        <v>44</v>
      </c>
      <c r="J1869" s="2"/>
      <c r="K1869" s="2" t="s">
        <v>38</v>
      </c>
      <c r="L1869" s="2" t="s">
        <v>39</v>
      </c>
      <c r="M1869" s="2" t="s">
        <v>39</v>
      </c>
      <c r="N1869" s="2" t="s">
        <v>38</v>
      </c>
      <c r="O1869" s="2" t="s">
        <v>39</v>
      </c>
      <c r="P1869" s="2" t="s">
        <v>38</v>
      </c>
      <c r="Q1869" s="2" t="s">
        <v>38</v>
      </c>
      <c r="R1869" s="2" t="s">
        <v>38</v>
      </c>
      <c r="S1869" s="2" t="s">
        <v>38</v>
      </c>
      <c r="T1869" s="2" t="s">
        <v>39</v>
      </c>
      <c r="U1869" s="2" t="s">
        <v>38</v>
      </c>
      <c r="V1869" s="2" t="s">
        <v>38</v>
      </c>
      <c r="W1869" s="2" t="s">
        <v>38</v>
      </c>
      <c r="X1869" s="2" t="s">
        <v>39</v>
      </c>
      <c r="Y1869" s="2" t="s">
        <v>38</v>
      </c>
      <c r="Z1869" s="2" t="s">
        <v>39</v>
      </c>
      <c r="AA1869" s="2" t="s">
        <v>38</v>
      </c>
      <c r="AB1869" s="2" t="s">
        <v>38</v>
      </c>
      <c r="AC1869" s="2" t="s">
        <v>39</v>
      </c>
      <c r="AD1869" s="2" t="s">
        <v>38</v>
      </c>
      <c r="AE1869" s="2" t="s">
        <v>38</v>
      </c>
    </row>
    <row r="1870" spans="1:31" ht="409.5">
      <c r="A1870" s="2">
        <v>2488510</v>
      </c>
      <c r="B1870" s="2">
        <f>HYPERLINK("https://platform.v2.vetology.net/cases/2488510/screening-report/18?type=pdf&amp;v=v6&amp;scorecard=1&amp;secret_key=BX%25IJ%24%2F65ieZ%29f6", 2488510)</f>
        <v>2488510</v>
      </c>
      <c r="C1870" s="2">
        <f>HYPERLINK("https://platform.v2.vetology.net/report/v/final/"&amp;2488510, 2488510)</f>
        <v>2488510</v>
      </c>
      <c r="D1870" s="2" t="s">
        <v>5256</v>
      </c>
      <c r="E1870" s="2" t="s">
        <v>5257</v>
      </c>
      <c r="F1870" s="2" t="s">
        <v>5258</v>
      </c>
      <c r="G1870" s="2" t="s">
        <v>63</v>
      </c>
      <c r="H1870" s="2" t="s">
        <v>3650</v>
      </c>
      <c r="I1870" s="2" t="s">
        <v>1102</v>
      </c>
      <c r="J1870" s="2" t="s">
        <v>307</v>
      </c>
      <c r="K1870" s="2" t="s">
        <v>38</v>
      </c>
      <c r="L1870" s="2" t="s">
        <v>39</v>
      </c>
      <c r="M1870" s="2" t="s">
        <v>39</v>
      </c>
      <c r="N1870" s="2" t="s">
        <v>39</v>
      </c>
      <c r="O1870" s="2" t="s">
        <v>39</v>
      </c>
      <c r="P1870" s="2" t="s">
        <v>39</v>
      </c>
      <c r="Q1870" s="2" t="s">
        <v>38</v>
      </c>
      <c r="R1870" s="2" t="s">
        <v>38</v>
      </c>
      <c r="S1870" s="2" t="s">
        <v>39</v>
      </c>
      <c r="T1870" s="2" t="s">
        <v>39</v>
      </c>
      <c r="U1870" s="2" t="s">
        <v>39</v>
      </c>
      <c r="V1870" s="2" t="s">
        <v>39</v>
      </c>
      <c r="W1870" s="2" t="s">
        <v>38</v>
      </c>
      <c r="X1870" s="2" t="s">
        <v>39</v>
      </c>
      <c r="Y1870" s="2" t="s">
        <v>38</v>
      </c>
      <c r="Z1870" s="2" t="s">
        <v>39</v>
      </c>
      <c r="AA1870" s="2" t="s">
        <v>38</v>
      </c>
      <c r="AB1870" s="2" t="s">
        <v>39</v>
      </c>
      <c r="AC1870" s="2" t="s">
        <v>39</v>
      </c>
      <c r="AD1870" s="2" t="s">
        <v>38</v>
      </c>
      <c r="AE1870" s="2" t="s">
        <v>38</v>
      </c>
    </row>
    <row r="1871" spans="1:31" ht="409.5">
      <c r="A1871" s="2">
        <v>2488412</v>
      </c>
      <c r="B1871" s="2">
        <f>HYPERLINK("https://platform.v2.vetology.net/cases/2488412/screening-report/18?type=pdf&amp;v=v6&amp;scorecard=1&amp;secret_key=BX%25IJ%24%2F65ieZ%29f6", 2488412)</f>
        <v>2488412</v>
      </c>
      <c r="C1871" s="2">
        <f>HYPERLINK("https://platform.v2.vetology.net/report/v/final/"&amp;2488412, 2488412)</f>
        <v>2488412</v>
      </c>
      <c r="D1871" s="2" t="s">
        <v>5259</v>
      </c>
      <c r="E1871" s="2" t="s">
        <v>5260</v>
      </c>
      <c r="F1871" s="2" t="s">
        <v>81</v>
      </c>
      <c r="G1871" s="2" t="s">
        <v>82</v>
      </c>
      <c r="H1871" s="2" t="s">
        <v>456</v>
      </c>
      <c r="I1871" s="2" t="s">
        <v>284</v>
      </c>
      <c r="J1871" s="2" t="s">
        <v>285</v>
      </c>
      <c r="K1871" s="2" t="s">
        <v>38</v>
      </c>
      <c r="L1871" s="2" t="s">
        <v>38</v>
      </c>
      <c r="M1871" s="2" t="s">
        <v>39</v>
      </c>
      <c r="N1871" s="2" t="s">
        <v>38</v>
      </c>
      <c r="O1871" s="2" t="s">
        <v>38</v>
      </c>
      <c r="P1871" s="2" t="s">
        <v>38</v>
      </c>
      <c r="Q1871" s="2" t="s">
        <v>38</v>
      </c>
      <c r="R1871" s="2" t="s">
        <v>38</v>
      </c>
      <c r="S1871" s="2" t="s">
        <v>38</v>
      </c>
      <c r="T1871" s="2" t="s">
        <v>38</v>
      </c>
      <c r="U1871" s="2" t="s">
        <v>38</v>
      </c>
      <c r="V1871" s="2" t="s">
        <v>38</v>
      </c>
      <c r="W1871" s="2" t="s">
        <v>38</v>
      </c>
      <c r="X1871" s="2" t="s">
        <v>38</v>
      </c>
      <c r="Y1871" s="2" t="s">
        <v>38</v>
      </c>
      <c r="Z1871" s="2" t="s">
        <v>38</v>
      </c>
      <c r="AA1871" s="2" t="s">
        <v>38</v>
      </c>
      <c r="AB1871" s="2" t="s">
        <v>39</v>
      </c>
      <c r="AC1871" s="2" t="s">
        <v>38</v>
      </c>
      <c r="AD1871" s="2" t="s">
        <v>38</v>
      </c>
      <c r="AE1871" s="2" t="s">
        <v>38</v>
      </c>
    </row>
    <row r="1872" spans="1:31" ht="409.5">
      <c r="A1872" s="2">
        <v>2488072</v>
      </c>
      <c r="B1872" s="2">
        <f>HYPERLINK("https://platform.v2.vetology.net/cases/2488072/screening-report/18?type=pdf&amp;v=v6&amp;scorecard=1&amp;secret_key=BX%25IJ%24%2F65ieZ%29f6", 2488072)</f>
        <v>2488072</v>
      </c>
      <c r="C1872" s="2">
        <f>HYPERLINK("https://platform.v2.vetology.net/report/v/final/"&amp;2488072, 2488072)</f>
        <v>2488072</v>
      </c>
      <c r="D1872" s="2" t="s">
        <v>5261</v>
      </c>
      <c r="E1872" s="2" t="s">
        <v>5262</v>
      </c>
      <c r="F1872" s="2" t="s">
        <v>5263</v>
      </c>
      <c r="G1872" s="2" t="s">
        <v>82</v>
      </c>
      <c r="H1872" s="2" t="s">
        <v>5264</v>
      </c>
      <c r="I1872" s="2" t="s">
        <v>137</v>
      </c>
      <c r="J1872" s="2" t="s">
        <v>66</v>
      </c>
      <c r="K1872" s="2" t="s">
        <v>38</v>
      </c>
      <c r="L1872" s="2" t="s">
        <v>39</v>
      </c>
      <c r="M1872" s="2" t="s">
        <v>38</v>
      </c>
      <c r="N1872" s="2" t="s">
        <v>38</v>
      </c>
      <c r="O1872" s="2" t="s">
        <v>38</v>
      </c>
      <c r="P1872" s="2" t="s">
        <v>38</v>
      </c>
      <c r="Q1872" s="2" t="s">
        <v>38</v>
      </c>
      <c r="R1872" s="2" t="s">
        <v>38</v>
      </c>
      <c r="S1872" s="2" t="s">
        <v>38</v>
      </c>
      <c r="T1872" s="2" t="s">
        <v>39</v>
      </c>
      <c r="U1872" s="2" t="s">
        <v>38</v>
      </c>
      <c r="V1872" s="2" t="s">
        <v>38</v>
      </c>
      <c r="W1872" s="2" t="s">
        <v>38</v>
      </c>
      <c r="X1872" s="2" t="s">
        <v>39</v>
      </c>
      <c r="Y1872" s="2" t="s">
        <v>38</v>
      </c>
      <c r="Z1872" s="2" t="s">
        <v>38</v>
      </c>
      <c r="AA1872" s="2" t="s">
        <v>38</v>
      </c>
      <c r="AB1872" s="2" t="s">
        <v>38</v>
      </c>
      <c r="AC1872" s="2" t="s">
        <v>38</v>
      </c>
      <c r="AD1872" s="2" t="s">
        <v>38</v>
      </c>
      <c r="AE1872" s="2" t="s">
        <v>39</v>
      </c>
    </row>
    <row r="1873" spans="1:31" ht="409.5">
      <c r="A1873" s="2">
        <v>2487739</v>
      </c>
      <c r="B1873" s="2">
        <f>HYPERLINK("https://platform.v2.vetology.net/cases/2487739/screening-report/18?type=pdf&amp;v=v6&amp;scorecard=1&amp;secret_key=BX%25IJ%24%2F65ieZ%29f6", 2487739)</f>
        <v>2487739</v>
      </c>
      <c r="C1873" s="2">
        <f>HYPERLINK("https://platform.v2.vetology.net/report/v/final/"&amp;2487739, 2487739)</f>
        <v>2487739</v>
      </c>
      <c r="D1873" s="2" t="s">
        <v>5265</v>
      </c>
      <c r="E1873" s="2" t="s">
        <v>5266</v>
      </c>
      <c r="F1873" s="2" t="s">
        <v>523</v>
      </c>
      <c r="G1873" s="2" t="s">
        <v>141</v>
      </c>
      <c r="H1873" s="2" t="s">
        <v>129</v>
      </c>
      <c r="I1873" s="2" t="s">
        <v>44</v>
      </c>
      <c r="J1873" s="2"/>
      <c r="K1873" s="2" t="s">
        <v>38</v>
      </c>
      <c r="L1873" s="2" t="s">
        <v>38</v>
      </c>
      <c r="M1873" s="2" t="s">
        <v>38</v>
      </c>
      <c r="N1873" s="2" t="s">
        <v>38</v>
      </c>
      <c r="O1873" s="2" t="s">
        <v>38</v>
      </c>
      <c r="P1873" s="2" t="s">
        <v>38</v>
      </c>
      <c r="Q1873" s="2" t="s">
        <v>38</v>
      </c>
      <c r="R1873" s="2" t="s">
        <v>38</v>
      </c>
      <c r="S1873" s="2" t="s">
        <v>38</v>
      </c>
      <c r="T1873" s="2" t="s">
        <v>39</v>
      </c>
      <c r="U1873" s="2" t="s">
        <v>38</v>
      </c>
      <c r="V1873" s="2" t="s">
        <v>39</v>
      </c>
      <c r="W1873" s="2" t="s">
        <v>38</v>
      </c>
      <c r="X1873" s="2" t="s">
        <v>39</v>
      </c>
      <c r="Y1873" s="2" t="s">
        <v>38</v>
      </c>
      <c r="Z1873" s="2" t="s">
        <v>38</v>
      </c>
      <c r="AA1873" s="2" t="s">
        <v>38</v>
      </c>
      <c r="AB1873" s="2" t="s">
        <v>38</v>
      </c>
      <c r="AC1873" s="2" t="s">
        <v>38</v>
      </c>
      <c r="AD1873" s="2" t="s">
        <v>38</v>
      </c>
      <c r="AE1873" s="2" t="s">
        <v>38</v>
      </c>
    </row>
    <row r="1874" spans="1:31" ht="409.5">
      <c r="A1874" s="2">
        <v>2487702</v>
      </c>
      <c r="B1874" s="2">
        <f>HYPERLINK("https://platform.v2.vetology.net/cases/2487702/screening-report/18?type=pdf&amp;v=v6&amp;scorecard=1&amp;secret_key=BX%25IJ%24%2F65ieZ%29f6", 2487702)</f>
        <v>2487702</v>
      </c>
      <c r="C1874" s="2">
        <f>HYPERLINK("https://platform.v2.vetology.net/report/v/final/"&amp;2487702, 2487702)</f>
        <v>2487702</v>
      </c>
      <c r="D1874" s="2" t="s">
        <v>5267</v>
      </c>
      <c r="E1874" s="2" t="s">
        <v>5268</v>
      </c>
      <c r="F1874" s="2" t="s">
        <v>5269</v>
      </c>
      <c r="G1874" s="2" t="s">
        <v>268</v>
      </c>
      <c r="H1874" s="2" t="s">
        <v>71</v>
      </c>
      <c r="I1874" s="2" t="s">
        <v>199</v>
      </c>
      <c r="J1874" s="2"/>
      <c r="K1874" s="2" t="s">
        <v>38</v>
      </c>
      <c r="L1874" s="2" t="s">
        <v>39</v>
      </c>
      <c r="M1874" s="2" t="s">
        <v>38</v>
      </c>
      <c r="N1874" s="2" t="s">
        <v>38</v>
      </c>
      <c r="O1874" s="2" t="s">
        <v>38</v>
      </c>
      <c r="P1874" s="2" t="s">
        <v>38</v>
      </c>
      <c r="Q1874" s="2" t="s">
        <v>38</v>
      </c>
      <c r="R1874" s="2" t="s">
        <v>38</v>
      </c>
      <c r="S1874" s="2" t="s">
        <v>38</v>
      </c>
      <c r="T1874" s="2" t="s">
        <v>38</v>
      </c>
      <c r="U1874" s="2" t="s">
        <v>38</v>
      </c>
      <c r="V1874" s="2" t="s">
        <v>38</v>
      </c>
      <c r="W1874" s="2" t="s">
        <v>38</v>
      </c>
      <c r="X1874" s="2" t="s">
        <v>38</v>
      </c>
      <c r="Y1874" s="2" t="s">
        <v>38</v>
      </c>
      <c r="Z1874" s="2" t="s">
        <v>38</v>
      </c>
      <c r="AA1874" s="2" t="s">
        <v>38</v>
      </c>
      <c r="AB1874" s="2" t="s">
        <v>39</v>
      </c>
      <c r="AC1874" s="2" t="s">
        <v>39</v>
      </c>
      <c r="AD1874" s="2" t="s">
        <v>38</v>
      </c>
      <c r="AE1874" s="2" t="s">
        <v>38</v>
      </c>
    </row>
    <row r="1875" spans="1:31" ht="409.5">
      <c r="A1875" s="2">
        <v>2487663</v>
      </c>
      <c r="B1875" s="2">
        <f>HYPERLINK("https://platform.v2.vetology.net/cases/2487663/screening-report/18?type=pdf&amp;v=v6&amp;scorecard=1&amp;secret_key=BX%25IJ%24%2F65ieZ%29f6", 2487663)</f>
        <v>2487663</v>
      </c>
      <c r="C1875" s="2">
        <f>HYPERLINK("https://platform.v2.vetology.net/report/v/final/"&amp;2487663, 2487663)</f>
        <v>2487663</v>
      </c>
      <c r="D1875" s="2" t="s">
        <v>1361</v>
      </c>
      <c r="E1875" s="2" t="s">
        <v>5270</v>
      </c>
      <c r="F1875" s="2" t="s">
        <v>5271</v>
      </c>
      <c r="G1875" s="2" t="s">
        <v>150</v>
      </c>
      <c r="H1875" s="2" t="s">
        <v>94</v>
      </c>
      <c r="I1875" s="2" t="s">
        <v>89</v>
      </c>
      <c r="J1875" s="2" t="s">
        <v>66</v>
      </c>
      <c r="K1875" s="2" t="s">
        <v>38</v>
      </c>
      <c r="L1875" s="2" t="s">
        <v>38</v>
      </c>
      <c r="M1875" s="2" t="s">
        <v>38</v>
      </c>
      <c r="N1875" s="2" t="s">
        <v>38</v>
      </c>
      <c r="O1875" s="2" t="s">
        <v>38</v>
      </c>
      <c r="P1875" s="2" t="s">
        <v>39</v>
      </c>
      <c r="Q1875" s="2" t="s">
        <v>38</v>
      </c>
      <c r="R1875" s="2" t="s">
        <v>38</v>
      </c>
      <c r="S1875" s="2" t="s">
        <v>38</v>
      </c>
      <c r="T1875" s="2" t="s">
        <v>38</v>
      </c>
      <c r="U1875" s="2" t="s">
        <v>38</v>
      </c>
      <c r="V1875" s="2" t="s">
        <v>38</v>
      </c>
      <c r="W1875" s="2" t="s">
        <v>38</v>
      </c>
      <c r="X1875" s="2" t="s">
        <v>38</v>
      </c>
      <c r="Y1875" s="2" t="s">
        <v>38</v>
      </c>
      <c r="Z1875" s="2" t="s">
        <v>38</v>
      </c>
      <c r="AA1875" s="2" t="s">
        <v>38</v>
      </c>
      <c r="AB1875" s="2" t="s">
        <v>38</v>
      </c>
      <c r="AC1875" s="2" t="s">
        <v>38</v>
      </c>
      <c r="AD1875" s="2" t="s">
        <v>38</v>
      </c>
      <c r="AE1875" s="2" t="s">
        <v>39</v>
      </c>
    </row>
    <row r="1876" spans="1:31" ht="409.5">
      <c r="A1876" s="2">
        <v>2487621</v>
      </c>
      <c r="B1876" s="2">
        <f>HYPERLINK("https://platform.v2.vetology.net/cases/2487621/screening-report/18?type=pdf&amp;v=v6&amp;scorecard=1&amp;secret_key=BX%25IJ%24%2F65ieZ%29f6", 2487621)</f>
        <v>2487621</v>
      </c>
      <c r="C1876" s="2">
        <f>HYPERLINK("https://platform.v2.vetology.net/report/v/final/"&amp;2487621, 2487621)</f>
        <v>2487621</v>
      </c>
      <c r="D1876" s="2" t="s">
        <v>5272</v>
      </c>
      <c r="E1876" s="2" t="s">
        <v>5273</v>
      </c>
      <c r="F1876" s="2" t="s">
        <v>5274</v>
      </c>
      <c r="G1876" s="2" t="s">
        <v>63</v>
      </c>
      <c r="H1876" s="2" t="s">
        <v>5275</v>
      </c>
      <c r="I1876" s="2" t="s">
        <v>3329</v>
      </c>
      <c r="J1876" s="2" t="s">
        <v>710</v>
      </c>
      <c r="K1876" s="2" t="s">
        <v>38</v>
      </c>
      <c r="L1876" s="2" t="s">
        <v>39</v>
      </c>
      <c r="M1876" s="2" t="s">
        <v>39</v>
      </c>
      <c r="N1876" s="2" t="s">
        <v>38</v>
      </c>
      <c r="O1876" s="2" t="s">
        <v>39</v>
      </c>
      <c r="P1876" s="2" t="s">
        <v>39</v>
      </c>
      <c r="Q1876" s="2" t="s">
        <v>39</v>
      </c>
      <c r="R1876" s="2" t="s">
        <v>38</v>
      </c>
      <c r="S1876" s="2" t="s">
        <v>39</v>
      </c>
      <c r="T1876" s="2" t="s">
        <v>39</v>
      </c>
      <c r="U1876" s="2" t="s">
        <v>38</v>
      </c>
      <c r="V1876" s="2" t="s">
        <v>39</v>
      </c>
      <c r="W1876" s="2" t="s">
        <v>38</v>
      </c>
      <c r="X1876" s="2" t="s">
        <v>39</v>
      </c>
      <c r="Y1876" s="2" t="s">
        <v>38</v>
      </c>
      <c r="Z1876" s="2" t="s">
        <v>39</v>
      </c>
      <c r="AA1876" s="2" t="s">
        <v>38</v>
      </c>
      <c r="AB1876" s="2" t="s">
        <v>39</v>
      </c>
      <c r="AC1876" s="2" t="s">
        <v>38</v>
      </c>
      <c r="AD1876" s="2" t="s">
        <v>38</v>
      </c>
      <c r="AE1876" s="2"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6ddc56d-8647-4bd5-b039-5bab4a319508">
      <Terms xmlns="http://schemas.microsoft.com/office/infopath/2007/PartnerControls"/>
    </lcf76f155ced4ddcb4097134ff3c332f>
    <TaxCatchAll xmlns="480086f8-18f9-454d-8ff1-ce1e60c2bb3a" xsi:nil="true"/>
    <Reviewnotes xmlns="66ddc56d-8647-4bd5-b039-5bab4a319508" xsi:nil="true"/>
    <Goodvs_x002e_bad xmlns="66ddc56d-8647-4bd5-b039-5bab4a319508">Bad</Goodvs_x002e_ba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33ED124681D44E8FC9B06419689125" ma:contentTypeVersion="19" ma:contentTypeDescription="Create a new document." ma:contentTypeScope="" ma:versionID="c3007ab365fabc0b1471bb732f05af86">
  <xsd:schema xmlns:xsd="http://www.w3.org/2001/XMLSchema" xmlns:xs="http://www.w3.org/2001/XMLSchema" xmlns:p="http://schemas.microsoft.com/office/2006/metadata/properties" xmlns:ns2="66ddc56d-8647-4bd5-b039-5bab4a319508" xmlns:ns3="480086f8-18f9-454d-8ff1-ce1e60c2bb3a" targetNamespace="http://schemas.microsoft.com/office/2006/metadata/properties" ma:root="true" ma:fieldsID="d7fd789494cf24d7d25e8db34c91a72a" ns2:_="" ns3:_="">
    <xsd:import namespace="66ddc56d-8647-4bd5-b039-5bab4a319508"/>
    <xsd:import namespace="480086f8-18f9-454d-8ff1-ce1e60c2bb3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Goodvs_x002e_bad" minOccurs="0"/>
                <xsd:element ref="ns2:lcf76f155ced4ddcb4097134ff3c332f" minOccurs="0"/>
                <xsd:element ref="ns3:TaxCatchAll" minOccurs="0"/>
                <xsd:element ref="ns2:MediaServiceObjectDetectorVersions" minOccurs="0"/>
                <xsd:element ref="ns2:MediaServiceSearchProperties" minOccurs="0"/>
                <xsd:element ref="ns2:Review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ddc56d-8647-4bd5-b039-5bab4a319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Goodvs_x002e_bad" ma:index="20" nillable="true" ma:displayName="Good vs. bad" ma:default="Bad" ma:format="Dropdown" ma:internalName="Goodvs_x002e_bad">
      <xsd:simpleType>
        <xsd:restriction base="dms:Text">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0248a33-a687-407a-8077-21a4843fa0c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Reviewnotes" ma:index="26" nillable="true" ma:displayName="Review notes" ma:format="Dropdown" ma:internalName="Review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0086f8-18f9-454d-8ff1-ce1e60c2bb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1ff0b46-341f-4251-bd95-ee68e1e7bd84}" ma:internalName="TaxCatchAll" ma:showField="CatchAllData" ma:web="480086f8-18f9-454d-8ff1-ce1e60c2bb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9D4D7E-E0AE-473A-B64E-014C916021D6}"/>
</file>

<file path=customXml/itemProps2.xml><?xml version="1.0" encoding="utf-8"?>
<ds:datastoreItem xmlns:ds="http://schemas.openxmlformats.org/officeDocument/2006/customXml" ds:itemID="{E70F1579-DAD5-4ACC-8755-434E9C946553}"/>
</file>

<file path=customXml/itemProps3.xml><?xml version="1.0" encoding="utf-8"?>
<ds:datastoreItem xmlns:ds="http://schemas.openxmlformats.org/officeDocument/2006/customXml" ds:itemID="{ED5764ED-3B00-48CD-9BE9-8A73C8265A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Sharven Rane</cp:lastModifiedBy>
  <cp:revision/>
  <dcterms:created xsi:type="dcterms:W3CDTF">2024-09-30T12:27:19Z</dcterms:created>
  <dcterms:modified xsi:type="dcterms:W3CDTF">2024-10-09T14:45:42Z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0x0101000933ED124681D44E8FC9B06419689125</vt:lpwstr>
  </property>
  <property fmtid="{D5CDD505-2E9C-101B-9397-08002B2CF9AE}" pid="3" name="MediaServiceImageTags">
    <vt:lpwstr/>
  </property>
</Properties>
</file>