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30" activeTab="3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 30" sheetId="46" r:id="rId30"/>
    <sheet name="Sheet 31" sheetId="47" r:id="rId31"/>
    <sheet name="Feb 2019" sheetId="38" r:id="rId32"/>
    <sheet name="Feb stream I " sheetId="34" r:id="rId33"/>
    <sheet name="Feb stream II  " sheetId="35" r:id="rId34"/>
    <sheet name="Feb stream III " sheetId="36" r:id="rId35"/>
    <sheet name="Sheet33" sheetId="39" r:id="rId36"/>
    <sheet name="Sheet30" sheetId="40" r:id="rId37"/>
    <sheet name="Sheet31" sheetId="41" r:id="rId38"/>
    <sheet name="Sheet32" sheetId="42" r:id="rId39"/>
    <sheet name="Sheet34" sheetId="48" r:id="rId40"/>
    <sheet name="Sheet35" sheetId="49" r:id="rId41"/>
    <sheet name="july-20" sheetId="50" r:id="rId42"/>
    <sheet name="Sheet36" sheetId="51" r:id="rId43"/>
  </sheets>
  <externalReferences>
    <externalReference r:id="rId44"/>
  </externalReferences>
  <calcPr calcId="145621"/>
</workbook>
</file>

<file path=xl/calcChain.xml><?xml version="1.0" encoding="utf-8"?>
<calcChain xmlns="http://schemas.openxmlformats.org/spreadsheetml/2006/main">
  <c r="O40" i="38" l="1"/>
  <c r="O38" i="38"/>
  <c r="N38" i="38"/>
  <c r="M38" i="38"/>
  <c r="L38" i="38"/>
  <c r="K38" i="38"/>
  <c r="J38" i="38"/>
  <c r="I38" i="38"/>
  <c r="H38" i="38"/>
  <c r="G38" i="38"/>
  <c r="F38" i="38"/>
  <c r="M37" i="38"/>
  <c r="L37" i="38"/>
  <c r="K37" i="38"/>
  <c r="J37" i="38"/>
  <c r="I37" i="38"/>
  <c r="H37" i="38"/>
  <c r="G37" i="38"/>
  <c r="F37" i="38"/>
  <c r="M36" i="38"/>
  <c r="L36" i="38"/>
  <c r="K36" i="38"/>
  <c r="J36" i="38"/>
  <c r="I36" i="38"/>
  <c r="H36" i="38"/>
  <c r="G36" i="38"/>
  <c r="F36" i="38"/>
  <c r="M35" i="38"/>
  <c r="L35" i="38"/>
  <c r="K35" i="38"/>
  <c r="J35" i="38"/>
  <c r="I35" i="38"/>
  <c r="H35" i="38"/>
  <c r="G35" i="38"/>
  <c r="F35" i="38"/>
  <c r="M34" i="38"/>
  <c r="L34" i="38"/>
  <c r="K34" i="38"/>
  <c r="J34" i="38"/>
  <c r="I34" i="38"/>
  <c r="H34" i="38"/>
  <c r="G34" i="38"/>
  <c r="F34" i="38"/>
  <c r="M33" i="38"/>
  <c r="L33" i="38"/>
  <c r="K33" i="38"/>
  <c r="J33" i="38"/>
  <c r="I33" i="38"/>
  <c r="H33" i="38"/>
  <c r="G33" i="38"/>
  <c r="F33" i="38"/>
  <c r="M32" i="38"/>
  <c r="L32" i="38"/>
  <c r="K32" i="38"/>
  <c r="J32" i="38"/>
  <c r="I32" i="38"/>
  <c r="H32" i="38"/>
  <c r="G32" i="38"/>
  <c r="F32" i="38"/>
  <c r="M31" i="38"/>
  <c r="L31" i="38"/>
  <c r="K31" i="38"/>
  <c r="J31" i="38"/>
  <c r="I31" i="38"/>
  <c r="H31" i="38"/>
  <c r="G31" i="38"/>
  <c r="F31" i="38"/>
  <c r="M30" i="38"/>
  <c r="L30" i="38"/>
  <c r="K30" i="38"/>
  <c r="O30" i="38" s="1"/>
  <c r="J30" i="38"/>
  <c r="I30" i="38"/>
  <c r="H30" i="38"/>
  <c r="G30" i="38"/>
  <c r="F30" i="38"/>
  <c r="M29" i="38"/>
  <c r="L29" i="38"/>
  <c r="K29" i="38"/>
  <c r="J29" i="38"/>
  <c r="I29" i="38"/>
  <c r="H29" i="38"/>
  <c r="G29" i="38"/>
  <c r="F29" i="38"/>
  <c r="M28" i="38"/>
  <c r="L28" i="38"/>
  <c r="K28" i="38"/>
  <c r="J28" i="38"/>
  <c r="I28" i="38"/>
  <c r="H28" i="38"/>
  <c r="G28" i="38"/>
  <c r="F28" i="38"/>
  <c r="M27" i="38"/>
  <c r="L27" i="38"/>
  <c r="K27" i="38"/>
  <c r="J27" i="38"/>
  <c r="I27" i="38"/>
  <c r="H27" i="38"/>
  <c r="G27" i="38"/>
  <c r="F27" i="38"/>
  <c r="M26" i="38"/>
  <c r="L26" i="38"/>
  <c r="K26" i="38"/>
  <c r="O26" i="38" s="1"/>
  <c r="J26" i="38"/>
  <c r="I26" i="38"/>
  <c r="H26" i="38"/>
  <c r="G26" i="38"/>
  <c r="F26" i="38"/>
  <c r="M25" i="38"/>
  <c r="L25" i="38"/>
  <c r="K25" i="38"/>
  <c r="J25" i="38"/>
  <c r="I25" i="38"/>
  <c r="H25" i="38"/>
  <c r="G25" i="38"/>
  <c r="F25" i="38"/>
  <c r="M24" i="38"/>
  <c r="L24" i="38"/>
  <c r="K24" i="38"/>
  <c r="J24" i="38"/>
  <c r="I24" i="38"/>
  <c r="H24" i="38"/>
  <c r="G24" i="38"/>
  <c r="F24" i="38"/>
  <c r="M23" i="38"/>
  <c r="L23" i="38"/>
  <c r="K23" i="38"/>
  <c r="J23" i="38"/>
  <c r="I23" i="38"/>
  <c r="H23" i="38"/>
  <c r="G23" i="38"/>
  <c r="F23" i="38"/>
  <c r="M22" i="38"/>
  <c r="L22" i="38"/>
  <c r="K22" i="38"/>
  <c r="O22" i="38" s="1"/>
  <c r="J22" i="38"/>
  <c r="I22" i="38"/>
  <c r="H22" i="38"/>
  <c r="G22" i="38"/>
  <c r="F22" i="38"/>
  <c r="M21" i="38"/>
  <c r="L21" i="38"/>
  <c r="K21" i="38"/>
  <c r="J21" i="38"/>
  <c r="I21" i="38"/>
  <c r="H21" i="38"/>
  <c r="G21" i="38"/>
  <c r="F21" i="38"/>
  <c r="M20" i="38"/>
  <c r="L20" i="38"/>
  <c r="K20" i="38"/>
  <c r="J20" i="38"/>
  <c r="I20" i="38"/>
  <c r="H20" i="38"/>
  <c r="G20" i="38"/>
  <c r="F20" i="38"/>
  <c r="M19" i="38"/>
  <c r="L19" i="38"/>
  <c r="K19" i="38"/>
  <c r="J19" i="38"/>
  <c r="I19" i="38"/>
  <c r="H19" i="38"/>
  <c r="G19" i="38"/>
  <c r="F19" i="38"/>
  <c r="M18" i="38"/>
  <c r="L18" i="38"/>
  <c r="K18" i="38"/>
  <c r="O18" i="38" s="1"/>
  <c r="J18" i="38"/>
  <c r="I18" i="38"/>
  <c r="H18" i="38"/>
  <c r="G18" i="38"/>
  <c r="F18" i="38"/>
  <c r="M17" i="38"/>
  <c r="L17" i="38"/>
  <c r="K17" i="38"/>
  <c r="J17" i="38"/>
  <c r="I17" i="38"/>
  <c r="H17" i="38"/>
  <c r="G17" i="38"/>
  <c r="F17" i="38"/>
  <c r="M16" i="38"/>
  <c r="L16" i="38"/>
  <c r="K16" i="38"/>
  <c r="J16" i="38"/>
  <c r="I16" i="38"/>
  <c r="H16" i="38"/>
  <c r="G16" i="38"/>
  <c r="F16" i="38"/>
  <c r="M15" i="38"/>
  <c r="L15" i="38"/>
  <c r="K15" i="38"/>
  <c r="J15" i="38"/>
  <c r="I15" i="38"/>
  <c r="H15" i="38"/>
  <c r="G15" i="38"/>
  <c r="F15" i="38"/>
  <c r="M14" i="38"/>
  <c r="L14" i="38"/>
  <c r="K14" i="38"/>
  <c r="O14" i="38" s="1"/>
  <c r="J14" i="38"/>
  <c r="I14" i="38"/>
  <c r="H14" i="38"/>
  <c r="G14" i="38"/>
  <c r="F14" i="38"/>
  <c r="M13" i="38"/>
  <c r="L13" i="38"/>
  <c r="K13" i="38"/>
  <c r="O13" i="38" s="1"/>
  <c r="J13" i="38"/>
  <c r="I13" i="38"/>
  <c r="H13" i="38"/>
  <c r="G13" i="38"/>
  <c r="F13" i="38"/>
  <c r="M12" i="38"/>
  <c r="L12" i="38"/>
  <c r="K12" i="38"/>
  <c r="O12" i="38" s="1"/>
  <c r="J12" i="38"/>
  <c r="I12" i="38"/>
  <c r="H12" i="38"/>
  <c r="G12" i="38"/>
  <c r="F12" i="38"/>
  <c r="M11" i="38"/>
  <c r="L11" i="38"/>
  <c r="K11" i="38"/>
  <c r="J11" i="38"/>
  <c r="I11" i="38"/>
  <c r="H11" i="38"/>
  <c r="G11" i="38"/>
  <c r="F11" i="38"/>
  <c r="M10" i="38"/>
  <c r="L10" i="38"/>
  <c r="K10" i="38"/>
  <c r="O10" i="38" s="1"/>
  <c r="J10" i="38"/>
  <c r="I10" i="38"/>
  <c r="H10" i="38"/>
  <c r="G10" i="38"/>
  <c r="F10" i="38"/>
  <c r="M9" i="38"/>
  <c r="L9" i="38"/>
  <c r="K9" i="38"/>
  <c r="O9" i="38" s="1"/>
  <c r="J9" i="38"/>
  <c r="I9" i="38"/>
  <c r="H9" i="38"/>
  <c r="G9" i="38"/>
  <c r="F9" i="38"/>
  <c r="M8" i="38"/>
  <c r="L8" i="38"/>
  <c r="K8" i="38"/>
  <c r="O8" i="38" s="1"/>
  <c r="J8" i="38"/>
  <c r="I8" i="38"/>
  <c r="H8" i="38"/>
  <c r="G8" i="38"/>
  <c r="F8" i="38"/>
  <c r="O37" i="38"/>
  <c r="O36" i="38"/>
  <c r="O35" i="38"/>
  <c r="O34" i="38"/>
  <c r="O33" i="38"/>
  <c r="O32" i="38"/>
  <c r="O31" i="38"/>
  <c r="O29" i="38"/>
  <c r="O28" i="38"/>
  <c r="O27" i="38"/>
  <c r="O25" i="38"/>
  <c r="O24" i="38"/>
  <c r="O23" i="38"/>
  <c r="O21" i="38"/>
  <c r="O20" i="38"/>
  <c r="O19" i="38"/>
  <c r="O17" i="38"/>
  <c r="O16" i="38"/>
  <c r="O15" i="38"/>
  <c r="O11" i="38"/>
  <c r="A3" i="51" l="1"/>
  <c r="M11" i="50" l="1"/>
  <c r="L11" i="50"/>
  <c r="J11" i="50"/>
  <c r="I11" i="50"/>
  <c r="L12" i="39" l="1"/>
  <c r="L11" i="39"/>
  <c r="L10" i="39"/>
  <c r="K10" i="39"/>
  <c r="J10" i="39"/>
  <c r="M13" i="39"/>
  <c r="J11" i="39"/>
  <c r="J12" i="39"/>
  <c r="O27" i="36"/>
  <c r="O29" i="36"/>
  <c r="O34" i="36"/>
  <c r="T30" i="35"/>
  <c r="F38" i="48" l="1"/>
  <c r="L13" i="39"/>
  <c r="L65" i="49"/>
  <c r="U36" i="34" l="1"/>
  <c r="T36" i="34"/>
  <c r="S36" i="34"/>
  <c r="R36" i="34"/>
  <c r="Q36" i="34"/>
  <c r="P36" i="34"/>
  <c r="O36" i="34"/>
  <c r="N36" i="34"/>
  <c r="M36" i="34"/>
  <c r="L36" i="34"/>
  <c r="K36" i="34"/>
  <c r="J36" i="34"/>
  <c r="I36" i="34"/>
  <c r="M65" i="49"/>
  <c r="J65" i="49"/>
  <c r="I65" i="49"/>
  <c r="M38" i="49"/>
  <c r="L38" i="49"/>
  <c r="J38" i="49"/>
  <c r="I38" i="49"/>
  <c r="J13" i="49"/>
  <c r="I13" i="49"/>
  <c r="H34" i="34" l="1"/>
  <c r="E34" i="34"/>
  <c r="B34" i="34"/>
  <c r="O34" i="35"/>
  <c r="O33" i="35"/>
  <c r="O32" i="35"/>
  <c r="O31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T34" i="35"/>
  <c r="T33" i="35"/>
  <c r="T32" i="35"/>
  <c r="T31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36" i="35" s="1"/>
  <c r="G11" i="39" s="1"/>
  <c r="T7" i="35"/>
  <c r="T6" i="35"/>
  <c r="T36" i="36"/>
  <c r="S36" i="36"/>
  <c r="R36" i="36"/>
  <c r="Q36" i="36"/>
  <c r="P36" i="36"/>
  <c r="O36" i="36"/>
  <c r="N36" i="36"/>
  <c r="M36" i="36"/>
  <c r="L36" i="36"/>
  <c r="K36" i="36"/>
  <c r="J36" i="36"/>
  <c r="S36" i="35"/>
  <c r="R36" i="35"/>
  <c r="Q36" i="35"/>
  <c r="P36" i="35"/>
  <c r="O36" i="35"/>
  <c r="N36" i="35"/>
  <c r="M36" i="35"/>
  <c r="L36" i="35"/>
  <c r="K36" i="35"/>
  <c r="J36" i="35"/>
  <c r="K11" i="39" l="1"/>
  <c r="M17" i="46"/>
  <c r="M16" i="46"/>
  <c r="M15" i="46"/>
  <c r="M14" i="46"/>
  <c r="M12" i="46"/>
  <c r="M11" i="46"/>
  <c r="M10" i="46"/>
  <c r="M9" i="46"/>
  <c r="M7" i="46"/>
  <c r="M6" i="46"/>
  <c r="M4" i="46"/>
  <c r="J22" i="29" l="1"/>
  <c r="G23" i="29"/>
  <c r="D22" i="29"/>
  <c r="M17" i="29"/>
  <c r="M16" i="29"/>
  <c r="M15" i="29"/>
  <c r="M14" i="29"/>
  <c r="M12" i="29"/>
  <c r="M11" i="29"/>
  <c r="M10" i="29"/>
  <c r="M9" i="29"/>
  <c r="M7" i="29"/>
  <c r="M6" i="29"/>
  <c r="M4" i="29"/>
  <c r="G23" i="28"/>
  <c r="H23" i="35" l="1"/>
  <c r="E23" i="35"/>
  <c r="B23" i="35"/>
  <c r="H19" i="35"/>
  <c r="E19" i="35"/>
  <c r="B19" i="35"/>
  <c r="H19" i="34" l="1"/>
  <c r="E19" i="34"/>
  <c r="B19" i="34"/>
  <c r="H23" i="34"/>
  <c r="E23" i="34"/>
  <c r="B23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T8" i="34"/>
  <c r="T7" i="34"/>
  <c r="T6" i="34"/>
  <c r="T5" i="34"/>
  <c r="O34" i="34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5" i="34"/>
  <c r="O14" i="34"/>
  <c r="O13" i="34"/>
  <c r="O12" i="34"/>
  <c r="O11" i="34"/>
  <c r="O10" i="34"/>
  <c r="O9" i="34"/>
  <c r="O8" i="34"/>
  <c r="O7" i="34"/>
  <c r="O6" i="34"/>
  <c r="K58" i="48"/>
  <c r="C58" i="48"/>
  <c r="H58" i="48" s="1"/>
  <c r="I58" i="48" s="1"/>
  <c r="M17" i="28" l="1"/>
  <c r="M16" i="28"/>
  <c r="M15" i="28"/>
  <c r="M14" i="28"/>
  <c r="M12" i="28"/>
  <c r="M11" i="28"/>
  <c r="M10" i="28"/>
  <c r="M9" i="28"/>
  <c r="M7" i="28"/>
  <c r="M6" i="28"/>
  <c r="M4" i="28"/>
  <c r="D21" i="27"/>
  <c r="M17" i="27"/>
  <c r="M16" i="27"/>
  <c r="M15" i="27"/>
  <c r="M14" i="27"/>
  <c r="M12" i="27"/>
  <c r="M11" i="27"/>
  <c r="M10" i="27"/>
  <c r="M9" i="27"/>
  <c r="M7" i="27"/>
  <c r="M6" i="27"/>
  <c r="M5" i="27"/>
  <c r="G23" i="26" l="1"/>
  <c r="M17" i="26"/>
  <c r="M16" i="26"/>
  <c r="M15" i="26"/>
  <c r="M14" i="26"/>
  <c r="M12" i="26"/>
  <c r="M11" i="26"/>
  <c r="M10" i="26"/>
  <c r="M9" i="26"/>
  <c r="M7" i="26"/>
  <c r="M6" i="26"/>
  <c r="M4" i="26"/>
  <c r="O25" i="24"/>
  <c r="G23" i="25"/>
  <c r="D23" i="25"/>
  <c r="D22" i="25"/>
  <c r="J21" i="24"/>
  <c r="G21" i="24"/>
  <c r="D21" i="24"/>
  <c r="M7" i="24" l="1"/>
  <c r="M6" i="24"/>
  <c r="M5" i="24"/>
  <c r="M4" i="24"/>
  <c r="K15" i="24"/>
  <c r="L15" i="24" s="1"/>
  <c r="M15" i="24" s="1"/>
  <c r="M14" i="24"/>
  <c r="M17" i="23"/>
  <c r="M16" i="23"/>
  <c r="M14" i="23"/>
  <c r="M12" i="23"/>
  <c r="M11" i="23"/>
  <c r="L17" i="24" l="1"/>
  <c r="M17" i="24" s="1"/>
  <c r="L16" i="24"/>
  <c r="M16" i="24" s="1"/>
  <c r="O25" i="22"/>
  <c r="J21" i="22"/>
  <c r="G21" i="22"/>
  <c r="D21" i="22"/>
  <c r="M17" i="22"/>
  <c r="M16" i="22"/>
  <c r="M15" i="22"/>
  <c r="M14" i="22"/>
  <c r="M12" i="22"/>
  <c r="M11" i="22"/>
  <c r="M10" i="22"/>
  <c r="M9" i="22"/>
  <c r="M7" i="22"/>
  <c r="M6" i="22"/>
  <c r="M5" i="22"/>
  <c r="J22" i="21"/>
  <c r="G21" i="21"/>
  <c r="J21" i="21"/>
  <c r="D21" i="21"/>
  <c r="M17" i="21"/>
  <c r="M16" i="21"/>
  <c r="M15" i="21"/>
  <c r="M14" i="21"/>
  <c r="M12" i="21"/>
  <c r="M11" i="21"/>
  <c r="M10" i="21"/>
  <c r="M9" i="21"/>
  <c r="M7" i="21"/>
  <c r="M6" i="21"/>
  <c r="M5" i="21"/>
  <c r="J21" i="20" l="1"/>
  <c r="G21" i="20"/>
  <c r="D21" i="20"/>
  <c r="M17" i="20"/>
  <c r="M16" i="20"/>
  <c r="M15" i="20"/>
  <c r="M14" i="20"/>
  <c r="M12" i="20"/>
  <c r="M11" i="20"/>
  <c r="M10" i="20"/>
  <c r="M9" i="20"/>
  <c r="M7" i="20"/>
  <c r="M6" i="20"/>
  <c r="M5" i="20"/>
  <c r="G23" i="19" l="1"/>
  <c r="J23" i="19"/>
  <c r="J21" i="19"/>
  <c r="D23" i="19"/>
  <c r="G21" i="19"/>
  <c r="D21" i="19"/>
  <c r="J23" i="17"/>
  <c r="J22" i="17"/>
  <c r="J21" i="17"/>
  <c r="G23" i="17"/>
  <c r="G21" i="17"/>
  <c r="D21" i="17"/>
  <c r="M17" i="19"/>
  <c r="M16" i="19"/>
  <c r="M15" i="19"/>
  <c r="M14" i="19"/>
  <c r="M12" i="19"/>
  <c r="M11" i="19"/>
  <c r="M10" i="19"/>
  <c r="M9" i="19"/>
  <c r="M7" i="19"/>
  <c r="M6" i="19"/>
  <c r="M5" i="19"/>
  <c r="M17" i="17" l="1"/>
  <c r="M16" i="17"/>
  <c r="M15" i="17"/>
  <c r="M14" i="17"/>
  <c r="M12" i="17"/>
  <c r="M11" i="17"/>
  <c r="M10" i="17"/>
  <c r="M9" i="17"/>
  <c r="M7" i="17"/>
  <c r="M6" i="17"/>
  <c r="M5" i="17"/>
  <c r="J21" i="18"/>
  <c r="J22" i="18"/>
  <c r="G22" i="18"/>
  <c r="D21" i="18"/>
  <c r="G21" i="18"/>
  <c r="M17" i="18"/>
  <c r="M16" i="18"/>
  <c r="M15" i="18"/>
  <c r="M14" i="18"/>
  <c r="M12" i="18"/>
  <c r="M11" i="18"/>
  <c r="M10" i="18"/>
  <c r="M9" i="18"/>
  <c r="M7" i="18"/>
  <c r="M6" i="18"/>
  <c r="M5" i="18"/>
  <c r="J21" i="16" l="1"/>
  <c r="G21" i="16"/>
  <c r="D21" i="16"/>
  <c r="N20" i="16"/>
  <c r="L21" i="16" l="1"/>
  <c r="G23" i="15"/>
  <c r="G22" i="15"/>
  <c r="J23" i="15"/>
  <c r="J22" i="15"/>
  <c r="J21" i="15"/>
  <c r="G21" i="15"/>
  <c r="D21" i="15"/>
  <c r="M17" i="15"/>
  <c r="M16" i="15"/>
  <c r="M15" i="15"/>
  <c r="M14" i="15"/>
  <c r="M12" i="15"/>
  <c r="M11" i="15"/>
  <c r="M10" i="15"/>
  <c r="M9" i="15"/>
  <c r="M7" i="15"/>
  <c r="M6" i="15"/>
  <c r="M5" i="15"/>
  <c r="J21" i="14" l="1"/>
  <c r="J22" i="14"/>
  <c r="G21" i="14"/>
  <c r="D21" i="14"/>
  <c r="M16" i="14"/>
  <c r="M15" i="14"/>
  <c r="M14" i="14"/>
  <c r="M12" i="14"/>
  <c r="M11" i="14"/>
  <c r="M10" i="14"/>
  <c r="M9" i="14"/>
  <c r="M7" i="14"/>
  <c r="M6" i="14"/>
  <c r="M5" i="14"/>
  <c r="L21" i="14" l="1"/>
  <c r="J21" i="13"/>
  <c r="G21" i="13"/>
  <c r="M17" i="13"/>
  <c r="M16" i="13"/>
  <c r="M15" i="13"/>
  <c r="M14" i="13"/>
  <c r="M12" i="13"/>
  <c r="M11" i="13"/>
  <c r="M10" i="13"/>
  <c r="M9" i="13"/>
  <c r="M7" i="13"/>
  <c r="M6" i="13"/>
  <c r="M5" i="13"/>
  <c r="G23" i="12" l="1"/>
  <c r="G22" i="12"/>
  <c r="M17" i="12" l="1"/>
  <c r="M16" i="12"/>
  <c r="M15" i="12"/>
  <c r="M14" i="12"/>
  <c r="M12" i="12"/>
  <c r="M11" i="12"/>
  <c r="M10" i="12"/>
  <c r="M9" i="12"/>
  <c r="M7" i="12"/>
  <c r="M6" i="12"/>
  <c r="M5" i="12"/>
  <c r="M17" i="11" l="1"/>
  <c r="M16" i="11"/>
  <c r="M15" i="11"/>
  <c r="M14" i="11"/>
  <c r="M12" i="11"/>
  <c r="M11" i="11"/>
  <c r="M10" i="11"/>
  <c r="M9" i="11"/>
  <c r="M7" i="11"/>
  <c r="M6" i="11"/>
  <c r="N20" i="11" s="1"/>
  <c r="M5" i="11"/>
  <c r="N27" i="10"/>
  <c r="Q26" i="10"/>
  <c r="O25" i="10"/>
  <c r="J23" i="10"/>
  <c r="G23" i="10"/>
  <c r="D23" i="10"/>
  <c r="L23" i="10" s="1"/>
  <c r="J22" i="10"/>
  <c r="J24" i="10" s="1"/>
  <c r="G22" i="10"/>
  <c r="D22" i="10"/>
  <c r="J21" i="10"/>
  <c r="G21" i="10"/>
  <c r="L21" i="10" s="1"/>
  <c r="D21" i="10"/>
  <c r="M17" i="10"/>
  <c r="M16" i="10"/>
  <c r="M15" i="10"/>
  <c r="M14" i="10"/>
  <c r="M12" i="10"/>
  <c r="M11" i="10"/>
  <c r="M10" i="10"/>
  <c r="M9" i="10"/>
  <c r="M7" i="10"/>
  <c r="M6" i="10"/>
  <c r="N20" i="10" s="1"/>
  <c r="M5" i="10"/>
  <c r="N19" i="10" s="1"/>
  <c r="M4" i="10"/>
  <c r="N18" i="10" s="1"/>
  <c r="N27" i="11"/>
  <c r="Q26" i="11"/>
  <c r="J23" i="11"/>
  <c r="G23" i="11"/>
  <c r="D23" i="11"/>
  <c r="L23" i="11" s="1"/>
  <c r="J22" i="11"/>
  <c r="G22" i="11"/>
  <c r="D22" i="11"/>
  <c r="L22" i="11" s="1"/>
  <c r="J21" i="11"/>
  <c r="J24" i="11" s="1"/>
  <c r="G21" i="11"/>
  <c r="L21" i="11" s="1"/>
  <c r="D21" i="11"/>
  <c r="M4" i="11"/>
  <c r="N18" i="11" s="1"/>
  <c r="N19" i="11" l="1"/>
  <c r="N21" i="10"/>
  <c r="G24" i="10"/>
  <c r="L22" i="10"/>
  <c r="L24" i="10" s="1"/>
  <c r="D24" i="10"/>
  <c r="N21" i="11"/>
  <c r="L24" i="11"/>
  <c r="D24" i="11"/>
  <c r="G24" i="11"/>
  <c r="M17" i="9"/>
  <c r="M16" i="9"/>
  <c r="M15" i="9"/>
  <c r="M14" i="9"/>
  <c r="M12" i="9"/>
  <c r="M11" i="9"/>
  <c r="M10" i="9"/>
  <c r="M9" i="9"/>
  <c r="M7" i="9"/>
  <c r="M6" i="9"/>
  <c r="M5" i="9"/>
  <c r="G23" i="8" l="1"/>
  <c r="G22" i="8"/>
  <c r="M17" i="8"/>
  <c r="M16" i="8"/>
  <c r="M15" i="8"/>
  <c r="M14" i="8"/>
  <c r="M12" i="8"/>
  <c r="M11" i="8"/>
  <c r="M10" i="8"/>
  <c r="M9" i="8"/>
  <c r="M7" i="8"/>
  <c r="M6" i="8"/>
  <c r="M5" i="8"/>
  <c r="G23" i="7"/>
  <c r="M17" i="7"/>
  <c r="M16" i="7"/>
  <c r="M15" i="7"/>
  <c r="M14" i="7"/>
  <c r="M12" i="7"/>
  <c r="M11" i="7"/>
  <c r="M10" i="7"/>
  <c r="M9" i="7"/>
  <c r="M7" i="7"/>
  <c r="M6" i="7"/>
  <c r="D23" i="6" l="1"/>
  <c r="M17" i="6"/>
  <c r="M16" i="6"/>
  <c r="M15" i="6"/>
  <c r="M12" i="6"/>
  <c r="M11" i="6"/>
  <c r="M10" i="6"/>
  <c r="M9" i="6"/>
  <c r="M7" i="6"/>
  <c r="M6" i="6"/>
  <c r="M5" i="6"/>
  <c r="M17" i="5" l="1"/>
  <c r="M16" i="5"/>
  <c r="M15" i="5"/>
  <c r="M14" i="5"/>
  <c r="M12" i="5"/>
  <c r="M11" i="5"/>
  <c r="M10" i="5"/>
  <c r="M9" i="5"/>
  <c r="M7" i="5"/>
  <c r="M6" i="5"/>
  <c r="M5" i="5"/>
  <c r="D23" i="4" l="1"/>
  <c r="J22" i="3"/>
  <c r="J21" i="3"/>
  <c r="M17" i="3"/>
  <c r="M16" i="3"/>
  <c r="M15" i="3"/>
  <c r="M14" i="3"/>
  <c r="M12" i="3"/>
  <c r="M11" i="3"/>
  <c r="M10" i="3"/>
  <c r="M9" i="3"/>
  <c r="M7" i="3"/>
  <c r="M6" i="3"/>
  <c r="M5" i="3"/>
  <c r="M17" i="4"/>
  <c r="M16" i="4"/>
  <c r="M15" i="4"/>
  <c r="M14" i="4"/>
  <c r="M12" i="4"/>
  <c r="M11" i="4"/>
  <c r="M10" i="4"/>
  <c r="M9" i="4"/>
  <c r="M7" i="4"/>
  <c r="M6" i="4"/>
  <c r="M5" i="4"/>
  <c r="J23" i="2" l="1"/>
  <c r="J21" i="2"/>
  <c r="M17" i="2"/>
  <c r="M16" i="2"/>
  <c r="M15" i="2"/>
  <c r="M14" i="2"/>
  <c r="M12" i="2"/>
  <c r="M11" i="2"/>
  <c r="M10" i="2"/>
  <c r="M9" i="2"/>
  <c r="M7" i="2"/>
  <c r="M6" i="2"/>
  <c r="M5" i="2"/>
  <c r="M17" i="1" l="1"/>
  <c r="M16" i="1"/>
  <c r="M15" i="1"/>
  <c r="M14" i="1"/>
  <c r="M12" i="1"/>
  <c r="M11" i="1"/>
  <c r="M10" i="1"/>
  <c r="M9" i="1"/>
  <c r="M7" i="1"/>
  <c r="M6" i="1"/>
  <c r="M5" i="1"/>
  <c r="E21" i="41" l="1"/>
  <c r="K18" i="48" l="1"/>
  <c r="G18" i="48"/>
  <c r="F18" i="48"/>
  <c r="E18" i="48"/>
  <c r="D18" i="48"/>
  <c r="C18" i="48"/>
  <c r="K11" i="48"/>
  <c r="G11" i="48"/>
  <c r="F11" i="48"/>
  <c r="E11" i="48"/>
  <c r="D11" i="48"/>
  <c r="C11" i="48"/>
  <c r="H11" i="48" l="1"/>
  <c r="I11" i="48" s="1"/>
  <c r="H18" i="48"/>
  <c r="I18" i="48" s="1"/>
  <c r="Q37" i="38"/>
  <c r="P37" i="38"/>
  <c r="N37" i="38" s="1"/>
  <c r="B34" i="35"/>
  <c r="T34" i="36"/>
  <c r="G34" i="36"/>
  <c r="F34" i="36"/>
  <c r="D34" i="36"/>
  <c r="C34" i="36"/>
  <c r="G34" i="35"/>
  <c r="F34" i="35"/>
  <c r="D34" i="35"/>
  <c r="C34" i="35"/>
  <c r="G34" i="34"/>
  <c r="F34" i="34"/>
  <c r="D34" i="34"/>
  <c r="C34" i="34"/>
  <c r="N27" i="47"/>
  <c r="S25" i="47"/>
  <c r="D24" i="47"/>
  <c r="T23" i="47"/>
  <c r="J23" i="47"/>
  <c r="G23" i="47"/>
  <c r="L23" i="47" s="1"/>
  <c r="D23" i="47"/>
  <c r="J22" i="47"/>
  <c r="G22" i="47"/>
  <c r="G24" i="47" s="1"/>
  <c r="D22" i="47"/>
  <c r="J21" i="47"/>
  <c r="J24" i="47" s="1"/>
  <c r="G21" i="47"/>
  <c r="D21" i="47"/>
  <c r="M17" i="47"/>
  <c r="N21" i="47" s="1"/>
  <c r="M16" i="47"/>
  <c r="M15" i="47"/>
  <c r="M14" i="47"/>
  <c r="M12" i="47"/>
  <c r="M11" i="47"/>
  <c r="M10" i="47"/>
  <c r="M9" i="47"/>
  <c r="M7" i="47"/>
  <c r="M6" i="47"/>
  <c r="N20" i="47" s="1"/>
  <c r="M5" i="47"/>
  <c r="N19" i="47" s="1"/>
  <c r="M4" i="47"/>
  <c r="N18" i="47" s="1"/>
  <c r="N27" i="46"/>
  <c r="S25" i="46"/>
  <c r="T23" i="46"/>
  <c r="J23" i="46"/>
  <c r="H34" i="36" s="1"/>
  <c r="G23" i="46"/>
  <c r="E34" i="36" s="1"/>
  <c r="D23" i="46"/>
  <c r="B34" i="36" s="1"/>
  <c r="J22" i="46"/>
  <c r="H34" i="35" s="1"/>
  <c r="G22" i="46"/>
  <c r="E34" i="35" s="1"/>
  <c r="D22" i="46"/>
  <c r="J21" i="46"/>
  <c r="G21" i="46"/>
  <c r="D21" i="46"/>
  <c r="N21" i="46"/>
  <c r="N20" i="46"/>
  <c r="M5" i="46"/>
  <c r="N19" i="46" s="1"/>
  <c r="N18" i="46"/>
  <c r="I34" i="36" l="1"/>
  <c r="U34" i="36" s="1"/>
  <c r="G24" i="46"/>
  <c r="L23" i="46"/>
  <c r="D24" i="46"/>
  <c r="L21" i="46"/>
  <c r="D37" i="38"/>
  <c r="I34" i="35"/>
  <c r="I34" i="34"/>
  <c r="L21" i="47"/>
  <c r="L22" i="47"/>
  <c r="L22" i="46"/>
  <c r="J24" i="46"/>
  <c r="L24" i="46" l="1"/>
  <c r="U34" i="35"/>
  <c r="C37" i="38"/>
  <c r="U34" i="34"/>
  <c r="B37" i="38"/>
  <c r="L24" i="47"/>
  <c r="G21" i="29" l="1"/>
  <c r="G22" i="29"/>
  <c r="D21" i="29"/>
  <c r="M5" i="29"/>
  <c r="J22" i="28" l="1"/>
  <c r="D23" i="28"/>
  <c r="D22" i="28"/>
  <c r="D21" i="28"/>
  <c r="M5" i="28"/>
  <c r="G22" i="27"/>
  <c r="D22" i="27"/>
  <c r="M5" i="26" l="1"/>
  <c r="T20" i="25" l="1"/>
  <c r="T20" i="24"/>
  <c r="O25" i="23"/>
  <c r="T17" i="24"/>
  <c r="T22" i="23"/>
  <c r="S18" i="22"/>
  <c r="J22" i="25"/>
  <c r="J21" i="25"/>
  <c r="G22" i="25"/>
  <c r="M11" i="25"/>
  <c r="M17" i="25" l="1"/>
  <c r="M16" i="25"/>
  <c r="M15" i="25"/>
  <c r="M14" i="25"/>
  <c r="M12" i="25"/>
  <c r="M10" i="25"/>
  <c r="M9" i="25"/>
  <c r="M7" i="25" l="1"/>
  <c r="M6" i="25"/>
  <c r="M5" i="25"/>
  <c r="J22" i="24" l="1"/>
  <c r="G22" i="24"/>
  <c r="D22" i="24"/>
  <c r="M12" i="24"/>
  <c r="M11" i="24"/>
  <c r="M10" i="24"/>
  <c r="M9" i="24"/>
  <c r="L22" i="24" l="1"/>
  <c r="J23" i="23"/>
  <c r="M10" i="23"/>
  <c r="M9" i="23"/>
  <c r="M7" i="23"/>
  <c r="M6" i="23"/>
  <c r="M5" i="23"/>
  <c r="N27" i="20" l="1"/>
  <c r="J23" i="20"/>
  <c r="G23" i="20"/>
  <c r="D23" i="20"/>
  <c r="L23" i="20" s="1"/>
  <c r="J22" i="20"/>
  <c r="J24" i="20" s="1"/>
  <c r="G22" i="20"/>
  <c r="G24" i="20" s="1"/>
  <c r="D22" i="20"/>
  <c r="L21" i="20"/>
  <c r="D24" i="20" l="1"/>
  <c r="L22" i="20"/>
  <c r="L24" i="20" s="1"/>
  <c r="D22" i="17" l="1"/>
  <c r="M12" i="16" l="1"/>
  <c r="M17" i="16"/>
  <c r="M16" i="16"/>
  <c r="M15" i="16"/>
  <c r="M14" i="16"/>
  <c r="M11" i="16"/>
  <c r="M10" i="16"/>
  <c r="M9" i="16"/>
  <c r="M7" i="16"/>
  <c r="M6" i="16"/>
  <c r="D23" i="14" l="1"/>
  <c r="M4" i="14"/>
  <c r="J22" i="12" l="1"/>
  <c r="J23" i="12"/>
  <c r="G21" i="12"/>
  <c r="D23" i="12"/>
  <c r="D21" i="12"/>
  <c r="D21" i="9" l="1"/>
  <c r="J22" i="8" l="1"/>
  <c r="J21" i="8"/>
  <c r="G21" i="8"/>
  <c r="G22" i="7" l="1"/>
  <c r="D23" i="7"/>
  <c r="J22" i="6"/>
  <c r="D22" i="6"/>
  <c r="M5" i="7"/>
  <c r="M4" i="7"/>
  <c r="M14" i="6"/>
  <c r="J21" i="5" l="1"/>
  <c r="J22" i="5"/>
  <c r="D23" i="5"/>
  <c r="M4" i="5"/>
  <c r="J22" i="4" l="1"/>
  <c r="G23" i="4"/>
  <c r="G23" i="3" l="1"/>
  <c r="G23" i="2" l="1"/>
  <c r="M4" i="2"/>
  <c r="J22" i="1" l="1"/>
  <c r="G23" i="1"/>
  <c r="G21" i="1"/>
  <c r="D23" i="1"/>
  <c r="G39" i="40" l="1"/>
  <c r="F39" i="40"/>
  <c r="G20" i="41"/>
  <c r="G19" i="41"/>
  <c r="G18" i="41"/>
  <c r="G17" i="41"/>
  <c r="G16" i="41"/>
  <c r="G15" i="41"/>
  <c r="G14" i="41"/>
  <c r="G13" i="41"/>
  <c r="G12" i="41"/>
  <c r="G11" i="41"/>
  <c r="F20" i="41"/>
  <c r="F19" i="41"/>
  <c r="F18" i="41"/>
  <c r="F17" i="41"/>
  <c r="F16" i="41"/>
  <c r="F15" i="41"/>
  <c r="F14" i="41"/>
  <c r="F13" i="41"/>
  <c r="F12" i="41"/>
  <c r="F11" i="41"/>
  <c r="G10" i="41"/>
  <c r="F10" i="41"/>
  <c r="E17" i="41"/>
  <c r="E20" i="41"/>
  <c r="E19" i="41"/>
  <c r="E18" i="41"/>
  <c r="E16" i="41"/>
  <c r="E15" i="41"/>
  <c r="E14" i="41"/>
  <c r="E13" i="41"/>
  <c r="E12" i="41"/>
  <c r="E11" i="41"/>
  <c r="E10" i="41"/>
  <c r="AG39" i="40"/>
  <c r="AF39" i="40"/>
  <c r="Y39" i="40"/>
  <c r="X39" i="40"/>
  <c r="Q39" i="40"/>
  <c r="P39" i="40"/>
  <c r="N39" i="40"/>
  <c r="D39" i="40"/>
  <c r="T33" i="36" l="1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T12" i="36"/>
  <c r="T11" i="36"/>
  <c r="T10" i="36"/>
  <c r="T8" i="36"/>
  <c r="T7" i="36"/>
  <c r="T6" i="36"/>
  <c r="T5" i="36"/>
  <c r="T9" i="36"/>
  <c r="G12" i="39" l="1"/>
  <c r="J23" i="29"/>
  <c r="J23" i="28"/>
  <c r="P36" i="38" l="1"/>
  <c r="N36" i="38" s="1"/>
  <c r="P35" i="38"/>
  <c r="N35" i="38" s="1"/>
  <c r="P34" i="38"/>
  <c r="N34" i="38" s="1"/>
  <c r="P33" i="38"/>
  <c r="N33" i="38" s="1"/>
  <c r="P32" i="38"/>
  <c r="N32" i="38" s="1"/>
  <c r="P31" i="38"/>
  <c r="N31" i="38" s="1"/>
  <c r="P30" i="38"/>
  <c r="N30" i="38" s="1"/>
  <c r="P29" i="38"/>
  <c r="N29" i="38" s="1"/>
  <c r="P28" i="38"/>
  <c r="N28" i="38" s="1"/>
  <c r="P27" i="38"/>
  <c r="N27" i="38" s="1"/>
  <c r="P26" i="38"/>
  <c r="N26" i="38" s="1"/>
  <c r="R36" i="38"/>
  <c r="R35" i="38"/>
  <c r="R33" i="38"/>
  <c r="R32" i="38"/>
  <c r="R30" i="38"/>
  <c r="R28" i="38"/>
  <c r="R27" i="38"/>
  <c r="R24" i="38"/>
  <c r="R22" i="38"/>
  <c r="R21" i="38"/>
  <c r="R20" i="38"/>
  <c r="R15" i="38"/>
  <c r="R14" i="38"/>
  <c r="R13" i="38"/>
  <c r="R12" i="38"/>
  <c r="R11" i="38"/>
  <c r="R10" i="38"/>
  <c r="R9" i="38"/>
  <c r="P25" i="38"/>
  <c r="N25" i="38" s="1"/>
  <c r="P24" i="38"/>
  <c r="N24" i="38" s="1"/>
  <c r="P23" i="38"/>
  <c r="N23" i="38" s="1"/>
  <c r="P22" i="38"/>
  <c r="N22" i="38" s="1"/>
  <c r="P21" i="38"/>
  <c r="N21" i="38" s="1"/>
  <c r="P20" i="38"/>
  <c r="N20" i="38" s="1"/>
  <c r="P19" i="38"/>
  <c r="N19" i="38" s="1"/>
  <c r="P18" i="38"/>
  <c r="N18" i="38" s="1"/>
  <c r="P17" i="38"/>
  <c r="N17" i="38" s="1"/>
  <c r="P16" i="38"/>
  <c r="N16" i="38" s="1"/>
  <c r="P15" i="38"/>
  <c r="N15" i="38" s="1"/>
  <c r="P14" i="38"/>
  <c r="N14" i="38" s="1"/>
  <c r="P13" i="38"/>
  <c r="N13" i="38" s="1"/>
  <c r="P12" i="38"/>
  <c r="N12" i="38" s="1"/>
  <c r="P11" i="38"/>
  <c r="N11" i="38" s="1"/>
  <c r="P10" i="38"/>
  <c r="N10" i="38" s="1"/>
  <c r="P9" i="38"/>
  <c r="N9" i="38" s="1"/>
  <c r="P8" i="38"/>
  <c r="N8" i="38" s="1"/>
  <c r="Q36" i="38"/>
  <c r="Q35" i="38"/>
  <c r="Q34" i="38"/>
  <c r="Q33" i="38"/>
  <c r="Q32" i="38"/>
  <c r="Q31" i="38"/>
  <c r="Q30" i="38"/>
  <c r="Q29" i="38"/>
  <c r="Q28" i="38"/>
  <c r="Q27" i="38"/>
  <c r="Q26" i="38"/>
  <c r="Q25" i="38"/>
  <c r="Q24" i="38"/>
  <c r="Q23" i="38"/>
  <c r="Q22" i="38"/>
  <c r="Q21" i="38"/>
  <c r="Q20" i="38"/>
  <c r="Q19" i="38"/>
  <c r="Q18" i="38"/>
  <c r="Q17" i="38"/>
  <c r="Q16" i="38"/>
  <c r="Q15" i="38"/>
  <c r="Q14" i="38"/>
  <c r="Q13" i="38"/>
  <c r="Q12" i="38"/>
  <c r="Q11" i="38"/>
  <c r="Q10" i="38"/>
  <c r="Q9" i="38"/>
  <c r="Q8" i="38"/>
  <c r="Q38" i="38" l="1"/>
  <c r="P38" i="38"/>
  <c r="S8" i="38"/>
  <c r="S9" i="38" s="1"/>
  <c r="S10" i="38" s="1"/>
  <c r="S11" i="38" s="1"/>
  <c r="S12" i="38" s="1"/>
  <c r="S13" i="38" s="1"/>
  <c r="S14" i="38" s="1"/>
  <c r="S15" i="38" s="1"/>
  <c r="S16" i="38" s="1"/>
  <c r="S17" i="38" s="1"/>
  <c r="S18" i="38" s="1"/>
  <c r="S19" i="38" s="1"/>
  <c r="S20" i="38" s="1"/>
  <c r="S21" i="38" s="1"/>
  <c r="S22" i="38" s="1"/>
  <c r="S23" i="38" s="1"/>
  <c r="S24" i="38" s="1"/>
  <c r="S25" i="38" s="1"/>
  <c r="S26" i="38" s="1"/>
  <c r="S27" i="38" s="1"/>
  <c r="S28" i="38" s="1"/>
  <c r="S29" i="38" s="1"/>
  <c r="S30" i="38" s="1"/>
  <c r="S31" i="38" s="1"/>
  <c r="S32" i="38" s="1"/>
  <c r="S33" i="38" s="1"/>
  <c r="S34" i="38" s="1"/>
  <c r="S35" i="38" s="1"/>
  <c r="S36" i="38" s="1"/>
  <c r="R38" i="38"/>
  <c r="S38" i="38" l="1"/>
  <c r="S37" i="38"/>
  <c r="J23" i="27"/>
  <c r="J22" i="27"/>
  <c r="J23" i="26"/>
  <c r="M4" i="25" l="1"/>
  <c r="G21" i="23" l="1"/>
  <c r="G22" i="23"/>
  <c r="D22" i="23"/>
  <c r="J22" i="22" l="1"/>
  <c r="J23" i="18" l="1"/>
  <c r="G23" i="18"/>
  <c r="J23" i="16" l="1"/>
  <c r="G23" i="16"/>
  <c r="D23" i="16"/>
  <c r="J22" i="16"/>
  <c r="G22" i="16"/>
  <c r="D22" i="16"/>
  <c r="G24" i="16"/>
  <c r="L23" i="16" l="1"/>
  <c r="L22" i="16"/>
  <c r="D24" i="16"/>
  <c r="J24" i="16"/>
  <c r="M4" i="13"/>
  <c r="L24" i="16" l="1"/>
  <c r="J22" i="23" l="1"/>
  <c r="L22" i="23" s="1"/>
  <c r="J23" i="21" l="1"/>
  <c r="D22" i="18" l="1"/>
  <c r="D23" i="17"/>
  <c r="D22" i="15" l="1"/>
  <c r="J23" i="14" l="1"/>
  <c r="J24" i="14" s="1"/>
  <c r="J22" i="13" l="1"/>
  <c r="G22" i="13"/>
  <c r="J23" i="9" l="1"/>
  <c r="J22" i="9"/>
  <c r="D23" i="8"/>
  <c r="J23" i="4" l="1"/>
  <c r="Q26" i="2" l="1"/>
  <c r="Q26" i="3" s="1"/>
  <c r="Q26" i="5" s="1"/>
  <c r="Q26" i="6" s="1"/>
  <c r="Q26" i="7" s="1"/>
  <c r="Q26" i="8" s="1"/>
  <c r="Q26" i="9" s="1"/>
  <c r="G22" i="2" l="1"/>
  <c r="D22" i="2"/>
  <c r="O25" i="2"/>
  <c r="O25" i="3" s="1"/>
  <c r="O25" i="4" s="1"/>
  <c r="O25" i="5" s="1"/>
  <c r="O25" i="7" s="1"/>
  <c r="O25" i="9" l="1"/>
  <c r="N27" i="29"/>
  <c r="D23" i="29"/>
  <c r="J21" i="29"/>
  <c r="N27" i="28"/>
  <c r="G22" i="28"/>
  <c r="L22" i="28" s="1"/>
  <c r="J21" i="28"/>
  <c r="G21" i="28"/>
  <c r="N20" i="28"/>
  <c r="N27" i="27"/>
  <c r="G23" i="27"/>
  <c r="D23" i="27"/>
  <c r="J21" i="27"/>
  <c r="J24" i="27" s="1"/>
  <c r="G21" i="27"/>
  <c r="N21" i="27"/>
  <c r="N20" i="27"/>
  <c r="N19" i="27"/>
  <c r="M4" i="27"/>
  <c r="N27" i="26"/>
  <c r="D23" i="26"/>
  <c r="J22" i="26"/>
  <c r="G22" i="26"/>
  <c r="D22" i="26"/>
  <c r="J21" i="26"/>
  <c r="G21" i="26"/>
  <c r="D21" i="26"/>
  <c r="N20" i="26"/>
  <c r="N27" i="25"/>
  <c r="J23" i="25"/>
  <c r="G21" i="25"/>
  <c r="D21" i="25"/>
  <c r="N19" i="25"/>
  <c r="N27" i="24"/>
  <c r="J23" i="24"/>
  <c r="G23" i="24"/>
  <c r="D23" i="24"/>
  <c r="N27" i="23"/>
  <c r="G23" i="23"/>
  <c r="D23" i="23"/>
  <c r="L23" i="23" s="1"/>
  <c r="J21" i="23"/>
  <c r="D21" i="23"/>
  <c r="M4" i="23"/>
  <c r="N27" i="22"/>
  <c r="J23" i="22"/>
  <c r="G23" i="22"/>
  <c r="D23" i="22"/>
  <c r="G22" i="22"/>
  <c r="D22" i="22"/>
  <c r="N20" i="22"/>
  <c r="N19" i="22"/>
  <c r="M4" i="22"/>
  <c r="N27" i="21"/>
  <c r="G23" i="21"/>
  <c r="D23" i="21"/>
  <c r="G22" i="21"/>
  <c r="D22" i="21"/>
  <c r="M4" i="21"/>
  <c r="M4" i="20"/>
  <c r="N27" i="19"/>
  <c r="J22" i="19"/>
  <c r="G22" i="19"/>
  <c r="D22" i="19"/>
  <c r="N20" i="19"/>
  <c r="M4" i="19"/>
  <c r="N27" i="18"/>
  <c r="D23" i="18"/>
  <c r="N20" i="18"/>
  <c r="Q5" i="18"/>
  <c r="M4" i="18"/>
  <c r="N27" i="17"/>
  <c r="G22" i="17"/>
  <c r="N20" i="17"/>
  <c r="M4" i="17"/>
  <c r="N27" i="16"/>
  <c r="M5" i="16"/>
  <c r="M4" i="16"/>
  <c r="N27" i="15"/>
  <c r="D23" i="15"/>
  <c r="M4" i="15"/>
  <c r="N27" i="14"/>
  <c r="G23" i="14"/>
  <c r="G22" i="14"/>
  <c r="D22" i="14"/>
  <c r="N27" i="13"/>
  <c r="J23" i="13"/>
  <c r="J24" i="13" s="1"/>
  <c r="G23" i="13"/>
  <c r="D23" i="13"/>
  <c r="D22" i="13"/>
  <c r="D21" i="13"/>
  <c r="N20" i="13"/>
  <c r="N27" i="12"/>
  <c r="D22" i="12"/>
  <c r="J21" i="12"/>
  <c r="N19" i="12"/>
  <c r="M4" i="12"/>
  <c r="N27" i="9"/>
  <c r="G23" i="9"/>
  <c r="D23" i="9"/>
  <c r="L23" i="9" s="1"/>
  <c r="G22" i="9"/>
  <c r="D22" i="9"/>
  <c r="J21" i="9"/>
  <c r="J24" i="9" s="1"/>
  <c r="G21" i="9"/>
  <c r="M4" i="9"/>
  <c r="N27" i="8"/>
  <c r="J23" i="8"/>
  <c r="D22" i="8"/>
  <c r="D21" i="8"/>
  <c r="M4" i="8"/>
  <c r="N27" i="7"/>
  <c r="J23" i="7"/>
  <c r="J22" i="7"/>
  <c r="D22" i="7"/>
  <c r="J21" i="7"/>
  <c r="G21" i="7"/>
  <c r="D21" i="7"/>
  <c r="Q5" i="7"/>
  <c r="N27" i="6"/>
  <c r="J23" i="6"/>
  <c r="G23" i="6"/>
  <c r="G22" i="6"/>
  <c r="J21" i="6"/>
  <c r="G21" i="6"/>
  <c r="D21" i="6"/>
  <c r="M4" i="6"/>
  <c r="N27" i="5"/>
  <c r="J23" i="5"/>
  <c r="G23" i="5"/>
  <c r="G22" i="5"/>
  <c r="D22" i="5"/>
  <c r="G21" i="5"/>
  <c r="D21" i="5"/>
  <c r="Q5" i="5"/>
  <c r="N27" i="4"/>
  <c r="G22" i="4"/>
  <c r="D22" i="4"/>
  <c r="J21" i="4"/>
  <c r="G21" i="4"/>
  <c r="D21" i="4"/>
  <c r="M4" i="4"/>
  <c r="N27" i="3"/>
  <c r="J23" i="3"/>
  <c r="D23" i="3"/>
  <c r="G22" i="3"/>
  <c r="D22" i="3"/>
  <c r="G21" i="3"/>
  <c r="D21" i="3"/>
  <c r="M4" i="3"/>
  <c r="N27" i="2"/>
  <c r="D23" i="2"/>
  <c r="J22" i="2"/>
  <c r="G21" i="2"/>
  <c r="D21" i="2"/>
  <c r="J23" i="1"/>
  <c r="G22" i="1"/>
  <c r="D22" i="1"/>
  <c r="J21" i="1"/>
  <c r="D21" i="1"/>
  <c r="L23" i="24" l="1"/>
  <c r="D24" i="27"/>
  <c r="L21" i="23"/>
  <c r="L21" i="27"/>
  <c r="L23" i="27"/>
  <c r="N20" i="23"/>
  <c r="J24" i="22"/>
  <c r="N20" i="21"/>
  <c r="N18" i="21"/>
  <c r="N18" i="18"/>
  <c r="L23" i="14"/>
  <c r="N20" i="14"/>
  <c r="N18" i="14"/>
  <c r="N19" i="14"/>
  <c r="O25" i="13"/>
  <c r="O25" i="15" s="1"/>
  <c r="O25" i="16" s="1"/>
  <c r="O25" i="17" s="1"/>
  <c r="O25" i="18" s="1"/>
  <c r="O25" i="19" s="1"/>
  <c r="O25" i="20" s="1"/>
  <c r="O25" i="21" s="1"/>
  <c r="L22" i="9"/>
  <c r="N19" i="9"/>
  <c r="D24" i="8"/>
  <c r="N20" i="7"/>
  <c r="J24" i="4"/>
  <c r="N20" i="4"/>
  <c r="N19" i="2"/>
  <c r="G24" i="1"/>
  <c r="N20" i="29"/>
  <c r="N19" i="29"/>
  <c r="N21" i="29"/>
  <c r="N18" i="29"/>
  <c r="J24" i="29"/>
  <c r="L23" i="29"/>
  <c r="L21" i="29"/>
  <c r="D24" i="29"/>
  <c r="N21" i="28"/>
  <c r="N19" i="28"/>
  <c r="N18" i="28"/>
  <c r="J24" i="28"/>
  <c r="L23" i="28"/>
  <c r="L21" i="28"/>
  <c r="G24" i="28"/>
  <c r="J24" i="26"/>
  <c r="L22" i="26"/>
  <c r="L23" i="26"/>
  <c r="G24" i="26"/>
  <c r="D24" i="26"/>
  <c r="L21" i="26"/>
  <c r="N18" i="27"/>
  <c r="N21" i="26"/>
  <c r="N19" i="26"/>
  <c r="N18" i="26"/>
  <c r="L23" i="25"/>
  <c r="J24" i="25"/>
  <c r="D24" i="25"/>
  <c r="L21" i="25"/>
  <c r="N20" i="25"/>
  <c r="N21" i="25"/>
  <c r="N18" i="25"/>
  <c r="J24" i="24"/>
  <c r="D24" i="24"/>
  <c r="L21" i="24"/>
  <c r="N20" i="24"/>
  <c r="N19" i="24"/>
  <c r="N21" i="24"/>
  <c r="N18" i="24"/>
  <c r="J24" i="23"/>
  <c r="D24" i="23"/>
  <c r="N19" i="23"/>
  <c r="N21" i="23"/>
  <c r="N18" i="23"/>
  <c r="L23" i="22"/>
  <c r="D24" i="22"/>
  <c r="L21" i="22"/>
  <c r="N21" i="22"/>
  <c r="N18" i="22"/>
  <c r="J24" i="21"/>
  <c r="L21" i="21"/>
  <c r="L23" i="21"/>
  <c r="G24" i="21"/>
  <c r="D24" i="21"/>
  <c r="N21" i="21"/>
  <c r="N19" i="21"/>
  <c r="N20" i="20"/>
  <c r="N19" i="20"/>
  <c r="N21" i="20"/>
  <c r="N18" i="20"/>
  <c r="J24" i="19"/>
  <c r="L23" i="19"/>
  <c r="L21" i="19"/>
  <c r="D24" i="19"/>
  <c r="N19" i="19"/>
  <c r="N21" i="19"/>
  <c r="N18" i="19"/>
  <c r="J24" i="18"/>
  <c r="L23" i="18"/>
  <c r="D24" i="18"/>
  <c r="L21" i="18"/>
  <c r="N19" i="18"/>
  <c r="N21" i="18"/>
  <c r="J24" i="17"/>
  <c r="G24" i="17"/>
  <c r="L21" i="17"/>
  <c r="L23" i="17"/>
  <c r="L22" i="17"/>
  <c r="N18" i="17"/>
  <c r="N21" i="17"/>
  <c r="N19" i="17"/>
  <c r="N19" i="16"/>
  <c r="N21" i="16"/>
  <c r="N18" i="16"/>
  <c r="J24" i="15"/>
  <c r="L23" i="15"/>
  <c r="L21" i="15"/>
  <c r="D24" i="15"/>
  <c r="N20" i="15"/>
  <c r="N19" i="15"/>
  <c r="N21" i="15"/>
  <c r="N18" i="15"/>
  <c r="D24" i="14"/>
  <c r="L22" i="14"/>
  <c r="N21" i="14"/>
  <c r="L23" i="13"/>
  <c r="L21" i="13"/>
  <c r="D24" i="13"/>
  <c r="N19" i="13"/>
  <c r="N21" i="13"/>
  <c r="N18" i="13"/>
  <c r="L23" i="12"/>
  <c r="J24" i="12"/>
  <c r="L21" i="12"/>
  <c r="D24" i="12"/>
  <c r="N20" i="12"/>
  <c r="N21" i="12"/>
  <c r="N18" i="12"/>
  <c r="L21" i="9"/>
  <c r="L24" i="9" s="1"/>
  <c r="N20" i="9"/>
  <c r="N21" i="9"/>
  <c r="N18" i="9"/>
  <c r="L23" i="8"/>
  <c r="J24" i="8"/>
  <c r="G24" i="8"/>
  <c r="L21" i="8"/>
  <c r="N20" i="8"/>
  <c r="N18" i="8"/>
  <c r="N21" i="8"/>
  <c r="N19" i="8"/>
  <c r="J24" i="7"/>
  <c r="L23" i="7"/>
  <c r="L21" i="7"/>
  <c r="D24" i="7"/>
  <c r="N19" i="7"/>
  <c r="N18" i="7"/>
  <c r="J24" i="6"/>
  <c r="L23" i="6"/>
  <c r="G24" i="6"/>
  <c r="D24" i="6"/>
  <c r="N20" i="6"/>
  <c r="N19" i="6"/>
  <c r="N18" i="6"/>
  <c r="N21" i="6"/>
  <c r="J24" i="5"/>
  <c r="L22" i="5"/>
  <c r="L23" i="5"/>
  <c r="L21" i="5"/>
  <c r="N20" i="5"/>
  <c r="N19" i="5"/>
  <c r="N18" i="5"/>
  <c r="N21" i="5"/>
  <c r="L23" i="4"/>
  <c r="L22" i="4"/>
  <c r="L21" i="4"/>
  <c r="N19" i="4"/>
  <c r="N21" i="4"/>
  <c r="N18" i="4"/>
  <c r="J24" i="3"/>
  <c r="L23" i="3"/>
  <c r="L21" i="3"/>
  <c r="D24" i="3"/>
  <c r="N20" i="3"/>
  <c r="N19" i="3"/>
  <c r="N18" i="3"/>
  <c r="N21" i="3"/>
  <c r="J24" i="2"/>
  <c r="L23" i="2"/>
  <c r="D24" i="2"/>
  <c r="L21" i="2"/>
  <c r="N20" i="2"/>
  <c r="N21" i="2"/>
  <c r="N18" i="2"/>
  <c r="L23" i="1"/>
  <c r="J24" i="1"/>
  <c r="L22" i="1"/>
  <c r="L21" i="1"/>
  <c r="L22" i="29"/>
  <c r="G24" i="29"/>
  <c r="D24" i="28"/>
  <c r="L22" i="27"/>
  <c r="G24" i="27"/>
  <c r="L22" i="25"/>
  <c r="G24" i="25"/>
  <c r="G24" i="24"/>
  <c r="G24" i="23"/>
  <c r="G24" i="22"/>
  <c r="L22" i="22"/>
  <c r="L22" i="21"/>
  <c r="L22" i="19"/>
  <c r="G24" i="19"/>
  <c r="L22" i="18"/>
  <c r="G24" i="18"/>
  <c r="D24" i="17"/>
  <c r="L22" i="15"/>
  <c r="G24" i="15"/>
  <c r="G24" i="14"/>
  <c r="L22" i="13"/>
  <c r="G24" i="13"/>
  <c r="L22" i="12"/>
  <c r="G24" i="12"/>
  <c r="D24" i="9"/>
  <c r="G24" i="9"/>
  <c r="L22" i="8"/>
  <c r="L22" i="7"/>
  <c r="G24" i="7"/>
  <c r="L22" i="6"/>
  <c r="L21" i="6"/>
  <c r="D24" i="5"/>
  <c r="G24" i="5"/>
  <c r="D24" i="4"/>
  <c r="G24" i="4"/>
  <c r="L22" i="3"/>
  <c r="G24" i="3"/>
  <c r="L22" i="2"/>
  <c r="G24" i="2"/>
  <c r="D24" i="1"/>
  <c r="O25" i="25" l="1"/>
  <c r="O25" i="26" s="1"/>
  <c r="O25" i="27" s="1"/>
  <c r="O25" i="28" s="1"/>
  <c r="O25" i="29" s="1"/>
  <c r="L24" i="28"/>
  <c r="L24" i="22"/>
  <c r="L24" i="27"/>
  <c r="L24" i="1"/>
  <c r="L24" i="29"/>
  <c r="L24" i="26"/>
  <c r="L24" i="21"/>
  <c r="L24" i="19"/>
  <c r="L24" i="18"/>
  <c r="L24" i="17"/>
  <c r="L24" i="15"/>
  <c r="L24" i="14"/>
  <c r="L24" i="12"/>
  <c r="L24" i="8"/>
  <c r="L24" i="7"/>
  <c r="L24" i="6"/>
  <c r="L24" i="5"/>
  <c r="L24" i="4"/>
  <c r="L24" i="3"/>
  <c r="L24" i="2"/>
  <c r="T5" i="35"/>
  <c r="H31" i="36" l="1"/>
  <c r="H28" i="36"/>
  <c r="H27" i="36"/>
  <c r="H25" i="36"/>
  <c r="H24" i="36"/>
  <c r="H1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E31" i="36"/>
  <c r="E28" i="36"/>
  <c r="E25" i="36"/>
  <c r="E24" i="36"/>
  <c r="E1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B31" i="36"/>
  <c r="B28" i="36"/>
  <c r="B26" i="36"/>
  <c r="B25" i="36"/>
  <c r="B14" i="36"/>
  <c r="H31" i="35"/>
  <c r="H28" i="35"/>
  <c r="H14" i="35"/>
  <c r="H7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4" i="35"/>
  <c r="G13" i="35"/>
  <c r="G12" i="35"/>
  <c r="G11" i="35"/>
  <c r="G10" i="35"/>
  <c r="G9" i="35"/>
  <c r="G8" i="35"/>
  <c r="G7" i="35"/>
  <c r="G6" i="35"/>
  <c r="G5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E31" i="35"/>
  <c r="E28" i="35"/>
  <c r="E1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B31" i="35"/>
  <c r="B28" i="35"/>
  <c r="B14" i="35"/>
  <c r="B8" i="35" l="1"/>
  <c r="H12" i="39"/>
  <c r="O33" i="36"/>
  <c r="O32" i="36"/>
  <c r="O31" i="36"/>
  <c r="I31" i="36"/>
  <c r="D34" i="38" s="1"/>
  <c r="O30" i="36"/>
  <c r="O28" i="36"/>
  <c r="I28" i="36"/>
  <c r="D31" i="38" s="1"/>
  <c r="O26" i="36"/>
  <c r="O25" i="36"/>
  <c r="I25" i="36"/>
  <c r="D28" i="38" s="1"/>
  <c r="O24" i="36"/>
  <c r="O23" i="36"/>
  <c r="O22" i="36"/>
  <c r="O21" i="36"/>
  <c r="O20" i="36"/>
  <c r="O19" i="36"/>
  <c r="O18" i="36"/>
  <c r="O17" i="36"/>
  <c r="O16" i="36"/>
  <c r="O15" i="36"/>
  <c r="O14" i="36"/>
  <c r="I14" i="36"/>
  <c r="D17" i="38" s="1"/>
  <c r="O13" i="36"/>
  <c r="O12" i="36"/>
  <c r="O11" i="36"/>
  <c r="O10" i="36"/>
  <c r="O9" i="36"/>
  <c r="O8" i="36"/>
  <c r="O7" i="36"/>
  <c r="O6" i="36"/>
  <c r="O5" i="36"/>
  <c r="H11" i="39"/>
  <c r="I31" i="35"/>
  <c r="C34" i="38" s="1"/>
  <c r="I28" i="35"/>
  <c r="C31" i="38" s="1"/>
  <c r="I14" i="35"/>
  <c r="C17" i="38" s="1"/>
  <c r="O5" i="35"/>
  <c r="H31" i="34"/>
  <c r="H28" i="34"/>
  <c r="H1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E31" i="34"/>
  <c r="E28" i="34"/>
  <c r="E1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F12" i="39" l="1"/>
  <c r="U28" i="35"/>
  <c r="U31" i="36"/>
  <c r="U14" i="35"/>
  <c r="U14" i="36"/>
  <c r="U25" i="36"/>
  <c r="U31" i="35"/>
  <c r="U28" i="36"/>
  <c r="F11" i="39"/>
  <c r="K12" i="39" l="1"/>
  <c r="K13" i="39" s="1"/>
  <c r="B13" i="39"/>
  <c r="C38" i="48" s="1"/>
  <c r="D15" i="39"/>
  <c r="F15" i="39" s="1"/>
  <c r="H33" i="36" l="1"/>
  <c r="E33" i="36"/>
  <c r="H33" i="35"/>
  <c r="E33" i="35"/>
  <c r="B33" i="35"/>
  <c r="E33" i="34"/>
  <c r="H32" i="36"/>
  <c r="E32" i="36"/>
  <c r="H32" i="35"/>
  <c r="E32" i="35"/>
  <c r="B32" i="35"/>
  <c r="I32" i="35" s="1"/>
  <c r="E32" i="34"/>
  <c r="H30" i="36"/>
  <c r="E30" i="36"/>
  <c r="B30" i="36"/>
  <c r="H30" i="35"/>
  <c r="E30" i="35"/>
  <c r="B30" i="35"/>
  <c r="H30" i="34"/>
  <c r="E30" i="34"/>
  <c r="B29" i="36"/>
  <c r="H29" i="36"/>
  <c r="E29" i="36"/>
  <c r="E29" i="35"/>
  <c r="B29" i="35"/>
  <c r="H29" i="34"/>
  <c r="E29" i="34"/>
  <c r="U32" i="35" l="1"/>
  <c r="C35" i="38"/>
  <c r="I30" i="36"/>
  <c r="H32" i="34"/>
  <c r="B32" i="36"/>
  <c r="I32" i="36" s="1"/>
  <c r="I29" i="36"/>
  <c r="I30" i="35"/>
  <c r="H33" i="34"/>
  <c r="B33" i="36"/>
  <c r="I33" i="36" s="1"/>
  <c r="H29" i="35"/>
  <c r="I29" i="35" s="1"/>
  <c r="I33" i="35"/>
  <c r="U30" i="36" l="1"/>
  <c r="D33" i="38"/>
  <c r="U30" i="35"/>
  <c r="C33" i="38"/>
  <c r="U29" i="36"/>
  <c r="D32" i="38"/>
  <c r="U29" i="35"/>
  <c r="C32" i="38"/>
  <c r="U33" i="36"/>
  <c r="D36" i="38"/>
  <c r="U33" i="35"/>
  <c r="C36" i="38"/>
  <c r="U32" i="36"/>
  <c r="D35" i="38"/>
  <c r="B27" i="36"/>
  <c r="E27" i="36"/>
  <c r="H27" i="35"/>
  <c r="E27" i="35"/>
  <c r="B27" i="35"/>
  <c r="H27" i="34"/>
  <c r="E27" i="34"/>
  <c r="H26" i="36"/>
  <c r="E26" i="36"/>
  <c r="I27" i="35" l="1"/>
  <c r="I26" i="36"/>
  <c r="I27" i="36"/>
  <c r="H26" i="35"/>
  <c r="E26" i="35"/>
  <c r="B26" i="35"/>
  <c r="H26" i="34"/>
  <c r="E26" i="34"/>
  <c r="B26" i="34"/>
  <c r="U27" i="35" l="1"/>
  <c r="C30" i="38"/>
  <c r="U27" i="36"/>
  <c r="D30" i="38"/>
  <c r="U26" i="36"/>
  <c r="D29" i="38"/>
  <c r="I26" i="34"/>
  <c r="B29" i="38" s="1"/>
  <c r="I26" i="35"/>
  <c r="H25" i="35"/>
  <c r="E25" i="35"/>
  <c r="B25" i="35"/>
  <c r="H25" i="34"/>
  <c r="E25" i="34"/>
  <c r="U26" i="35" l="1"/>
  <c r="C29" i="38"/>
  <c r="I25" i="35"/>
  <c r="B24" i="36"/>
  <c r="I24" i="36" s="1"/>
  <c r="H24" i="35"/>
  <c r="E24" i="35"/>
  <c r="B24" i="35"/>
  <c r="H24" i="34"/>
  <c r="E24" i="34"/>
  <c r="U24" i="36" l="1"/>
  <c r="D27" i="38"/>
  <c r="U25" i="35"/>
  <c r="C28" i="38"/>
  <c r="I24" i="35"/>
  <c r="U24" i="35" l="1"/>
  <c r="C27" i="38"/>
  <c r="H22" i="35"/>
  <c r="B22" i="35"/>
  <c r="E23" i="36"/>
  <c r="E22" i="36"/>
  <c r="E22" i="35"/>
  <c r="H22" i="36"/>
  <c r="H23" i="36"/>
  <c r="E22" i="34"/>
  <c r="H22" i="34"/>
  <c r="B23" i="36"/>
  <c r="B22" i="36"/>
  <c r="H21" i="36"/>
  <c r="E21" i="36"/>
  <c r="B21" i="36"/>
  <c r="E21" i="35"/>
  <c r="B21" i="35"/>
  <c r="H21" i="34"/>
  <c r="H20" i="36"/>
  <c r="E20" i="36"/>
  <c r="B20" i="36"/>
  <c r="H20" i="35"/>
  <c r="E20" i="35"/>
  <c r="B20" i="35"/>
  <c r="H20" i="34"/>
  <c r="E20" i="34"/>
  <c r="I23" i="35" l="1"/>
  <c r="U23" i="35" s="1"/>
  <c r="I22" i="36"/>
  <c r="I20" i="36"/>
  <c r="I21" i="36"/>
  <c r="I22" i="35"/>
  <c r="I20" i="35"/>
  <c r="E21" i="34"/>
  <c r="H21" i="35"/>
  <c r="I21" i="35" s="1"/>
  <c r="I23" i="36"/>
  <c r="C26" i="38" l="1"/>
  <c r="U22" i="36"/>
  <c r="D25" i="38"/>
  <c r="U23" i="36"/>
  <c r="D26" i="38"/>
  <c r="U22" i="35"/>
  <c r="C25" i="38"/>
  <c r="U21" i="35"/>
  <c r="C24" i="38"/>
  <c r="U21" i="36"/>
  <c r="D24" i="38"/>
  <c r="U20" i="36"/>
  <c r="D23" i="38"/>
  <c r="U20" i="35"/>
  <c r="C23" i="38"/>
  <c r="B33" i="34"/>
  <c r="I33" i="34" s="1"/>
  <c r="B36" i="38" s="1"/>
  <c r="B32" i="34"/>
  <c r="I32" i="34" s="1"/>
  <c r="B35" i="38" s="1"/>
  <c r="B31" i="34"/>
  <c r="I31" i="34" s="1"/>
  <c r="B34" i="38" s="1"/>
  <c r="B30" i="34"/>
  <c r="I30" i="34" s="1"/>
  <c r="B33" i="38" s="1"/>
  <c r="B29" i="34"/>
  <c r="I29" i="34" s="1"/>
  <c r="B32" i="38" s="1"/>
  <c r="B28" i="34"/>
  <c r="I28" i="34" s="1"/>
  <c r="B31" i="38" s="1"/>
  <c r="B27" i="34"/>
  <c r="I27" i="34" s="1"/>
  <c r="B30" i="38" s="1"/>
  <c r="B25" i="34"/>
  <c r="I25" i="34" s="1"/>
  <c r="B28" i="38" s="1"/>
  <c r="B24" i="34"/>
  <c r="I24" i="34" s="1"/>
  <c r="B27" i="38" s="1"/>
  <c r="I23" i="34"/>
  <c r="B26" i="38" s="1"/>
  <c r="B22" i="34"/>
  <c r="I22" i="34" s="1"/>
  <c r="B25" i="38" s="1"/>
  <c r="B21" i="34"/>
  <c r="I21" i="34" s="1"/>
  <c r="B24" i="38" s="1"/>
  <c r="B20" i="34"/>
  <c r="I20" i="34" s="1"/>
  <c r="B23" i="38" s="1"/>
  <c r="B14" i="34"/>
  <c r="I14" i="34" s="1"/>
  <c r="B17" i="38" s="1"/>
  <c r="B18" i="34" l="1"/>
  <c r="E18" i="35"/>
  <c r="H18" i="34"/>
  <c r="B19" i="36"/>
  <c r="B18" i="36"/>
  <c r="H18" i="36"/>
  <c r="H19" i="36"/>
  <c r="B18" i="35"/>
  <c r="E19" i="36"/>
  <c r="E18" i="36"/>
  <c r="E18" i="34"/>
  <c r="H18" i="35"/>
  <c r="H10" i="39"/>
  <c r="H13" i="39" s="1"/>
  <c r="G38" i="48" s="1"/>
  <c r="I19" i="34" l="1"/>
  <c r="B22" i="38" s="1"/>
  <c r="I19" i="35"/>
  <c r="I19" i="36"/>
  <c r="I18" i="34"/>
  <c r="B21" i="38" s="1"/>
  <c r="I18" i="35"/>
  <c r="I18" i="36"/>
  <c r="O5" i="34"/>
  <c r="U19" i="36" l="1"/>
  <c r="D22" i="38"/>
  <c r="U18" i="36"/>
  <c r="D21" i="38"/>
  <c r="U19" i="35"/>
  <c r="C22" i="38"/>
  <c r="U18" i="35"/>
  <c r="C21" i="38"/>
  <c r="F10" i="39"/>
  <c r="F13" i="39" s="1"/>
  <c r="E38" i="48" s="1"/>
  <c r="H17" i="36" l="1"/>
  <c r="E17" i="36"/>
  <c r="B17" i="36"/>
  <c r="H17" i="35"/>
  <c r="E17" i="35"/>
  <c r="B17" i="35"/>
  <c r="E17" i="34"/>
  <c r="B17" i="34"/>
  <c r="H16" i="36"/>
  <c r="E16" i="36"/>
  <c r="B16" i="36"/>
  <c r="H16" i="35"/>
  <c r="E16" i="35"/>
  <c r="B16" i="35"/>
  <c r="H16" i="34"/>
  <c r="E16" i="34"/>
  <c r="B16" i="34"/>
  <c r="H15" i="36"/>
  <c r="E15" i="36"/>
  <c r="B15" i="36"/>
  <c r="E15" i="35"/>
  <c r="B15" i="35"/>
  <c r="E15" i="34"/>
  <c r="I17" i="36" l="1"/>
  <c r="I16" i="34"/>
  <c r="B19" i="38" s="1"/>
  <c r="H17" i="34"/>
  <c r="I17" i="34" s="1"/>
  <c r="I16" i="36"/>
  <c r="I17" i="35"/>
  <c r="I16" i="35"/>
  <c r="H15" i="34"/>
  <c r="I15" i="36"/>
  <c r="B15" i="34"/>
  <c r="B20" i="38" l="1"/>
  <c r="U17" i="36"/>
  <c r="D20" i="38"/>
  <c r="U17" i="35"/>
  <c r="C20" i="38"/>
  <c r="U16" i="35"/>
  <c r="C19" i="38"/>
  <c r="U16" i="36"/>
  <c r="D19" i="38"/>
  <c r="U15" i="36"/>
  <c r="D18" i="38"/>
  <c r="I15" i="34"/>
  <c r="B18" i="38" s="1"/>
  <c r="H13" i="36"/>
  <c r="E13" i="36"/>
  <c r="B13" i="36"/>
  <c r="H13" i="35"/>
  <c r="E13" i="35"/>
  <c r="B13" i="35"/>
  <c r="H13" i="34"/>
  <c r="E13" i="34"/>
  <c r="B13" i="34"/>
  <c r="I13" i="36" l="1"/>
  <c r="I13" i="35"/>
  <c r="I13" i="34"/>
  <c r="B16" i="38" s="1"/>
  <c r="U13" i="36" l="1"/>
  <c r="D16" i="38"/>
  <c r="U13" i="35"/>
  <c r="C1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7" i="38"/>
  <c r="E16" i="38" l="1"/>
  <c r="G10" i="39"/>
  <c r="G13" i="39" s="1"/>
  <c r="D38" i="48" s="1"/>
  <c r="U13" i="34"/>
  <c r="U15" i="34"/>
  <c r="U17" i="34"/>
  <c r="U19" i="34"/>
  <c r="U21" i="34"/>
  <c r="U23" i="34"/>
  <c r="U25" i="34"/>
  <c r="U27" i="34"/>
  <c r="U29" i="34"/>
  <c r="U31" i="34"/>
  <c r="U33" i="34"/>
  <c r="U14" i="34"/>
  <c r="U16" i="34"/>
  <c r="U18" i="34"/>
  <c r="U20" i="34"/>
  <c r="U22" i="34"/>
  <c r="U24" i="34"/>
  <c r="U26" i="34"/>
  <c r="U28" i="34"/>
  <c r="U30" i="34"/>
  <c r="U32" i="34"/>
  <c r="H12" i="36"/>
  <c r="E12" i="36"/>
  <c r="B12" i="36"/>
  <c r="H12" i="35"/>
  <c r="E12" i="35"/>
  <c r="B12" i="35"/>
  <c r="H12" i="34"/>
  <c r="E12" i="34"/>
  <c r="B12" i="34"/>
  <c r="H38" i="48" l="1"/>
  <c r="I12" i="36"/>
  <c r="I12" i="34"/>
  <c r="I12" i="35"/>
  <c r="H11" i="36"/>
  <c r="E11" i="36"/>
  <c r="B11" i="36"/>
  <c r="H11" i="35"/>
  <c r="E11" i="35"/>
  <c r="B11" i="35"/>
  <c r="H11" i="34"/>
  <c r="E11" i="34"/>
  <c r="B11" i="34"/>
  <c r="I38" i="48" l="1"/>
  <c r="J38" i="48"/>
  <c r="K38" i="48" s="1"/>
  <c r="U12" i="36"/>
  <c r="D15" i="38"/>
  <c r="U12" i="35"/>
  <c r="C15" i="38"/>
  <c r="B15" i="38"/>
  <c r="U12" i="34"/>
  <c r="I11" i="36"/>
  <c r="I11" i="35"/>
  <c r="I11" i="34"/>
  <c r="H10" i="36"/>
  <c r="E10" i="36"/>
  <c r="H10" i="35"/>
  <c r="E10" i="35"/>
  <c r="B10" i="35"/>
  <c r="H10" i="34"/>
  <c r="E10" i="34"/>
  <c r="B10" i="34"/>
  <c r="B9" i="35"/>
  <c r="E15" i="38" l="1"/>
  <c r="U11" i="36"/>
  <c r="D14" i="38"/>
  <c r="U11" i="35"/>
  <c r="C14" i="38"/>
  <c r="B14" i="38"/>
  <c r="I10" i="35"/>
  <c r="U11" i="34"/>
  <c r="I10" i="34"/>
  <c r="B10" i="36"/>
  <c r="I10" i="36" s="1"/>
  <c r="H9" i="36"/>
  <c r="E9" i="36"/>
  <c r="B9" i="36"/>
  <c r="H9" i="35"/>
  <c r="E9" i="35"/>
  <c r="H9" i="34"/>
  <c r="E9" i="34"/>
  <c r="B9" i="34"/>
  <c r="E14" i="38" l="1"/>
  <c r="U10" i="36"/>
  <c r="D13" i="38"/>
  <c r="U10" i="35"/>
  <c r="C13" i="38"/>
  <c r="B13" i="38"/>
  <c r="U10" i="34"/>
  <c r="I9" i="36"/>
  <c r="I9" i="35"/>
  <c r="I9" i="34"/>
  <c r="H8" i="35"/>
  <c r="E13" i="38" l="1"/>
  <c r="U9" i="36"/>
  <c r="D12" i="38"/>
  <c r="U9" i="35"/>
  <c r="C12" i="38"/>
  <c r="B12" i="38"/>
  <c r="U9" i="34"/>
  <c r="H8" i="36"/>
  <c r="E8" i="36"/>
  <c r="B8" i="36"/>
  <c r="H8" i="34"/>
  <c r="E12" i="38" l="1"/>
  <c r="I8" i="36"/>
  <c r="E8" i="35"/>
  <c r="E8" i="34"/>
  <c r="B8" i="34"/>
  <c r="H7" i="36"/>
  <c r="E7" i="36"/>
  <c r="B7" i="36"/>
  <c r="E7" i="35"/>
  <c r="B7" i="35"/>
  <c r="H7" i="34"/>
  <c r="E7" i="34"/>
  <c r="U8" i="36" l="1"/>
  <c r="D11" i="38"/>
  <c r="I8" i="34"/>
  <c r="I8" i="35"/>
  <c r="I7" i="36"/>
  <c r="I7" i="35"/>
  <c r="B7" i="34"/>
  <c r="I7" i="34" s="1"/>
  <c r="B10" i="38" s="1"/>
  <c r="H6" i="36"/>
  <c r="E6" i="36"/>
  <c r="B6" i="36"/>
  <c r="H6" i="35"/>
  <c r="E6" i="35"/>
  <c r="B6" i="35"/>
  <c r="H6" i="34"/>
  <c r="E6" i="34"/>
  <c r="B6" i="34"/>
  <c r="E5" i="36"/>
  <c r="E5" i="35"/>
  <c r="E5" i="34"/>
  <c r="B5" i="34"/>
  <c r="N27" i="1"/>
  <c r="H5" i="36"/>
  <c r="B5" i="36"/>
  <c r="H5" i="35"/>
  <c r="B5" i="35"/>
  <c r="H5" i="34"/>
  <c r="N21" i="1"/>
  <c r="M4" i="1"/>
  <c r="U8" i="35" l="1"/>
  <c r="C11" i="38"/>
  <c r="U7" i="36"/>
  <c r="D10" i="38"/>
  <c r="U7" i="35"/>
  <c r="C10" i="38"/>
  <c r="U8" i="34"/>
  <c r="B11" i="38"/>
  <c r="U7" i="34"/>
  <c r="I6" i="36"/>
  <c r="I6" i="35"/>
  <c r="I6" i="34"/>
  <c r="I5" i="36"/>
  <c r="I5" i="35"/>
  <c r="I5" i="34"/>
  <c r="N20" i="1"/>
  <c r="N19" i="1"/>
  <c r="N18" i="1"/>
  <c r="D8" i="38" l="1"/>
  <c r="I36" i="36"/>
  <c r="U36" i="36" s="1"/>
  <c r="B8" i="38"/>
  <c r="E11" i="38"/>
  <c r="E10" i="38"/>
  <c r="U6" i="36"/>
  <c r="D9" i="38"/>
  <c r="U6" i="35"/>
  <c r="C9" i="38"/>
  <c r="U5" i="35"/>
  <c r="C8" i="38"/>
  <c r="U6" i="34"/>
  <c r="B9" i="38"/>
  <c r="U5" i="36"/>
  <c r="U5" i="34"/>
  <c r="D38" i="38" l="1"/>
  <c r="B38" i="38"/>
  <c r="I10" i="39"/>
  <c r="E9" i="38"/>
  <c r="I12" i="39"/>
  <c r="E8" i="38"/>
  <c r="E36" i="38"/>
  <c r="G15" i="35" l="1"/>
  <c r="Q26" i="12" l="1"/>
  <c r="Q26" i="13" s="1"/>
  <c r="Q26" i="14" s="1"/>
  <c r="Q26" i="15" s="1"/>
  <c r="Q26" i="16" s="1"/>
  <c r="Q26" i="17" s="1"/>
  <c r="Q26" i="18" s="1"/>
  <c r="Q26" i="19" s="1"/>
  <c r="Q26" i="20" s="1"/>
  <c r="Q26" i="21" s="1"/>
  <c r="Q26" i="22" s="1"/>
  <c r="Q26" i="23" s="1"/>
  <c r="Q26" i="24" s="1"/>
  <c r="Q26" i="25" s="1"/>
  <c r="Q26" i="26" s="1"/>
  <c r="Q26" i="27" s="1"/>
  <c r="Q26" i="28" s="1"/>
  <c r="H15" i="35"/>
  <c r="I15" i="35" s="1"/>
  <c r="C18" i="38" l="1"/>
  <c r="C38" i="38" s="1"/>
  <c r="I36" i="35"/>
  <c r="U36" i="35" s="1"/>
  <c r="Q26" i="29"/>
  <c r="Q26" i="46"/>
  <c r="Q26" i="47"/>
  <c r="E37" i="38"/>
  <c r="U15" i="35"/>
  <c r="E18" i="38" l="1"/>
  <c r="E38" i="38" s="1"/>
  <c r="I11" i="39"/>
  <c r="I13" i="39" s="1"/>
  <c r="J13" i="39" l="1"/>
  <c r="C15" i="39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V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<sst xmlns="http://schemas.openxmlformats.org/spreadsheetml/2006/main" count="4849" uniqueCount="463">
  <si>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</si>
  <si>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</si>
  <si>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</si>
  <si>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</si>
  <si>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6AM-  7 AM</t>
  </si>
  <si>
    <t>7AM - 8 AM</t>
  </si>
  <si>
    <t>8AM - 9 AM</t>
  </si>
  <si>
    <t>9AM - 10AM</t>
  </si>
  <si>
    <t>10AM -11 AM</t>
  </si>
  <si>
    <t>11AM - 12 PM</t>
  </si>
  <si>
    <t>12PM - 1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</si>
  <si>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</si>
  <si>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</si>
  <si>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</si>
  <si>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</si>
  <si>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</si>
  <si>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</si>
  <si>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</si>
  <si>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</si>
  <si>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</si>
  <si>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</si>
  <si>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</si>
  <si>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</si>
  <si>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</si>
  <si>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</si>
  <si>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</si>
  <si>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</si>
  <si>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</si>
  <si>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</si>
  <si>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</si>
  <si>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</si>
  <si>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</si>
  <si>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</si>
  <si>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</si>
  <si>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</si>
  <si>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</si>
  <si>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</si>
  <si>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</si>
  <si>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</si>
  <si>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</si>
  <si>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</si>
  <si>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</si>
  <si>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</si>
  <si>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</si>
  <si>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</si>
  <si>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</si>
  <si>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</si>
  <si>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</si>
  <si>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</si>
  <si>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</si>
  <si>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</si>
  <si>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</si>
  <si>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Sr.Manager (E&amp;M)</t>
  </si>
  <si>
    <t>Incharge CHP</t>
  </si>
  <si>
    <t xml:space="preserve">Dudhichua </t>
  </si>
  <si>
    <t>Dudhichua</t>
  </si>
  <si>
    <t>Cc, Incharge Sales,Dudhichua</t>
  </si>
  <si>
    <t>VSTPP</t>
  </si>
  <si>
    <t>IIIrd Shift</t>
  </si>
  <si>
    <t>2nd Shift</t>
  </si>
  <si>
    <t>Prepared by</t>
  </si>
  <si>
    <t>Total
Phase-I</t>
  </si>
  <si>
    <t>Total
Phase-II</t>
  </si>
  <si>
    <t>B/D hrs</t>
  </si>
  <si>
    <t xml:space="preserve">No.Rakes  :     </t>
  </si>
  <si>
    <t xml:space="preserve">Jayant  </t>
  </si>
  <si>
    <t>Mobile Crusher</t>
  </si>
  <si>
    <t xml:space="preserve">Total D.O. : </t>
  </si>
  <si>
    <t xml:space="preserve">DCH Despatch:  </t>
  </si>
  <si>
    <t xml:space="preserve">Surface Miner </t>
  </si>
  <si>
    <t>NIL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</si>
  <si>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</si>
  <si>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</si>
  <si>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</si>
  <si>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</si>
  <si>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</si>
  <si>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</si>
  <si>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>Total Despatch:</t>
  </si>
  <si>
    <t>Dispatch</t>
  </si>
  <si>
    <t xml:space="preserve">Progressive Silo:    </t>
  </si>
  <si>
    <t>Date</t>
  </si>
  <si>
    <t>Plant Running Hours</t>
  </si>
  <si>
    <t>Streem -I</t>
  </si>
  <si>
    <t>Streem -II</t>
  </si>
  <si>
    <t>Streem -III</t>
  </si>
  <si>
    <t>Payloder</t>
  </si>
  <si>
    <t>G Total</t>
  </si>
  <si>
    <t>Progressive DCH</t>
  </si>
  <si>
    <t>FROM</t>
  </si>
  <si>
    <t>TO</t>
  </si>
  <si>
    <t>chp Incharge</t>
  </si>
  <si>
    <t>Crushing Qty</t>
  </si>
  <si>
    <t>Rakes</t>
  </si>
  <si>
    <t>Qty</t>
  </si>
  <si>
    <t>Prograsive Qty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</si>
  <si>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</si>
  <si>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</si>
  <si>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</si>
  <si>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</si>
  <si>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</si>
  <si>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</si>
  <si>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</si>
  <si>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</si>
  <si>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</si>
  <si>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</si>
  <si>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</si>
  <si>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</si>
  <si>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</si>
  <si>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 xml:space="preserve">   --</t>
  </si>
  <si>
    <t>TOTAL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</si>
  <si>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</si>
  <si>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</si>
  <si>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1. General Manager , Dudhichua : For  kind  information.</t>
  </si>
  <si>
    <t xml:space="preserve">                                         Project Officer, Dudhichua.</t>
  </si>
  <si>
    <t xml:space="preserve">             4. Project Engineer (E&amp;M), Dudhichua.</t>
  </si>
  <si>
    <t xml:space="preserve">                                                                                            Sream -I</t>
  </si>
  <si>
    <t xml:space="preserve">Despatch </t>
  </si>
  <si>
    <t xml:space="preserve">Coal recieve </t>
  </si>
  <si>
    <t>5AM-  6 AM</t>
  </si>
  <si>
    <t>1PM- 2 PM</t>
  </si>
  <si>
    <t>9PM-10PM</t>
  </si>
  <si>
    <t xml:space="preserve">Warf wall : 3  </t>
  </si>
  <si>
    <t>SSTPS</t>
  </si>
  <si>
    <t xml:space="preserve">  </t>
  </si>
  <si>
    <t>Northern  Coalfields Limited</t>
  </si>
  <si>
    <t>CHP,Dudhichua  Project.</t>
  </si>
  <si>
    <t xml:space="preserve"> CHP</t>
  </si>
  <si>
    <t xml:space="preserve">Running Hrs as per norms/ Standard Hrs.  </t>
  </si>
  <si>
    <t>Maint. Hrs</t>
  </si>
  <si>
    <t xml:space="preserve"> B/D Hrs</t>
  </si>
  <si>
    <t>Idle Hrs</t>
  </si>
  <si>
    <t>Available Hrs</t>
  </si>
  <si>
    <t>Availabilityin  %</t>
  </si>
  <si>
    <t>Utilization  in %</t>
  </si>
  <si>
    <t>Reason  of  Break down</t>
  </si>
  <si>
    <t>Stream-I</t>
  </si>
  <si>
    <t>5x 3= 15 hrs daily
(30 x15=  450)</t>
  </si>
  <si>
    <t>Stream-II</t>
  </si>
  <si>
    <t>Stream-III</t>
  </si>
  <si>
    <t xml:space="preserve">   Total Running   Hrs. of Crusher</t>
  </si>
  <si>
    <t>Total  Crushing  qty. in MT</t>
  </si>
  <si>
    <t>TPH</t>
  </si>
  <si>
    <t>Total despatch   through CHP  in  MT.</t>
  </si>
  <si>
    <t>Total Silo full hrs</t>
  </si>
  <si>
    <t xml:space="preserve">Total  stoppage  hours 
of Crusher  due to 
incoming foreign  material from Mine hours </t>
  </si>
  <si>
    <t xml:space="preserve">Foreign Material:  </t>
  </si>
  <si>
    <r>
      <t>Note</t>
    </r>
    <r>
      <rPr>
        <sz val="11"/>
        <color theme="1"/>
        <rFont val="Times New Roman"/>
        <family val="1"/>
      </rPr>
      <t xml:space="preserve">  (i)   Available  Hrs = Operating  hrs + Idle Hrs.    </t>
    </r>
  </si>
  <si>
    <r>
      <t xml:space="preserve">           (ii) Availability    =  </t>
    </r>
    <r>
      <rPr>
        <u/>
        <sz val="11"/>
        <color theme="1"/>
        <rFont val="Times New Roman"/>
        <family val="1"/>
      </rPr>
      <t>Available Hrs x 100</t>
    </r>
  </si>
  <si>
    <t xml:space="preserve">                                             Standard Hrs</t>
  </si>
  <si>
    <r>
      <t xml:space="preserve">          (iii) Utilization   =      </t>
    </r>
    <r>
      <rPr>
        <u/>
        <sz val="11"/>
        <color theme="1"/>
        <rFont val="Times New Roman"/>
        <family val="1"/>
      </rPr>
      <t>Operating  Hrs x 100</t>
    </r>
  </si>
  <si>
    <t xml:space="preserve">                       Available Hrs</t>
  </si>
  <si>
    <t xml:space="preserve">          (iv) Idle  hours= Total hours  - ( Maint. hour + B/d hours + Operating hrs)</t>
  </si>
  <si>
    <t xml:space="preserve">                           Incharge CHP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</si>
  <si>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Dudhichua Project</t>
    </r>
  </si>
  <si>
    <t xml:space="preserve">         1. General Manager , Dudhichua : For  kind  information.</t>
  </si>
  <si>
    <t xml:space="preserve">         2. General Manager ( Mine), Dudhichua.</t>
  </si>
  <si>
    <t xml:space="preserve">         3. General Manager (E&amp;M), Dudhichua</t>
  </si>
  <si>
    <t xml:space="preserve">         4. Project Officer, Dudhichua.</t>
  </si>
  <si>
    <t xml:space="preserve">         5 . Project Engineer (E&amp;M), Dudhichua.</t>
  </si>
  <si>
    <t>Break down Hrs</t>
  </si>
  <si>
    <t>BREAK DOWN</t>
  </si>
  <si>
    <t>SSTPP</t>
  </si>
  <si>
    <t xml:space="preserve">Break down </t>
  </si>
  <si>
    <t xml:space="preserve">Warf wall : 4 </t>
  </si>
  <si>
    <t>Breakdown</t>
  </si>
  <si>
    <t>Break down</t>
  </si>
  <si>
    <t>Warf wall :4</t>
  </si>
  <si>
    <t xml:space="preserve">BREAK DOWN </t>
  </si>
  <si>
    <t>Silo Full Hrs</t>
  </si>
  <si>
    <t>Warf wall :  4</t>
  </si>
  <si>
    <t>Conv.1.1,2.1 &amp;3.1 roller replece</t>
  </si>
  <si>
    <t>Conv.1.1 roller replece</t>
  </si>
  <si>
    <t>Availability in  %</t>
  </si>
  <si>
    <t>Running
/Operating Hrs</t>
  </si>
  <si>
    <t>206 Rakes Average 7.10 Rakes  per day.</t>
  </si>
  <si>
    <t>293.30 Hrs</t>
  </si>
  <si>
    <t xml:space="preserve">                                                                                            Stream -II</t>
  </si>
  <si>
    <t xml:space="preserve">                                                                                            Stream -III</t>
  </si>
  <si>
    <t>5x 3= 15 hrs daily
(31 x15=  465)</t>
  </si>
  <si>
    <t>5x 3= 15 hrs daily
(28 x15=  420)</t>
  </si>
  <si>
    <t>Availability &amp; Utilization of CHP Dudhichua Project</t>
  </si>
  <si>
    <t>SI.No</t>
  </si>
  <si>
    <t>F.Y.</t>
  </si>
  <si>
    <t>Running Hrs as per norms/ Standard Hrs.  5x 3= 15 hrs daily
(365 x15=  5475)</t>
  </si>
  <si>
    <t>Availability
 in  %</t>
  </si>
  <si>
    <t>Utilization 
 in %</t>
  </si>
  <si>
    <t>Remark</t>
  </si>
  <si>
    <t>2016-17</t>
  </si>
  <si>
    <t>2017-18</t>
  </si>
  <si>
    <t>2018-19</t>
  </si>
  <si>
    <t>CHP Incharge</t>
  </si>
  <si>
    <t>Month wise</t>
  </si>
  <si>
    <t>Power failure</t>
  </si>
  <si>
    <t>PSSS</t>
  </si>
  <si>
    <t xml:space="preserve">B/D attend of Rip </t>
  </si>
  <si>
    <t>detector</t>
  </si>
  <si>
    <t>Warf wall : 3</t>
  </si>
  <si>
    <t>OTPS</t>
  </si>
  <si>
    <t>Silo full : 2.25</t>
  </si>
  <si>
    <t xml:space="preserve"> VSTPP</t>
  </si>
  <si>
    <t>PIC</t>
  </si>
  <si>
    <t xml:space="preserve">POWER  FAILURE  : </t>
  </si>
  <si>
    <t xml:space="preserve"> Date  :  31.03 .2020</t>
  </si>
  <si>
    <t>Power  failure</t>
  </si>
  <si>
    <t>234/15325</t>
  </si>
  <si>
    <t>SOG</t>
  </si>
  <si>
    <t xml:space="preserve">          Incharge CHP</t>
  </si>
  <si>
    <t xml:space="preserve">    </t>
  </si>
  <si>
    <t>Northern Coal Fields Limited</t>
  </si>
  <si>
    <t xml:space="preserve">    DUDHICHUA  PROJECT</t>
  </si>
  <si>
    <t xml:space="preserve">  The General Manager (E&amp;M)/HOD</t>
  </si>
  <si>
    <t xml:space="preserve">   NCL HQ. Singrauli .</t>
  </si>
  <si>
    <t>Name of CHP</t>
  </si>
  <si>
    <t>Total shift hrs (8x3x No. of days in a month)
                                (A)</t>
  </si>
  <si>
    <t>Total Beak down Hrs 
(B)</t>
  </si>
  <si>
    <t>Total Maintanence  Hrs 
(C)</t>
  </si>
  <si>
    <t>Total power failure Hrs.
 ( D )</t>
  </si>
  <si>
    <t>Total Idle Hrs. ( E )</t>
  </si>
  <si>
    <t>Total availability hrs. 
F=(A-(B+C+D))</t>
  </si>
  <si>
    <t>% availibility
 = F/A*100</t>
  </si>
  <si>
    <t>% capacity utilisation</t>
  </si>
  <si>
    <t>.</t>
  </si>
  <si>
    <t>Note: Due to non-availibility rakes throughout the month, capacity utilisation reduced</t>
  </si>
  <si>
    <t>Availability &amp; Utilization of CHP Dudhichua Project from April 2019 to March 2020</t>
  </si>
  <si>
    <t xml:space="preserve"> Date  :  01.04 .2020</t>
  </si>
  <si>
    <t>Warf wall :3</t>
  </si>
  <si>
    <t>176/ 11706.00</t>
  </si>
  <si>
    <t xml:space="preserve"> Date  :  02.04 .2020</t>
  </si>
  <si>
    <t xml:space="preserve"> Date  :  04.04 .2020</t>
  </si>
  <si>
    <t xml:space="preserve"> Date  :  03.04 .2020</t>
  </si>
  <si>
    <t xml:space="preserve">Warf wall :3 </t>
  </si>
  <si>
    <t>175/11592</t>
  </si>
  <si>
    <t>PSNG</t>
  </si>
  <si>
    <t xml:space="preserve">Warf wall :  3 </t>
  </si>
  <si>
    <t>175/11731.70</t>
  </si>
  <si>
    <t>Silo Full : 2.40 Hrs</t>
  </si>
  <si>
    <t xml:space="preserve"> Date  :  05.04 .2020</t>
  </si>
  <si>
    <t>174/12121.32</t>
  </si>
  <si>
    <t xml:space="preserve"> Date  :  06.04 .2020</t>
  </si>
  <si>
    <t xml:space="preserve">Warf wall :2  </t>
  </si>
  <si>
    <t>118/8031.78</t>
  </si>
  <si>
    <t xml:space="preserve">Apron feeder  segment  </t>
  </si>
  <si>
    <t xml:space="preserve">  out  from   his position</t>
  </si>
  <si>
    <t xml:space="preserve"> Date  :  07.04 .2020</t>
  </si>
  <si>
    <t>Warf wall : 2</t>
  </si>
  <si>
    <t>118/8170.77</t>
  </si>
  <si>
    <t>Silo full : 3:00 Hrs</t>
  </si>
  <si>
    <t xml:space="preserve"> Date  :  08.04 .2020</t>
  </si>
  <si>
    <t xml:space="preserve">Cov.3.2  bend pulley </t>
  </si>
  <si>
    <t>shifted</t>
  </si>
  <si>
    <t>RSNG</t>
  </si>
  <si>
    <t>175/12001.96</t>
  </si>
  <si>
    <t>SILO FULL :06.15</t>
  </si>
  <si>
    <t xml:space="preserve">Power failure </t>
  </si>
  <si>
    <t>10:00Am</t>
  </si>
  <si>
    <t>2:00Pm</t>
  </si>
  <si>
    <t>175/11845.60</t>
  </si>
  <si>
    <t>Conv.1.1 belt joint</t>
  </si>
  <si>
    <t xml:space="preserve"> Date  :  09.04 .2020</t>
  </si>
  <si>
    <t xml:space="preserve"> Date  :  10.04 .2020</t>
  </si>
  <si>
    <t>PNTP</t>
  </si>
  <si>
    <t>PSNT</t>
  </si>
  <si>
    <t>175/11809.33</t>
  </si>
  <si>
    <t>Silo Full : 4: Hrs</t>
  </si>
  <si>
    <t xml:space="preserve">Power failure  : </t>
  </si>
  <si>
    <t xml:space="preserve">Power failure : </t>
  </si>
  <si>
    <t xml:space="preserve"> Date  :  11.04 .2020</t>
  </si>
  <si>
    <t>Warf wall :1</t>
  </si>
  <si>
    <t>58/4012.80</t>
  </si>
  <si>
    <t>Silo Full : 10.50 Hrs</t>
  </si>
  <si>
    <t xml:space="preserve"> Date  :  12.04 .2020</t>
  </si>
  <si>
    <t>POWER FAILURE :</t>
  </si>
  <si>
    <t>116/7983.11</t>
  </si>
  <si>
    <t>Silo Full : 09.05 Hrs</t>
  </si>
  <si>
    <t xml:space="preserve"> Date  :  13.04 .2020</t>
  </si>
  <si>
    <t>9:00AM</t>
  </si>
  <si>
    <t>11:00AM</t>
  </si>
  <si>
    <t>replacement</t>
  </si>
  <si>
    <t>117/7879.22</t>
  </si>
  <si>
    <t>Silo Full : 5.15 Hrs</t>
  </si>
  <si>
    <t xml:space="preserve">Cv.1.1  Idler frame   </t>
  </si>
  <si>
    <t xml:space="preserve"> Date  :  14.04 .2020</t>
  </si>
  <si>
    <t>PCMC</t>
  </si>
  <si>
    <t>117/7843.91</t>
  </si>
  <si>
    <t>Silo Full : 1:00 Hrs</t>
  </si>
  <si>
    <t>13.00PM</t>
  </si>
  <si>
    <t xml:space="preserve"> 09:30 AM</t>
  </si>
  <si>
    <t>Roller replacement.</t>
  </si>
  <si>
    <t xml:space="preserve">Cv. 3.2  carrying  frame &amp; </t>
  </si>
  <si>
    <t xml:space="preserve"> Date  :  15.04 .2020</t>
  </si>
  <si>
    <t>114/7850.80</t>
  </si>
  <si>
    <t>10:00AM</t>
  </si>
  <si>
    <t>13:30PM</t>
  </si>
  <si>
    <t xml:space="preserve">Cv.2.1 /3.1  Idler </t>
  </si>
  <si>
    <t>frame replacement</t>
  </si>
  <si>
    <t xml:space="preserve"> Date  :  16.04 .2020</t>
  </si>
  <si>
    <t xml:space="preserve">Warf wall :2 </t>
  </si>
  <si>
    <t>117/7958.16</t>
  </si>
  <si>
    <t>nill</t>
  </si>
  <si>
    <t>Chief.Manager (E&amp;M)</t>
  </si>
  <si>
    <t xml:space="preserve"> Date  :  17.04 .2020</t>
  </si>
  <si>
    <t xml:space="preserve"> Date  :  18.04 .2020</t>
  </si>
  <si>
    <t xml:space="preserve"> Date  :  19.04 .2020</t>
  </si>
  <si>
    <t>Silo Full : 5.:05 hrs</t>
  </si>
  <si>
    <t>174/12408.72</t>
  </si>
  <si>
    <t>Conv. 3.2 /2.1  Idler frame</t>
  </si>
  <si>
    <t>174/12509.77</t>
  </si>
  <si>
    <t>Silo full  Hrs :3.20</t>
  </si>
  <si>
    <t>117/7731</t>
  </si>
  <si>
    <t xml:space="preserve"> Cv 3.1  take up pulley </t>
  </si>
  <si>
    <t>work</t>
  </si>
  <si>
    <t xml:space="preserve"> Date  :  20.04 .2020</t>
  </si>
  <si>
    <t xml:space="preserve">Warf wall :3  </t>
  </si>
  <si>
    <t>174/12082</t>
  </si>
  <si>
    <t>Silo Full : 4:00 Hrs</t>
  </si>
  <si>
    <t>Cv.2.2/3.2</t>
  </si>
  <si>
    <t xml:space="preserve"> Pulley lagging </t>
  </si>
  <si>
    <t>Chief Manager (E&amp;M)</t>
  </si>
  <si>
    <t xml:space="preserve"> Date  :  21.04 .2020</t>
  </si>
  <si>
    <t>Warf wall :  3</t>
  </si>
  <si>
    <t>175/12160.86</t>
  </si>
  <si>
    <t>Cv.3.1 discharge</t>
  </si>
  <si>
    <t xml:space="preserve">pulley </t>
  </si>
  <si>
    <t>9.30 Am</t>
  </si>
  <si>
    <t>Shovel  teeth  in GC no.3</t>
  </si>
  <si>
    <t>Rail pole  in Cv.1.1  chute</t>
  </si>
  <si>
    <t xml:space="preserve"> Date  :  22.04 .2020</t>
  </si>
  <si>
    <t>Warf wall :   4</t>
  </si>
  <si>
    <t>232/16071</t>
  </si>
  <si>
    <t xml:space="preserve">Cv 1.1 rubber skirt </t>
  </si>
  <si>
    <t xml:space="preserve">Pulley lagging &amp; sleeve </t>
  </si>
  <si>
    <t>changing  of cv.2.1</t>
  </si>
  <si>
    <t xml:space="preserve"> pan bolt broken of GC no.1</t>
  </si>
  <si>
    <t xml:space="preserve"> Date  :  23.04.2020</t>
  </si>
  <si>
    <t>175/11769</t>
  </si>
  <si>
    <t xml:space="preserve"> Date  :  24.04 .2020</t>
  </si>
  <si>
    <t>232/16108</t>
  </si>
  <si>
    <t xml:space="preserve">Warf wall : 4  </t>
  </si>
  <si>
    <t>Silo full : 09.15 hrs</t>
  </si>
  <si>
    <t>232/16045.80</t>
  </si>
  <si>
    <t>Silo Full : 15.45 Hrs</t>
  </si>
  <si>
    <t xml:space="preserve"> Date  :  25.04 .2020</t>
  </si>
  <si>
    <t>Pajama Chute of A/F no.2</t>
  </si>
  <si>
    <t xml:space="preserve"> welding work.</t>
  </si>
  <si>
    <r>
      <t xml:space="preserve">  power failure: </t>
    </r>
    <r>
      <rPr>
        <sz val="14"/>
        <color theme="1"/>
        <rFont val="Times New Roman"/>
        <family val="1"/>
      </rPr>
      <t xml:space="preserve"> </t>
    </r>
  </si>
  <si>
    <t>Power failure form MPEB</t>
  </si>
  <si>
    <t xml:space="preserve"> 0.10 Hrs</t>
  </si>
  <si>
    <t xml:space="preserve"> 0.10 Hrs   </t>
  </si>
  <si>
    <t>( power failure from  MPEB)</t>
  </si>
  <si>
    <t xml:space="preserve">Warf wall : 03 </t>
  </si>
  <si>
    <t>174/11761.73</t>
  </si>
  <si>
    <t>Silo full :  9.20</t>
  </si>
  <si>
    <t xml:space="preserve"> Date  :  26.04 .2020</t>
  </si>
  <si>
    <t>STPP</t>
  </si>
  <si>
    <t xml:space="preserve"> PNTP</t>
  </si>
  <si>
    <t>KATRA</t>
  </si>
  <si>
    <t>Warf wall : 4</t>
  </si>
  <si>
    <t>233/16028.04</t>
  </si>
  <si>
    <t>Cv.3.2/2.2 pulley lagging</t>
  </si>
  <si>
    <t>Silo : 9.45 Hrs</t>
  </si>
  <si>
    <t xml:space="preserve"> Date  :  28.04 .2020</t>
  </si>
  <si>
    <t xml:space="preserve"> Date  :  27.04 .2020</t>
  </si>
  <si>
    <t>A/ feeder segment out from his position</t>
  </si>
  <si>
    <t>Conv.3.1 roller replece</t>
  </si>
  <si>
    <t>Conv 1.1 belt jointing</t>
  </si>
  <si>
    <t>Conv 1.1 idler frame replacement</t>
  </si>
  <si>
    <t>A/feeder no.1 jammed due to steel material</t>
  </si>
  <si>
    <t>A/feeder no.1 hopper jammed</t>
  </si>
  <si>
    <t>Crusher R/pit jammed</t>
  </si>
  <si>
    <t>Conv 3.2 bend pulley shifted</t>
  </si>
  <si>
    <t>skirt rubber damaged &amp; replacement of Conv 1.2</t>
  </si>
  <si>
    <t>Conv 3.2 carrying frame &amp; roller replacement</t>
  </si>
  <si>
    <t>Conv 2.2 Pulley lagging</t>
  </si>
  <si>
    <t>A/feeder no.2 pajama chute damaged &amp; welding it</t>
  </si>
  <si>
    <t>rail pole in conv 2.2</t>
  </si>
  <si>
    <t>234/15929.88</t>
  </si>
  <si>
    <t>2.30 PM</t>
  </si>
  <si>
    <t xml:space="preserve">GC no.1 lubrication </t>
  </si>
  <si>
    <t>system  not working properly</t>
  </si>
  <si>
    <t xml:space="preserve">Rail pole in Cv 2.2 </t>
  </si>
  <si>
    <t>RHSTPP</t>
  </si>
  <si>
    <t>RHTPP</t>
  </si>
  <si>
    <t>PSMG</t>
  </si>
  <si>
    <t xml:space="preserve">Warf wall : 3 </t>
  </si>
  <si>
    <t>175/11776.44</t>
  </si>
  <si>
    <t>RAIL  POLE IN CV1.1</t>
  </si>
  <si>
    <t>Dozer  b/d  at R/pit  no.1</t>
  </si>
  <si>
    <t xml:space="preserve"> Date  :  29.04 .2020</t>
  </si>
  <si>
    <t xml:space="preserve"> Date  :  30.04 .2020</t>
  </si>
  <si>
    <t>VNK</t>
  </si>
  <si>
    <t>175/11576.02</t>
  </si>
  <si>
    <t>Crusher mantle greasing</t>
  </si>
  <si>
    <t>Cv.3.1  pulley lagging</t>
  </si>
  <si>
    <t>GC No.1 mental greassing &amp; Conv 3.1 pulley lagging</t>
  </si>
  <si>
    <t>R Pit jammed of GC No.1 due to Dojer BD at R Pit no.1</t>
  </si>
  <si>
    <t>Hopper jammed due to big size bolder</t>
  </si>
  <si>
    <t>Crusher hopper jammed due to shovel teeth</t>
  </si>
  <si>
    <t xml:space="preserve">           Daily report  for the month of  April '  2020 CHP, Dudhichua</t>
  </si>
  <si>
    <t xml:space="preserve">                   Chief Manager (E&amp;M)</t>
  </si>
  <si>
    <t xml:space="preserve">                                       Daily report  for the month of   APRIL' 2020 CHP, Dudhichua</t>
  </si>
  <si>
    <t xml:space="preserve">                                              GM (E&amp;M), Dudhichua</t>
  </si>
  <si>
    <t>Monthly  Report of  April 2020</t>
  </si>
  <si>
    <t>power failure</t>
  </si>
  <si>
    <t>Monthly Report  January' 2020.</t>
  </si>
  <si>
    <t xml:space="preserve">          CHP</t>
  </si>
  <si>
    <t>Monthly  installed capacity                     ( in 000 Tes.)</t>
  </si>
  <si>
    <t>Target         Jan 2020             ( in'000'Tes)</t>
  </si>
  <si>
    <t>Actual  Handled   in Jan '2020           ( '000'Tes.)</t>
  </si>
  <si>
    <t xml:space="preserve">%  of total  despatch  in         (-100 mm size) </t>
  </si>
  <si>
    <t>% of total  despatch  in  ( - 250 mm size)</t>
  </si>
  <si>
    <t>%  Target Achievement</t>
  </si>
  <si>
    <t>%  Utilization   of  Capacity</t>
  </si>
  <si>
    <t>Actual  Handled in Jan '19             ( in 000 Tes.)</t>
  </si>
  <si>
    <t>% Growth    over last year</t>
  </si>
  <si>
    <t>Asking Rate of Feb'2020                     ( in '000'Tes. Per day )</t>
  </si>
  <si>
    <t>Nil</t>
  </si>
  <si>
    <t xml:space="preserve"> ( Install Capacity  10 MTPA)</t>
  </si>
  <si>
    <t>Silo Full hours : 207.05 Hrs . Rake supply  poor.</t>
  </si>
  <si>
    <t>Dudhichua  Project</t>
  </si>
  <si>
    <t>Cc;</t>
  </si>
  <si>
    <t xml:space="preserve">    i) General  Manager , Dudhichua : For kind information.</t>
  </si>
  <si>
    <t xml:space="preserve">   ii) General Manager (E&amp;M)/Dudhichua.</t>
  </si>
  <si>
    <t>Monthly Report  February' 2020.</t>
  </si>
  <si>
    <t>Target         Feb 2020             ( in'000'Tes)</t>
  </si>
  <si>
    <t>Actual  Handled   in Feb '2020           ( '000'Tes.)</t>
  </si>
  <si>
    <t>Actual  Handled in Feb '19             ( in 000 Tes.)</t>
  </si>
  <si>
    <t>Asking Rate of March'2020                     ( in '000'Tes. Per day )</t>
  </si>
  <si>
    <t>Silo Full hours : 293.30 Hrs . Rake supply very poor.</t>
  </si>
  <si>
    <t>Due to non-availability of rakes throughout the month, the target can't achieved.</t>
  </si>
  <si>
    <t>Silo Full hours : 190.30 Hrs . Rake supply very poor.</t>
  </si>
  <si>
    <t>% availibility
 = F/A*100</t>
  </si>
  <si>
    <t>Utilisation Hrs
G = F-E</t>
  </si>
  <si>
    <t>8x 3= 24 hrs daily
(30 x24=  720)</t>
  </si>
  <si>
    <t>Name of
 CHP</t>
  </si>
  <si>
    <t>PERFORMANCE OF DUDHICHUA CHP FOR THE MONTH OF APRIL 20</t>
  </si>
  <si>
    <t>Utilisation / availibility of Dudhichua CHP for the month of April 20</t>
  </si>
  <si>
    <t>Annual capacity (in MT)</t>
  </si>
  <si>
    <t>10.00MT</t>
  </si>
  <si>
    <t>Monthly  installed capacity                     ( in Tes.)</t>
  </si>
  <si>
    <t>Actual  Handled in April '19             ( in Tes.)</t>
  </si>
  <si>
    <t>Asking Rate of May'20                     ( in Tes. Per day )</t>
  </si>
  <si>
    <t>Target         April 20             ( in Tes)</t>
  </si>
  <si>
    <t>Actual  Handled   in April '20           (Tes.)</t>
  </si>
  <si>
    <t>Total shift hrs (8x3x No. of days in a month
(A)</t>
  </si>
  <si>
    <t>Total Beak down Hrs 
 (B)</t>
  </si>
  <si>
    <t>Total Maintanence   
        Hrs 
(C)</t>
  </si>
  <si>
    <t>Total power failure Hrs.
  ( D )</t>
  </si>
  <si>
    <t>Total Idle Hrs. 
( E )</t>
  </si>
  <si>
    <t>% Utilisation
(G/A)</t>
  </si>
  <si>
    <t>i)A/ feeder segment out from his position
ii)Conv 1.1 belt jointing
iii)A/feeder no.1 jammed due to steel material</t>
  </si>
  <si>
    <t>i) Conv 3.2 bend pulley shifted
ii)  skirt rubber damaged &amp; replacement of Conv 1.2
iii) Conv 2.2 Pulley lagging</t>
  </si>
  <si>
    <t>i) Hopper jammed due to big size bolder
ii) Crusher hopper jammed due to shovel teeth</t>
  </si>
  <si>
    <t>PERFORMANCE OF DUDHICHUA CHP FOR THE MONTH OF july 20</t>
  </si>
  <si>
    <t>Target         july 20             ( in Tes)</t>
  </si>
  <si>
    <t>Actual  Handled   in july '20           (Tes.)</t>
  </si>
  <si>
    <t>Actual  Handled in july '19             ( in Tes.)</t>
  </si>
  <si>
    <t>Asking Rate of Aug'20                     ( in Tes. Per day )</t>
  </si>
  <si>
    <t xml:space="preserve">Silo Full hours : 9:00 Hrs </t>
  </si>
  <si>
    <t>Due to 3 days strike from 02.07.2020 to 04.07.2020, dispatch from silo was zero in this period.</t>
  </si>
  <si>
    <t>Phase -1</t>
  </si>
  <si>
    <t>Phase -2</t>
  </si>
  <si>
    <t>Diverson</t>
  </si>
  <si>
    <t xml:space="preserve">Crushing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</si>
</sst>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h:mm\ AM/PM;@"/>
    <numFmt numFmtId="165" formatCode="h:mm;@"/>
    <numFmt numFmtId="166" formatCode="[h]:mm"/>
    <numFmt numFmtId="167" formatCode="[$-409]mmm\-yy;@"/>
    <numFmt numFmtId="168" formatCode="0.0000%"/>
    <numFmt numFmtId="169" formatCode="[h]:mm:ss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9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346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top" wrapText="1" readingOrder="1"/>
    </xf>
    <xf numFmtId="0" fontId="5" fillId="0" borderId="1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3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4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1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1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1" xfId="0" applyFont="1" applyBorder="1" applyAlignment="1">
      <alignment vertical="top"/>
    </xf>
    <xf numFmtId="20" fontId="13" fillId="0" borderId="11" xfId="0" applyNumberFormat="1" applyFon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center"/>
    </xf>
    <xf numFmtId="20" fontId="13" fillId="0" borderId="11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66" fontId="14" fillId="0" borderId="2" xfId="0" applyNumberFormat="1" applyFont="1" applyBorder="1" applyAlignment="1">
      <alignment horizontal="center" vertical="center"/>
    </xf>
    <xf numFmtId="46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0" xfId="0" applyNumberFormat="1"/>
    <xf numFmtId="20" fontId="8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166" fontId="8" fillId="0" borderId="2" xfId="0" applyNumberFormat="1" applyFont="1" applyBorder="1" applyAlignment="1">
      <alignment vertical="center"/>
    </xf>
    <xf numFmtId="4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2" fontId="1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4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20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/>
    <xf numFmtId="2" fontId="14" fillId="0" borderId="2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66" fontId="14" fillId="0" borderId="2" xfId="0" applyNumberFormat="1" applyFont="1" applyBorder="1"/>
    <xf numFmtId="2" fontId="14" fillId="0" borderId="0" xfId="0" applyNumberFormat="1" applyFont="1"/>
    <xf numFmtId="2" fontId="14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0" fontId="21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vertical="center"/>
    </xf>
    <xf numFmtId="168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2" fontId="7" fillId="0" borderId="2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center" vertical="top"/>
    </xf>
    <xf numFmtId="17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0" fontId="23" fillId="0" borderId="0" xfId="0" applyFont="1"/>
    <xf numFmtId="0" fontId="8" fillId="0" borderId="0" xfId="0" applyFont="1"/>
    <xf numFmtId="0" fontId="4" fillId="0" borderId="0" xfId="0" applyFont="1" applyAlignment="1">
      <alignment vertical="top"/>
    </xf>
    <xf numFmtId="0" fontId="24" fillId="0" borderId="0" xfId="0" applyFont="1"/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4" fontId="16" fillId="0" borderId="16" xfId="0" applyNumberFormat="1" applyFont="1" applyBorder="1" applyAlignment="1">
      <alignment horizontal="left" vertical="top" wrapText="1"/>
    </xf>
    <xf numFmtId="4" fontId="16" fillId="0" borderId="16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7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top"/>
    </xf>
    <xf numFmtId="0" fontId="25" fillId="0" borderId="2" xfId="0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horizontal="left" vertical="top"/>
    </xf>
    <xf numFmtId="0" fontId="0" fillId="0" borderId="11" xfId="0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11" xfId="0" applyBorder="1" applyAlignment="1">
      <alignment horizontal="left" vertical="top" wrapText="1"/>
    </xf>
    <xf numFmtId="20" fontId="13" fillId="0" borderId="2" xfId="0" applyNumberFormat="1" applyFont="1" applyBorder="1" applyAlignment="1">
      <alignment horizontal="center" vertical="top" wrapText="1"/>
    </xf>
    <xf numFmtId="18" fontId="7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16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166" fontId="13" fillId="0" borderId="11" xfId="0" applyNumberFormat="1" applyFont="1" applyBorder="1" applyAlignment="1">
      <alignment horizontal="center" vertical="top"/>
    </xf>
    <xf numFmtId="169" fontId="8" fillId="0" borderId="2" xfId="0" applyNumberFormat="1" applyFont="1" applyBorder="1" applyAlignment="1">
      <alignment horizontal="center" vertical="center"/>
    </xf>
    <xf numFmtId="169" fontId="8" fillId="0" borderId="2" xfId="1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9" fontId="27" fillId="0" borderId="2" xfId="0" applyNumberFormat="1" applyFont="1" applyBorder="1" applyAlignment="1">
      <alignment horizontal="center" vertical="center"/>
    </xf>
    <xf numFmtId="10" fontId="27" fillId="0" borderId="2" xfId="1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8" fillId="2" borderId="18" xfId="0" applyFont="1" applyFill="1" applyBorder="1" applyAlignment="1">
      <alignment vertical="top" wrapText="1"/>
    </xf>
    <xf numFmtId="0" fontId="16" fillId="2" borderId="19" xfId="0" applyFont="1" applyFill="1" applyBorder="1" applyAlignment="1">
      <alignment vertical="top" wrapText="1"/>
    </xf>
    <xf numFmtId="0" fontId="16" fillId="2" borderId="20" xfId="0" applyFont="1" applyFill="1" applyBorder="1" applyAlignment="1">
      <alignment vertical="top" wrapText="1"/>
    </xf>
    <xf numFmtId="0" fontId="28" fillId="0" borderId="21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4" fontId="16" fillId="0" borderId="0" xfId="0" applyNumberFormat="1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9" fontId="16" fillId="0" borderId="9" xfId="0" applyNumberFormat="1" applyFont="1" applyBorder="1" applyAlignment="1">
      <alignment horizontal="center" vertical="top" wrapText="1"/>
    </xf>
    <xf numFmtId="10" fontId="16" fillId="0" borderId="0" xfId="1" applyNumberFormat="1" applyFont="1" applyBorder="1" applyAlignment="1">
      <alignment horizontal="center" vertical="top" wrapText="1"/>
    </xf>
    <xf numFmtId="10" fontId="16" fillId="0" borderId="16" xfId="0" applyNumberFormat="1" applyFont="1" applyBorder="1" applyAlignment="1">
      <alignment horizontal="center" vertical="top" wrapText="1"/>
    </xf>
    <xf numFmtId="4" fontId="16" fillId="0" borderId="22" xfId="0" applyNumberFormat="1" applyFont="1" applyBorder="1" applyAlignment="1">
      <alignment horizontal="center" vertical="top" wrapText="1"/>
    </xf>
    <xf numFmtId="0" fontId="16" fillId="0" borderId="23" xfId="0" applyFont="1" applyBorder="1"/>
    <xf numFmtId="0" fontId="16" fillId="0" borderId="24" xfId="0" applyFont="1" applyBorder="1" applyAlignment="1">
      <alignment horizontal="center" vertical="top" wrapText="1"/>
    </xf>
    <xf numFmtId="2" fontId="16" fillId="0" borderId="25" xfId="0" applyNumberFormat="1" applyFont="1" applyBorder="1" applyAlignment="1">
      <alignment horizontal="left" vertical="top" wrapText="1"/>
    </xf>
    <xf numFmtId="0" fontId="16" fillId="0" borderId="25" xfId="0" applyFont="1" applyBorder="1" applyAlignment="1">
      <alignment horizontal="center" vertical="top" wrapText="1"/>
    </xf>
    <xf numFmtId="0" fontId="16" fillId="0" borderId="26" xfId="0" applyNumberFormat="1" applyFont="1" applyBorder="1" applyAlignment="1">
      <alignment horizontal="center" vertical="top" wrapText="1"/>
    </xf>
    <xf numFmtId="10" fontId="16" fillId="0" borderId="24" xfId="0" applyNumberFormat="1" applyFont="1" applyBorder="1" applyAlignment="1">
      <alignment horizontal="center" vertical="top" wrapText="1"/>
    </xf>
    <xf numFmtId="10" fontId="16" fillId="0" borderId="25" xfId="0" applyNumberFormat="1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30" fillId="0" borderId="0" xfId="0" applyFont="1" applyAlignment="1">
      <alignment vertical="top"/>
    </xf>
    <xf numFmtId="0" fontId="16" fillId="0" borderId="0" xfId="0" applyFont="1"/>
    <xf numFmtId="0" fontId="1" fillId="0" borderId="0" xfId="0" applyFont="1"/>
    <xf numFmtId="0" fontId="0" fillId="0" borderId="0" xfId="0" applyFont="1"/>
    <xf numFmtId="169" fontId="0" fillId="0" borderId="0" xfId="0" applyNumberFormat="1"/>
    <xf numFmtId="0" fontId="27" fillId="0" borderId="2" xfId="0" applyFont="1" applyBorder="1" applyAlignment="1">
      <alignment horizontal="center" vertical="top" wrapText="1"/>
    </xf>
    <xf numFmtId="0" fontId="27" fillId="0" borderId="2" xfId="0" applyFont="1" applyFill="1" applyBorder="1" applyAlignment="1">
      <alignment horizontal="center" vertical="top" wrapText="1"/>
    </xf>
    <xf numFmtId="169" fontId="27" fillId="0" borderId="2" xfId="1" applyNumberFormat="1" applyFont="1" applyBorder="1" applyAlignment="1">
      <alignment horizontal="center" vertical="center"/>
    </xf>
    <xf numFmtId="0" fontId="28" fillId="2" borderId="28" xfId="0" applyFont="1" applyFill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16" fillId="0" borderId="24" xfId="0" applyFont="1" applyBorder="1"/>
    <xf numFmtId="0" fontId="26" fillId="2" borderId="28" xfId="0" applyFont="1" applyFill="1" applyBorder="1" applyAlignment="1">
      <alignment vertical="top" wrapText="1"/>
    </xf>
    <xf numFmtId="166" fontId="0" fillId="0" borderId="0" xfId="0" applyNumberFormat="1"/>
    <xf numFmtId="9" fontId="8" fillId="0" borderId="2" xfId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9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16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167" fontId="0" fillId="0" borderId="1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167" fontId="0" fillId="0" borderId="11" xfId="0" applyNumberForma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167" fontId="0" fillId="0" borderId="1" xfId="0" applyNumberFormat="1" applyFont="1" applyBorder="1" applyAlignment="1">
      <alignment vertical="center"/>
    </xf>
    <xf numFmtId="167" fontId="0" fillId="0" borderId="9" xfId="0" applyNumberFormat="1" applyFont="1" applyBorder="1" applyAlignment="1">
      <alignment vertical="center"/>
    </xf>
    <xf numFmtId="167" fontId="0" fillId="0" borderId="11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320599985242815E-2"/>
          <c:y val="7.4548702245552642E-2"/>
          <c:w val="0.72963461896580195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[1]Sheet36!$G$9</c:f>
              <c:strCache>
                <c:ptCount val="1"/>
                <c:pt idx="0">
                  <c:v>Availability
 in  %</c:v>
                </c:pt>
              </c:strCache>
            </c:strRef>
          </c:tx>
          <c:invertIfNegative val="0"/>
          <c:cat>
            <c:strRef>
              <c:f>[1]Sheet36!$E$10:$E$12</c:f>
              <c:strCache>
                <c:ptCount val="3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</c:strCache>
            </c:strRef>
          </c:cat>
          <c:val>
            <c:numRef>
              <c:f>[1]Sheet36!$G$10:$G$12</c:f>
              <c:numCache>
                <c:formatCode>General</c:formatCode>
                <c:ptCount val="3"/>
                <c:pt idx="0">
                  <c:v>1.3364444444444445</c:v>
                </c:pt>
                <c:pt idx="1">
                  <c:v>1.3262777777777777</c:v>
                </c:pt>
                <c:pt idx="2">
                  <c:v>1.2346083333333333</c:v>
                </c:pt>
              </c:numCache>
            </c:numRef>
          </c:val>
        </c:ser>
        <c:ser>
          <c:idx val="1"/>
          <c:order val="1"/>
          <c:tx>
            <c:strRef>
              <c:f>[1]Sheet36!$H$9</c:f>
              <c:strCache>
                <c:ptCount val="1"/>
                <c:pt idx="0">
                  <c:v>Utilization 
 in %</c:v>
                </c:pt>
              </c:strCache>
            </c:strRef>
          </c:tx>
          <c:spPr>
            <a:pattFill prst="sphere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dPt>
            <c:idx val="2"/>
            <c:invertIfNegative val="0"/>
            <c:bubble3D val="0"/>
            <c:spPr>
              <a:pattFill prst="sphere">
                <a:fgClr>
                  <a:srgbClr val="00B050"/>
                </a:fgClr>
                <a:bgClr>
                  <a:schemeClr val="bg1"/>
                </a:bgClr>
              </a:pattFill>
              <a:effectLst>
                <a:outerShdw blurRad="50800" dist="50800" dir="5400000" algn="ctr" rotWithShape="0">
                  <a:srgbClr val="92D050"/>
                </a:outerShdw>
              </a:effectLst>
            </c:spPr>
          </c:dPt>
          <c:cat>
            <c:strRef>
              <c:f>[1]Sheet36!$E$10:$E$12</c:f>
              <c:strCache>
                <c:ptCount val="3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</c:strCache>
            </c:strRef>
          </c:cat>
          <c:val>
            <c:numRef>
              <c:f>[1]Sheet36!$H$10:$H$12</c:f>
              <c:numCache>
                <c:formatCode>General</c:formatCode>
                <c:ptCount val="3"/>
                <c:pt idx="0">
                  <c:v>0.77734444444444462</c:v>
                </c:pt>
                <c:pt idx="1">
                  <c:v>0.82241944444444437</c:v>
                </c:pt>
                <c:pt idx="2">
                  <c:v>0.78209166666666663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gapDepth val="185"/>
        <c:shape val="cylinder"/>
        <c:axId val="75789440"/>
        <c:axId val="75790976"/>
        <c:axId val="0"/>
      </c:bar3DChart>
      <c:catAx>
        <c:axId val="757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5790976"/>
        <c:crosses val="autoZero"/>
        <c:auto val="1"/>
        <c:lblAlgn val="ctr"/>
        <c:lblOffset val="100"/>
        <c:noMultiLvlLbl val="0"/>
      </c:catAx>
      <c:valAx>
        <c:axId val="757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894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028204506565193"/>
          <c:y val="0.1520100612423447"/>
          <c:w val="0.19717954934348067"/>
          <c:h val="0.487646544181977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15</xdr:row>
      <xdr:rowOff>80962</xdr:rowOff>
    </xdr:from>
    <xdr:to>
      <xdr:col>9</xdr:col>
      <xdr:colOff>361950</xdr:colOff>
      <xdr:row>29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%202019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Dec 19"/>
      <sheetName val="Dec  stream I Dec"/>
      <sheetName val=" Dec  stream II Dec "/>
      <sheetName val="Dec stream III Dec"/>
      <sheetName val="Sheet33"/>
      <sheetName val="Sheet34"/>
      <sheetName val="Sheet32"/>
      <sheetName val="Sheet35"/>
      <sheetName val="Sheet3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9">
          <cell r="G9" t="str">
            <v>Availability
 in  %</v>
          </cell>
          <cell r="H9" t="str">
            <v>Utilization 
 in %</v>
          </cell>
        </row>
        <row r="10">
          <cell r="E10" t="str">
            <v>2016-17</v>
          </cell>
          <cell r="G10">
            <v>1.3364444444444445</v>
          </cell>
          <cell r="H10">
            <v>0.77734444444444462</v>
          </cell>
        </row>
        <row r="11">
          <cell r="E11" t="str">
            <v>2017-18</v>
          </cell>
          <cell r="G11">
            <v>1.3262777777777777</v>
          </cell>
          <cell r="H11">
            <v>0.82241944444444437</v>
          </cell>
        </row>
        <row r="12">
          <cell r="E12" t="str">
            <v>2018-19</v>
          </cell>
          <cell r="G12">
            <v>1.2346083333333333</v>
          </cell>
          <cell r="H12">
            <v>0.78209166666666663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pane ySplit="1" topLeftCell="A12" activePane="bottomLeft" state="frozen"/>
      <selection pane="bottomLeft"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224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45</v>
      </c>
      <c r="E4" s="22">
        <v>35</v>
      </c>
      <c r="F4" s="22">
        <v>42</v>
      </c>
      <c r="G4" s="22">
        <v>38</v>
      </c>
      <c r="H4" s="22">
        <v>40</v>
      </c>
      <c r="I4" s="22">
        <v>37</v>
      </c>
      <c r="J4" s="22">
        <v>20</v>
      </c>
      <c r="K4" s="22">
        <v>190</v>
      </c>
      <c r="L4" s="22">
        <v>67</v>
      </c>
      <c r="M4" s="93">
        <f>K4+L4</f>
        <v>257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 t="s">
        <v>161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3</v>
      </c>
      <c r="F6" s="22">
        <v>3</v>
      </c>
      <c r="G6" s="22"/>
      <c r="H6" s="22">
        <v>4</v>
      </c>
      <c r="I6" s="22">
        <v>6</v>
      </c>
      <c r="J6" s="22"/>
      <c r="K6" s="22">
        <v>20</v>
      </c>
      <c r="L6" s="22">
        <v>0</v>
      </c>
      <c r="M6" s="93">
        <f t="shared" si="0"/>
        <v>20</v>
      </c>
      <c r="N6" s="104" t="s">
        <v>161</v>
      </c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2</v>
      </c>
      <c r="F7" s="22">
        <v>3</v>
      </c>
      <c r="G7" s="22"/>
      <c r="H7" s="22"/>
      <c r="I7" s="22"/>
      <c r="J7" s="22"/>
      <c r="K7" s="22">
        <v>8</v>
      </c>
      <c r="L7" s="22">
        <v>8</v>
      </c>
      <c r="M7" s="93">
        <f t="shared" si="0"/>
        <v>16</v>
      </c>
      <c r="N7" s="104" t="s">
        <v>57</v>
      </c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>
        <v>5</v>
      </c>
      <c r="D9" s="22">
        <v>35</v>
      </c>
      <c r="E9" s="22">
        <v>30</v>
      </c>
      <c r="F9" s="22">
        <v>36</v>
      </c>
      <c r="G9" s="22">
        <v>24</v>
      </c>
      <c r="H9" s="22">
        <v>32</v>
      </c>
      <c r="I9" s="22">
        <v>34</v>
      </c>
      <c r="J9" s="22">
        <v>26</v>
      </c>
      <c r="K9" s="22">
        <v>140</v>
      </c>
      <c r="L9" s="22">
        <v>82</v>
      </c>
      <c r="M9" s="93">
        <f t="shared" ref="M9:M12" si="1">K9+L9</f>
        <v>222</v>
      </c>
      <c r="N9" s="82" t="s">
        <v>161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5</v>
      </c>
      <c r="E10" s="22">
        <v>7</v>
      </c>
      <c r="F10" s="22">
        <v>8</v>
      </c>
      <c r="G10" s="22">
        <v>7</v>
      </c>
      <c r="H10" s="22">
        <v>7</v>
      </c>
      <c r="I10" s="22"/>
      <c r="J10" s="22"/>
      <c r="K10" s="22">
        <v>34</v>
      </c>
      <c r="L10" s="22">
        <v>0</v>
      </c>
      <c r="M10" s="93">
        <f t="shared" si="1"/>
        <v>34</v>
      </c>
      <c r="N10" s="82" t="s">
        <v>193</v>
      </c>
      <c r="O10" s="303" t="s">
        <v>72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3</v>
      </c>
      <c r="F11" s="22">
        <v>7</v>
      </c>
      <c r="G11" s="22">
        <v>10</v>
      </c>
      <c r="H11" s="22">
        <v>5</v>
      </c>
      <c r="I11" s="22">
        <v>2</v>
      </c>
      <c r="J11" s="22">
        <v>1</v>
      </c>
      <c r="K11" s="22">
        <v>28</v>
      </c>
      <c r="L11" s="22">
        <v>5</v>
      </c>
      <c r="M11" s="93">
        <f t="shared" si="1"/>
        <v>33</v>
      </c>
      <c r="N11" s="82" t="s">
        <v>57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2</v>
      </c>
      <c r="F12" s="22">
        <v>3</v>
      </c>
      <c r="G12" s="22"/>
      <c r="H12" s="22">
        <v>2</v>
      </c>
      <c r="I12" s="22"/>
      <c r="J12" s="22"/>
      <c r="K12" s="22">
        <v>5</v>
      </c>
      <c r="L12" s="22">
        <v>5</v>
      </c>
      <c r="M12" s="93">
        <f t="shared" si="1"/>
        <v>10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35</v>
      </c>
      <c r="E14" s="22">
        <v>33</v>
      </c>
      <c r="F14" s="22">
        <v>15</v>
      </c>
      <c r="G14" s="22">
        <v>17</v>
      </c>
      <c r="H14" s="22">
        <v>15</v>
      </c>
      <c r="I14" s="22">
        <v>20</v>
      </c>
      <c r="J14" s="22">
        <v>7</v>
      </c>
      <c r="K14" s="22">
        <v>67</v>
      </c>
      <c r="L14" s="22">
        <v>75</v>
      </c>
      <c r="M14" s="93">
        <f t="shared" ref="M14:M17" si="2">K14+L14</f>
        <v>142</v>
      </c>
      <c r="N14" s="103" t="s">
        <v>193</v>
      </c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>
        <v>5</v>
      </c>
      <c r="G16" s="22">
        <v>6</v>
      </c>
      <c r="H16" s="22">
        <v>6</v>
      </c>
      <c r="I16" s="22">
        <v>3</v>
      </c>
      <c r="J16" s="22"/>
      <c r="K16" s="22">
        <v>20</v>
      </c>
      <c r="L16" s="22">
        <v>0</v>
      </c>
      <c r="M16" s="93">
        <f t="shared" si="2"/>
        <v>20</v>
      </c>
      <c r="N16" s="103" t="s">
        <v>193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11</v>
      </c>
      <c r="E17" s="22">
        <v>10</v>
      </c>
      <c r="F17" s="22">
        <v>15</v>
      </c>
      <c r="G17" s="22">
        <v>10</v>
      </c>
      <c r="H17" s="22">
        <v>8</v>
      </c>
      <c r="I17" s="22">
        <v>1</v>
      </c>
      <c r="J17" s="22"/>
      <c r="K17" s="22">
        <v>54</v>
      </c>
      <c r="L17" s="22">
        <v>1</v>
      </c>
      <c r="M17" s="93">
        <f t="shared" si="2"/>
        <v>55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90" t="s">
        <v>38</v>
      </c>
      <c r="N18" s="65">
        <f>M4+M9+M14</f>
        <v>621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90" t="s">
        <v>41</v>
      </c>
      <c r="N19" s="65">
        <f>M5+M10+M15</f>
        <v>34</v>
      </c>
      <c r="O19" s="69">
        <v>1201</v>
      </c>
      <c r="P19" s="46" t="s">
        <v>225</v>
      </c>
      <c r="Q19" s="65" t="s">
        <v>226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90" t="s">
        <v>75</v>
      </c>
      <c r="N20" s="65">
        <f>M6+M11+M16</f>
        <v>73</v>
      </c>
      <c r="O20" s="77" t="s">
        <v>65</v>
      </c>
      <c r="P20" s="75">
        <v>60</v>
      </c>
      <c r="Q20" s="65">
        <v>3490</v>
      </c>
    </row>
    <row r="21" spans="1:20" ht="25.5" customHeight="1" x14ac:dyDescent="0.25">
      <c r="A21" s="16" t="s">
        <v>46</v>
      </c>
      <c r="B21" s="66">
        <v>206.24305555555554</v>
      </c>
      <c r="C21" s="66">
        <v>206.50694444444446</v>
      </c>
      <c r="D21" s="66">
        <f t="shared" ref="D21:D22" si="3">C21-B21</f>
        <v>0.26388888888891415</v>
      </c>
      <c r="E21" s="66">
        <v>206.60763888888889</v>
      </c>
      <c r="F21" s="66">
        <v>206.875</v>
      </c>
      <c r="G21" s="66">
        <f t="shared" ref="G21" si="4">F21-E21</f>
        <v>0.26736111111111427</v>
      </c>
      <c r="H21" s="66">
        <v>206.9375</v>
      </c>
      <c r="I21" s="66">
        <v>207.20833333333334</v>
      </c>
      <c r="J21" s="71">
        <f>I21-H21-K21</f>
        <v>0.27083333333334281</v>
      </c>
      <c r="K21" s="66"/>
      <c r="L21" s="73">
        <f>D21+G21+J21</f>
        <v>0.80208333333337123</v>
      </c>
      <c r="M21" s="90" t="s">
        <v>47</v>
      </c>
      <c r="N21" s="65">
        <f>M17+M12+M7</f>
        <v>81</v>
      </c>
      <c r="O21" s="78" t="s">
        <v>69</v>
      </c>
      <c r="P21" s="75">
        <v>219</v>
      </c>
      <c r="Q21" s="65">
        <v>5646</v>
      </c>
    </row>
    <row r="22" spans="1:20" ht="27" customHeight="1" x14ac:dyDescent="0.25">
      <c r="A22" s="16" t="s">
        <v>48</v>
      </c>
      <c r="B22" s="66">
        <v>206.25347222222223</v>
      </c>
      <c r="C22" s="66">
        <v>206.54166666666666</v>
      </c>
      <c r="D22" s="66">
        <f t="shared" si="3"/>
        <v>0.28819444444442865</v>
      </c>
      <c r="E22" s="66">
        <v>206.59027777777777</v>
      </c>
      <c r="F22" s="66">
        <v>206.875</v>
      </c>
      <c r="G22" s="66">
        <f t="shared" ref="G22" si="5">F22-E22</f>
        <v>0.28472222222222854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0.86458333333334281</v>
      </c>
      <c r="M22" s="49" t="s">
        <v>49</v>
      </c>
      <c r="N22" s="65">
        <v>36701</v>
      </c>
      <c r="O22" s="80" t="s">
        <v>66</v>
      </c>
      <c r="P22" s="75">
        <v>134</v>
      </c>
      <c r="Q22" s="65">
        <v>3483</v>
      </c>
    </row>
    <row r="23" spans="1:20" ht="27" customHeight="1" x14ac:dyDescent="0.25">
      <c r="A23" s="91" t="s">
        <v>50</v>
      </c>
      <c r="B23" s="66">
        <v>206.25</v>
      </c>
      <c r="C23" s="66">
        <v>206.54166666666666</v>
      </c>
      <c r="D23" s="66">
        <f t="shared" ref="D23" si="6">C23-B23</f>
        <v>0.29166666666665719</v>
      </c>
      <c r="E23" s="66">
        <v>206.58680555555554</v>
      </c>
      <c r="F23" s="66">
        <v>206.875</v>
      </c>
      <c r="G23" s="66">
        <f t="shared" ref="G23" si="7">F23-E23</f>
        <v>0.28819444444445708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0.87152777777779988</v>
      </c>
      <c r="M23" s="90" t="s">
        <v>64</v>
      </c>
      <c r="N23" s="85">
        <v>10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0.84375</v>
      </c>
      <c r="E24" s="68"/>
      <c r="F24" s="68"/>
      <c r="G24" s="66">
        <f>SUM(G21:G23)</f>
        <v>0.84027777777779988</v>
      </c>
      <c r="H24" s="68"/>
      <c r="I24" s="68"/>
      <c r="J24" s="71">
        <f>SUM(J21:J23)</f>
        <v>0.85416666666671404</v>
      </c>
      <c r="K24" s="75"/>
      <c r="L24" s="83">
        <f>SUM(L21:L23)</f>
        <v>2.5381944444445139</v>
      </c>
      <c r="M24" s="65" t="s">
        <v>78</v>
      </c>
      <c r="N24" s="65">
        <v>34384.35</v>
      </c>
      <c r="P24" s="79" t="s">
        <v>68</v>
      </c>
      <c r="Q24" s="43">
        <v>46135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5">
        <v>34384.35</v>
      </c>
      <c r="P25" s="90" t="s">
        <v>77</v>
      </c>
      <c r="Q25" s="87">
        <v>50126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43000</v>
      </c>
      <c r="P26" s="51" t="s">
        <v>87</v>
      </c>
      <c r="Q26" s="87">
        <v>49291.81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8">
        <f>N22/L27</f>
        <v>606.12716763005778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J21" sqref="J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259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26</v>
      </c>
      <c r="E4" s="22">
        <v>34</v>
      </c>
      <c r="F4" s="22">
        <v>40</v>
      </c>
      <c r="G4" s="22">
        <v>22</v>
      </c>
      <c r="H4" s="22">
        <v>28</v>
      </c>
      <c r="I4" s="22">
        <v>26</v>
      </c>
      <c r="J4" s="22">
        <v>28</v>
      </c>
      <c r="K4" s="22">
        <v>138</v>
      </c>
      <c r="L4" s="22">
        <v>60</v>
      </c>
      <c r="M4" s="93">
        <f>K4+L4</f>
        <v>198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2</v>
      </c>
      <c r="J5" s="22"/>
      <c r="K5" s="22">
        <v>5</v>
      </c>
      <c r="L5" s="22">
        <v>0</v>
      </c>
      <c r="M5" s="93">
        <f t="shared" ref="M5:M7" si="0">K5+L5</f>
        <v>5</v>
      </c>
      <c r="N5" s="104" t="s">
        <v>57</v>
      </c>
      <c r="O5" s="66"/>
      <c r="P5" s="66"/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>
        <v>2</v>
      </c>
      <c r="G6" s="22">
        <v>3</v>
      </c>
      <c r="H6" s="22"/>
      <c r="I6" s="22">
        <v>3</v>
      </c>
      <c r="J6" s="22">
        <v>2</v>
      </c>
      <c r="K6" s="22">
        <v>5</v>
      </c>
      <c r="L6" s="22">
        <v>5</v>
      </c>
      <c r="M6" s="93">
        <f t="shared" si="0"/>
        <v>10</v>
      </c>
      <c r="N6" s="104" t="s">
        <v>232</v>
      </c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>
        <v>4</v>
      </c>
      <c r="E7" s="22">
        <v>6</v>
      </c>
      <c r="F7" s="22">
        <v>12</v>
      </c>
      <c r="G7" s="22">
        <v>10</v>
      </c>
      <c r="H7" s="22">
        <v>20</v>
      </c>
      <c r="I7" s="22">
        <v>20</v>
      </c>
      <c r="J7" s="22">
        <v>20</v>
      </c>
      <c r="K7" s="22">
        <v>70</v>
      </c>
      <c r="L7" s="22">
        <v>18</v>
      </c>
      <c r="M7" s="93">
        <f t="shared" si="0"/>
        <v>88</v>
      </c>
      <c r="N7" s="104" t="s">
        <v>13</v>
      </c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5.75" customHeight="1" x14ac:dyDescent="0.25">
      <c r="A9" s="33"/>
      <c r="B9" s="34" t="s">
        <v>14</v>
      </c>
      <c r="C9" s="22"/>
      <c r="D9" s="22">
        <v>4</v>
      </c>
      <c r="E9" s="22">
        <v>7</v>
      </c>
      <c r="F9" s="22">
        <v>9</v>
      </c>
      <c r="G9" s="22">
        <v>18</v>
      </c>
      <c r="H9" s="22">
        <v>34</v>
      </c>
      <c r="I9" s="22">
        <v>36</v>
      </c>
      <c r="J9" s="22">
        <v>34</v>
      </c>
      <c r="K9" s="22">
        <v>105</v>
      </c>
      <c r="L9" s="22">
        <v>37</v>
      </c>
      <c r="M9" s="93">
        <f t="shared" ref="M9:M12" si="1">K9+L9</f>
        <v>142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261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57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6</v>
      </c>
      <c r="E12" s="22">
        <v>6</v>
      </c>
      <c r="F12" s="22">
        <v>8</v>
      </c>
      <c r="G12" s="22"/>
      <c r="H12" s="22">
        <v>1</v>
      </c>
      <c r="I12" s="22"/>
      <c r="J12" s="22"/>
      <c r="K12" s="22">
        <v>10</v>
      </c>
      <c r="L12" s="22">
        <v>11</v>
      </c>
      <c r="M12" s="93">
        <f t="shared" si="1"/>
        <v>21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241" t="s">
        <v>264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30</v>
      </c>
      <c r="E14" s="22">
        <v>34</v>
      </c>
      <c r="F14" s="22">
        <v>36</v>
      </c>
      <c r="G14" s="22">
        <v>20</v>
      </c>
      <c r="H14" s="22"/>
      <c r="I14" s="22"/>
      <c r="J14" s="22"/>
      <c r="K14" s="22">
        <v>135</v>
      </c>
      <c r="L14" s="22">
        <v>72</v>
      </c>
      <c r="M14" s="93">
        <f t="shared" ref="M14:M17" si="2">K14+L14</f>
        <v>207</v>
      </c>
      <c r="N14" s="103" t="s">
        <v>57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199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1</v>
      </c>
      <c r="F16" s="22">
        <v>2</v>
      </c>
      <c r="G16" s="22"/>
      <c r="H16" s="22"/>
      <c r="I16" s="22"/>
      <c r="J16" s="22"/>
      <c r="K16" s="22">
        <v>10</v>
      </c>
      <c r="L16" s="22">
        <v>5</v>
      </c>
      <c r="M16" s="93">
        <f t="shared" si="2"/>
        <v>15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5</v>
      </c>
      <c r="F17" s="22">
        <v>6</v>
      </c>
      <c r="G17" s="22"/>
      <c r="H17" s="22"/>
      <c r="I17" s="22"/>
      <c r="J17" s="22"/>
      <c r="K17" s="22">
        <v>13</v>
      </c>
      <c r="L17" s="22">
        <v>1</v>
      </c>
      <c r="M17" s="93">
        <f t="shared" si="2"/>
        <v>14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547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5</v>
      </c>
      <c r="O19" s="69">
        <v>1042.19</v>
      </c>
      <c r="P19" s="46" t="s">
        <v>196</v>
      </c>
      <c r="Q19" s="65" t="s">
        <v>262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25</v>
      </c>
      <c r="O20" s="77" t="s">
        <v>65</v>
      </c>
      <c r="P20" s="75">
        <v>60</v>
      </c>
      <c r="Q20" s="65">
        <v>4048.91</v>
      </c>
    </row>
    <row r="21" spans="1:20" ht="25.5" customHeight="1" x14ac:dyDescent="0.25">
      <c r="A21" s="16" t="s">
        <v>46</v>
      </c>
      <c r="B21" s="66">
        <v>206.26041666666666</v>
      </c>
      <c r="C21" s="66">
        <v>206.54166666666666</v>
      </c>
      <c r="D21" s="66">
        <f t="shared" ref="D21:D23" si="3">C21-B21</f>
        <v>0.28125</v>
      </c>
      <c r="E21" s="66">
        <v>206.61805555555554</v>
      </c>
      <c r="F21" s="66">
        <v>206.875</v>
      </c>
      <c r="G21" s="66">
        <f>F21-E21</f>
        <v>0.25694444444445708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0.82986111111114269</v>
      </c>
      <c r="M21" s="154" t="s">
        <v>47</v>
      </c>
      <c r="N21" s="65">
        <f>M17+M12+M7</f>
        <v>123</v>
      </c>
      <c r="O21" s="78" t="s">
        <v>69</v>
      </c>
      <c r="P21" s="75">
        <v>242</v>
      </c>
      <c r="Q21" s="65">
        <v>7165.44</v>
      </c>
    </row>
    <row r="22" spans="1:20" ht="27" customHeight="1" x14ac:dyDescent="0.25">
      <c r="A22" s="16" t="s">
        <v>48</v>
      </c>
      <c r="B22" s="66">
        <v>206.27430555555554</v>
      </c>
      <c r="C22" s="66">
        <v>206.54166666666666</v>
      </c>
      <c r="D22" s="66">
        <f t="shared" si="3"/>
        <v>0.26736111111111427</v>
      </c>
      <c r="E22" s="66">
        <v>206.59375</v>
      </c>
      <c r="F22" s="66">
        <v>206.875</v>
      </c>
      <c r="G22" s="66">
        <f>F22-E22</f>
        <v>0.28125</v>
      </c>
      <c r="H22" s="66">
        <v>206.98263888888889</v>
      </c>
      <c r="I22" s="66">
        <v>207.125</v>
      </c>
      <c r="J22" s="71">
        <f>I22-H22-K22</f>
        <v>0.14236111111111427</v>
      </c>
      <c r="K22" s="75"/>
      <c r="L22" s="73">
        <f>D22+G22+J22</f>
        <v>0.69097222222222854</v>
      </c>
      <c r="M22" s="49" t="s">
        <v>49</v>
      </c>
      <c r="N22" s="65">
        <v>29542.19</v>
      </c>
      <c r="O22" s="80" t="s">
        <v>66</v>
      </c>
      <c r="P22" s="75">
        <v>159</v>
      </c>
      <c r="Q22" s="65">
        <v>3879.02</v>
      </c>
    </row>
    <row r="23" spans="1:20" ht="27" customHeight="1" x14ac:dyDescent="0.25">
      <c r="A23" s="157" t="s">
        <v>50</v>
      </c>
      <c r="B23" s="66">
        <v>206.24305555555554</v>
      </c>
      <c r="C23" s="66">
        <v>206.41666666666666</v>
      </c>
      <c r="D23" s="66">
        <f t="shared" si="3"/>
        <v>0.17361111111111427</v>
      </c>
      <c r="E23" s="66">
        <v>206.59375</v>
      </c>
      <c r="F23" s="66">
        <v>206.875</v>
      </c>
      <c r="G23" s="66">
        <f>F23-E23</f>
        <v>0.28125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0.74652777777779988</v>
      </c>
      <c r="M23" s="154" t="s">
        <v>64</v>
      </c>
      <c r="N23" s="85">
        <v>8</v>
      </c>
      <c r="O23" s="86" t="s">
        <v>67</v>
      </c>
      <c r="P23" s="76">
        <v>0</v>
      </c>
      <c r="Q23" s="65">
        <v>0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0.72222222222222854</v>
      </c>
      <c r="E24" s="68"/>
      <c r="F24" s="68"/>
      <c r="G24" s="66">
        <f>SUM(G21:G23)</f>
        <v>0.81944444444445708</v>
      </c>
      <c r="H24" s="68"/>
      <c r="I24" s="68"/>
      <c r="J24" s="71">
        <f>SUM(J21:J23)</f>
        <v>0.7256944444444855</v>
      </c>
      <c r="K24" s="75"/>
      <c r="L24" s="83">
        <f>SUM(L21:L23)</f>
        <v>2.2673611111111711</v>
      </c>
      <c r="M24" s="65" t="s">
        <v>78</v>
      </c>
      <c r="N24" s="65">
        <v>29424.68</v>
      </c>
      <c r="P24" s="79" t="s">
        <v>68</v>
      </c>
      <c r="Q24" s="43">
        <v>37185.050000000003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 t="s">
        <v>13</v>
      </c>
      <c r="K25" s="75"/>
      <c r="L25" s="84"/>
      <c r="M25" s="84"/>
      <c r="N25" s="51" t="s">
        <v>79</v>
      </c>
      <c r="O25" s="69">
        <f>N24+Sheet9!O25</f>
        <v>310174.61</v>
      </c>
      <c r="P25" s="154" t="s">
        <v>77</v>
      </c>
      <c r="Q25" s="87">
        <v>41233.96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87</v>
      </c>
      <c r="Q26" s="69">
        <f>Q24+Sheet9!Q26</f>
        <v>266605.84000000003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54.15</v>
      </c>
      <c r="M27" s="55"/>
      <c r="N27" s="88">
        <f>N22/L27</f>
        <v>545.5621421975992</v>
      </c>
      <c r="O27" s="81" t="s">
        <v>13</v>
      </c>
      <c r="P27" s="69"/>
      <c r="Q27" s="65" t="s">
        <v>263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5" workbookViewId="0">
      <selection activeCell="J21" sqref="J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266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26</v>
      </c>
      <c r="E4" s="22">
        <v>38</v>
      </c>
      <c r="F4" s="22">
        <v>42</v>
      </c>
      <c r="G4" s="22">
        <v>17</v>
      </c>
      <c r="H4" s="22">
        <v>24</v>
      </c>
      <c r="I4" s="22">
        <v>30</v>
      </c>
      <c r="J4" s="22">
        <v>25</v>
      </c>
      <c r="K4" s="22">
        <v>145</v>
      </c>
      <c r="L4" s="22">
        <v>57</v>
      </c>
      <c r="M4" s="93">
        <f>K4+L4</f>
        <v>202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2</v>
      </c>
      <c r="F5" s="22">
        <v>2</v>
      </c>
      <c r="G5" s="22"/>
      <c r="H5" s="22">
        <v>3</v>
      </c>
      <c r="I5" s="22">
        <v>2</v>
      </c>
      <c r="J5" s="22">
        <v>2</v>
      </c>
      <c r="K5" s="22">
        <v>3</v>
      </c>
      <c r="L5" s="22">
        <v>8</v>
      </c>
      <c r="M5" s="93">
        <f t="shared" ref="M5:M7" si="0">K5+L5</f>
        <v>11</v>
      </c>
      <c r="N5" s="104" t="s">
        <v>57</v>
      </c>
      <c r="O5" s="66"/>
      <c r="P5" s="66"/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>
        <v>3</v>
      </c>
      <c r="J6" s="22">
        <v>2</v>
      </c>
      <c r="K6" s="22">
        <v>5</v>
      </c>
      <c r="L6" s="22">
        <v>0</v>
      </c>
      <c r="M6" s="93">
        <f t="shared" si="0"/>
        <v>5</v>
      </c>
      <c r="N6" s="104" t="s">
        <v>260</v>
      </c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/>
      <c r="E7" s="22">
        <v>3</v>
      </c>
      <c r="F7" s="22"/>
      <c r="G7" s="22">
        <v>4</v>
      </c>
      <c r="H7" s="22">
        <v>2</v>
      </c>
      <c r="I7" s="22">
        <v>2</v>
      </c>
      <c r="J7" s="22" t="s">
        <v>13</v>
      </c>
      <c r="K7" s="22">
        <v>11</v>
      </c>
      <c r="L7" s="22">
        <v>0</v>
      </c>
      <c r="M7" s="93">
        <f t="shared" si="0"/>
        <v>11</v>
      </c>
      <c r="N7" s="104" t="s">
        <v>57</v>
      </c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5.75" customHeight="1" x14ac:dyDescent="0.25">
      <c r="A9" s="33"/>
      <c r="B9" s="34" t="s">
        <v>14</v>
      </c>
      <c r="C9" s="22"/>
      <c r="D9" s="22">
        <v>20</v>
      </c>
      <c r="E9" s="22">
        <v>30</v>
      </c>
      <c r="F9" s="22">
        <v>30</v>
      </c>
      <c r="G9" s="22">
        <v>28</v>
      </c>
      <c r="H9" s="22">
        <v>32</v>
      </c>
      <c r="I9" s="22">
        <v>31</v>
      </c>
      <c r="J9" s="22">
        <v>32</v>
      </c>
      <c r="K9" s="22">
        <v>140</v>
      </c>
      <c r="L9" s="22">
        <v>63</v>
      </c>
      <c r="M9" s="93">
        <f t="shared" ref="M9:M12" si="1">K9+L9</f>
        <v>203</v>
      </c>
      <c r="N9" s="82" t="s">
        <v>232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200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10</v>
      </c>
      <c r="F11" s="22"/>
      <c r="G11" s="22"/>
      <c r="H11" s="22"/>
      <c r="I11" s="22"/>
      <c r="J11" s="22"/>
      <c r="K11" s="22">
        <v>10</v>
      </c>
      <c r="L11" s="22">
        <v>6</v>
      </c>
      <c r="M11" s="93">
        <f t="shared" si="1"/>
        <v>16</v>
      </c>
      <c r="N11" s="82" t="s">
        <v>57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>
        <v>2</v>
      </c>
      <c r="F12" s="22"/>
      <c r="G12" s="22"/>
      <c r="H12" s="22"/>
      <c r="I12" s="22"/>
      <c r="J12" s="22"/>
      <c r="K12" s="22">
        <v>4</v>
      </c>
      <c r="L12" s="22">
        <v>0</v>
      </c>
      <c r="M12" s="93">
        <f t="shared" si="1"/>
        <v>4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241" t="s">
        <v>265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24</v>
      </c>
      <c r="E14" s="22">
        <v>25</v>
      </c>
      <c r="F14" s="22">
        <v>28</v>
      </c>
      <c r="G14" s="22">
        <v>25</v>
      </c>
      <c r="H14" s="22">
        <v>23</v>
      </c>
      <c r="I14" s="22">
        <v>40</v>
      </c>
      <c r="J14" s="22">
        <v>50</v>
      </c>
      <c r="K14" s="22">
        <v>140</v>
      </c>
      <c r="L14" s="22">
        <v>83</v>
      </c>
      <c r="M14" s="93">
        <f t="shared" ref="M14:M17" si="2">K14+L14</f>
        <v>223</v>
      </c>
      <c r="N14" s="103" t="s">
        <v>57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232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2</v>
      </c>
      <c r="F16" s="22">
        <v>4</v>
      </c>
      <c r="G16" s="22">
        <v>2</v>
      </c>
      <c r="H16" s="22">
        <v>2</v>
      </c>
      <c r="I16" s="22">
        <v>2</v>
      </c>
      <c r="J16" s="22">
        <v>1</v>
      </c>
      <c r="K16" s="22">
        <v>10</v>
      </c>
      <c r="L16" s="22">
        <v>5</v>
      </c>
      <c r="M16" s="93">
        <f t="shared" si="2"/>
        <v>15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>
        <v>2</v>
      </c>
      <c r="F17" s="22">
        <v>2</v>
      </c>
      <c r="G17" s="22">
        <v>3</v>
      </c>
      <c r="H17" s="22">
        <v>2</v>
      </c>
      <c r="I17" s="22"/>
      <c r="J17" s="22"/>
      <c r="K17" s="22">
        <v>12</v>
      </c>
      <c r="L17" s="22">
        <v>0</v>
      </c>
      <c r="M17" s="93">
        <f t="shared" si="2"/>
        <v>12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628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11</v>
      </c>
      <c r="O19" s="69">
        <v>2250</v>
      </c>
      <c r="P19" s="46" t="s">
        <v>267</v>
      </c>
      <c r="Q19" s="65" t="s">
        <v>268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36</v>
      </c>
      <c r="O20" s="77" t="s">
        <v>65</v>
      </c>
      <c r="P20" s="75">
        <v>20</v>
      </c>
      <c r="Q20" s="65">
        <v>1383.72</v>
      </c>
    </row>
    <row r="21" spans="1:20" ht="25.5" customHeight="1" x14ac:dyDescent="0.25">
      <c r="A21" s="16" t="s">
        <v>46</v>
      </c>
      <c r="B21" s="66">
        <v>206.26041666666666</v>
      </c>
      <c r="C21" s="66">
        <v>206.54166666666666</v>
      </c>
      <c r="D21" s="66">
        <f t="shared" ref="D21:D23" si="3">C21-B21</f>
        <v>0.28125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0.86458333333334281</v>
      </c>
      <c r="M21" s="154" t="s">
        <v>47</v>
      </c>
      <c r="N21" s="65">
        <f>M17+M12+M7</f>
        <v>27</v>
      </c>
      <c r="O21" s="78" t="s">
        <v>69</v>
      </c>
      <c r="P21" s="75">
        <v>163</v>
      </c>
      <c r="Q21" s="65">
        <v>4711.05</v>
      </c>
    </row>
    <row r="22" spans="1:20" ht="27" customHeight="1" x14ac:dyDescent="0.25">
      <c r="A22" s="16" t="s">
        <v>48</v>
      </c>
      <c r="B22" s="66">
        <v>206.27430555555554</v>
      </c>
      <c r="C22" s="66">
        <v>206.54166666666666</v>
      </c>
      <c r="D22" s="66">
        <f t="shared" si="3"/>
        <v>0.26736111111111427</v>
      </c>
      <c r="E22" s="66">
        <v>206.58333333333334</v>
      </c>
      <c r="F22" s="66">
        <v>206.875</v>
      </c>
      <c r="G22" s="66">
        <f>F22-E22</f>
        <v>0.29166666666665719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0.85069444444445708</v>
      </c>
      <c r="M22" s="49" t="s">
        <v>49</v>
      </c>
      <c r="N22" s="65">
        <v>35096</v>
      </c>
      <c r="O22" s="80" t="s">
        <v>66</v>
      </c>
      <c r="P22" s="75">
        <v>38</v>
      </c>
      <c r="Q22" s="65">
        <v>911.05</v>
      </c>
    </row>
    <row r="23" spans="1:20" ht="27" customHeight="1" x14ac:dyDescent="0.25">
      <c r="A23" s="157" t="s">
        <v>50</v>
      </c>
      <c r="B23" s="66">
        <v>206.27430555555554</v>
      </c>
      <c r="C23" s="66">
        <v>206.54166666666666</v>
      </c>
      <c r="D23" s="66">
        <f t="shared" si="3"/>
        <v>0.26736111111111427</v>
      </c>
      <c r="E23" s="66">
        <v>206.58333333333334</v>
      </c>
      <c r="F23" s="66">
        <v>206.875</v>
      </c>
      <c r="G23" s="66">
        <f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0.85069444444445708</v>
      </c>
      <c r="M23" s="154" t="s">
        <v>64</v>
      </c>
      <c r="N23" s="85">
        <v>8</v>
      </c>
      <c r="O23" s="86" t="s">
        <v>67</v>
      </c>
      <c r="P23" s="76">
        <v>0</v>
      </c>
      <c r="Q23" s="65">
        <v>0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0.81597222222222854</v>
      </c>
      <c r="E24" s="68"/>
      <c r="F24" s="68"/>
      <c r="G24" s="66">
        <f>SUM(G21:G23)</f>
        <v>0.87499999999997158</v>
      </c>
      <c r="H24" s="68"/>
      <c r="I24" s="68"/>
      <c r="J24" s="71">
        <f>SUM(J21:J23)</f>
        <v>0.87500000000005684</v>
      </c>
      <c r="K24" s="75"/>
      <c r="L24" s="83">
        <f>SUM(L21:L23)</f>
        <v>2.565972222222257</v>
      </c>
      <c r="M24" s="65" t="s">
        <v>78</v>
      </c>
      <c r="N24" s="65">
        <v>33484.269999999997</v>
      </c>
      <c r="P24" s="79" t="s">
        <v>68</v>
      </c>
      <c r="Q24" s="43">
        <v>36111.35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 t="s">
        <v>13</v>
      </c>
      <c r="K25" s="75"/>
      <c r="L25" s="84"/>
      <c r="M25" s="84"/>
      <c r="N25" s="51" t="s">
        <v>79</v>
      </c>
      <c r="O25" s="69">
        <v>223558.83</v>
      </c>
      <c r="P25" s="154" t="s">
        <v>77</v>
      </c>
      <c r="Q25" s="87">
        <v>37495.07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87</v>
      </c>
      <c r="Q26" s="69">
        <f>Q24+Sheet9!Q26</f>
        <v>265532.14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61.35</v>
      </c>
      <c r="M27" s="55"/>
      <c r="N27" s="88">
        <f>N22/L27</f>
        <v>572.06193969030153</v>
      </c>
      <c r="O27" s="81" t="s">
        <v>13</v>
      </c>
      <c r="P27" s="69"/>
      <c r="Q27" s="65" t="s">
        <v>269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2" workbookViewId="0">
      <selection activeCell="J21" sqref="J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270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40</v>
      </c>
      <c r="E4" s="22">
        <v>41</v>
      </c>
      <c r="F4" s="22">
        <v>44</v>
      </c>
      <c r="G4" s="22">
        <v>26</v>
      </c>
      <c r="H4" s="22">
        <v>25</v>
      </c>
      <c r="I4" s="22">
        <v>28</v>
      </c>
      <c r="J4" s="22">
        <v>26</v>
      </c>
      <c r="K4" s="22">
        <v>170</v>
      </c>
      <c r="L4" s="22">
        <v>60</v>
      </c>
      <c r="M4" s="93">
        <f>K4+L4</f>
        <v>230</v>
      </c>
      <c r="N4" s="104"/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/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/>
      <c r="O6" s="96"/>
      <c r="P6" s="65"/>
      <c r="Q6" s="301" t="s">
        <v>13</v>
      </c>
    </row>
    <row r="7" spans="1:17" ht="15" customHeight="1" x14ac:dyDescent="0.25">
      <c r="A7" s="25"/>
      <c r="B7" s="21" t="s">
        <v>19</v>
      </c>
      <c r="C7" s="22"/>
      <c r="D7" s="22">
        <v>7</v>
      </c>
      <c r="E7" s="22">
        <v>6</v>
      </c>
      <c r="F7" s="22">
        <v>6</v>
      </c>
      <c r="G7" s="22">
        <v>1</v>
      </c>
      <c r="H7" s="22">
        <v>7</v>
      </c>
      <c r="I7" s="22">
        <v>8</v>
      </c>
      <c r="J7" s="22">
        <v>6</v>
      </c>
      <c r="K7" s="22">
        <v>23</v>
      </c>
      <c r="L7" s="22">
        <v>21</v>
      </c>
      <c r="M7" s="93">
        <f t="shared" si="0"/>
        <v>44</v>
      </c>
      <c r="N7" s="104"/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5" customHeight="1" x14ac:dyDescent="0.25">
      <c r="A9" s="33"/>
      <c r="B9" s="34" t="s">
        <v>14</v>
      </c>
      <c r="C9" s="22"/>
      <c r="D9" s="22">
        <v>26</v>
      </c>
      <c r="E9" s="22">
        <v>30</v>
      </c>
      <c r="F9" s="22">
        <v>20</v>
      </c>
      <c r="G9" s="22">
        <v>14</v>
      </c>
      <c r="H9" s="22">
        <v>35</v>
      </c>
      <c r="I9" s="22">
        <v>35</v>
      </c>
      <c r="J9" s="22">
        <v>25</v>
      </c>
      <c r="K9" s="22">
        <v>113</v>
      </c>
      <c r="L9" s="22">
        <v>72</v>
      </c>
      <c r="M9" s="93">
        <f t="shared" ref="M9:M12" si="1">K9+L9</f>
        <v>185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/>
      <c r="O10" s="303" t="s">
        <v>164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>
        <v>5</v>
      </c>
      <c r="J11" s="22">
        <v>5</v>
      </c>
      <c r="K11" s="22">
        <v>5</v>
      </c>
      <c r="L11" s="22">
        <v>5</v>
      </c>
      <c r="M11" s="93">
        <f t="shared" si="1"/>
        <v>10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13</v>
      </c>
      <c r="E12" s="22">
        <v>14</v>
      </c>
      <c r="F12" s="22">
        <v>8</v>
      </c>
      <c r="G12" s="22">
        <v>10</v>
      </c>
      <c r="H12" s="22">
        <v>1</v>
      </c>
      <c r="I12" s="22"/>
      <c r="J12" s="22"/>
      <c r="K12" s="22">
        <v>36</v>
      </c>
      <c r="L12" s="22">
        <v>10</v>
      </c>
      <c r="M12" s="93">
        <f t="shared" si="1"/>
        <v>46</v>
      </c>
      <c r="N12" s="82"/>
      <c r="O12" s="82"/>
      <c r="P12" s="82"/>
      <c r="Q12" s="37"/>
    </row>
    <row r="13" spans="1:17" ht="30.7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242" t="s">
        <v>271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26</v>
      </c>
      <c r="E14" s="22">
        <v>27</v>
      </c>
      <c r="F14" s="22">
        <v>30</v>
      </c>
      <c r="G14" s="22">
        <v>27</v>
      </c>
      <c r="H14" s="22">
        <v>23</v>
      </c>
      <c r="I14" s="22">
        <v>21</v>
      </c>
      <c r="J14" s="22">
        <v>18</v>
      </c>
      <c r="K14" s="22">
        <v>156</v>
      </c>
      <c r="L14" s="22">
        <v>26</v>
      </c>
      <c r="M14" s="93">
        <f t="shared" ref="M14:M17" si="2">K14+L14</f>
        <v>182</v>
      </c>
      <c r="N14" s="22"/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>
        <v>3</v>
      </c>
      <c r="F15" s="22">
        <v>2</v>
      </c>
      <c r="G15" s="22"/>
      <c r="H15" s="22"/>
      <c r="I15" s="22"/>
      <c r="J15" s="22"/>
      <c r="K15" s="22">
        <v>5</v>
      </c>
      <c r="L15" s="22">
        <v>0</v>
      </c>
      <c r="M15" s="93">
        <f t="shared" si="2"/>
        <v>5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3</v>
      </c>
      <c r="F16" s="22">
        <v>4</v>
      </c>
      <c r="G16" s="22">
        <v>2</v>
      </c>
      <c r="H16" s="22">
        <v>4</v>
      </c>
      <c r="I16" s="22">
        <v>2</v>
      </c>
      <c r="J16" s="22"/>
      <c r="K16" s="22">
        <v>5</v>
      </c>
      <c r="L16" s="22">
        <v>10</v>
      </c>
      <c r="M16" s="93">
        <f t="shared" si="2"/>
        <v>15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25</v>
      </c>
      <c r="E17" s="22">
        <v>11</v>
      </c>
      <c r="F17" s="22">
        <v>13</v>
      </c>
      <c r="G17" s="22">
        <v>12</v>
      </c>
      <c r="H17" s="22">
        <v>5</v>
      </c>
      <c r="I17" s="22">
        <v>2</v>
      </c>
      <c r="J17" s="22">
        <v>7</v>
      </c>
      <c r="K17" s="22">
        <v>75</v>
      </c>
      <c r="L17" s="22">
        <v>0</v>
      </c>
      <c r="M17" s="93">
        <f t="shared" si="2"/>
        <v>75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597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5</v>
      </c>
      <c r="O19" s="69">
        <v>968.56</v>
      </c>
      <c r="P19" s="46" t="s">
        <v>244</v>
      </c>
      <c r="Q19" s="65" t="s">
        <v>272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25</v>
      </c>
      <c r="O20" s="77" t="s">
        <v>65</v>
      </c>
      <c r="P20" s="75">
        <v>39</v>
      </c>
      <c r="Q20" s="65">
        <v>2683.97</v>
      </c>
    </row>
    <row r="21" spans="1:20" ht="25.5" customHeight="1" x14ac:dyDescent="0.25">
      <c r="A21" s="16" t="s">
        <v>46</v>
      </c>
      <c r="B21" s="66">
        <v>206.25</v>
      </c>
      <c r="C21" s="66">
        <v>206.49305555555554</v>
      </c>
      <c r="D21" s="66">
        <f t="shared" ref="D21" si="3">C21-B21</f>
        <v>0.24305555555554292</v>
      </c>
      <c r="E21" s="66">
        <v>206.625</v>
      </c>
      <c r="F21" s="66">
        <v>206.875</v>
      </c>
      <c r="G21" s="66">
        <f t="shared" ref="G21" si="4">F21-E21</f>
        <v>0.25</v>
      </c>
      <c r="H21" s="66">
        <v>206.95833333333334</v>
      </c>
      <c r="I21" s="66">
        <v>207.16666666666666</v>
      </c>
      <c r="J21" s="71">
        <f>I21-H21-K21</f>
        <v>0.20833333333331439</v>
      </c>
      <c r="K21" s="66"/>
      <c r="L21" s="73">
        <f>D21+G21+J21</f>
        <v>0.70138888888885731</v>
      </c>
      <c r="M21" s="154" t="s">
        <v>47</v>
      </c>
      <c r="N21" s="65">
        <f>M17+M12+M7</f>
        <v>165</v>
      </c>
      <c r="O21" s="78" t="s">
        <v>69</v>
      </c>
      <c r="P21" s="75">
        <v>285</v>
      </c>
      <c r="Q21" s="65">
        <v>2030.27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ref="D22" si="5">C22-B22</f>
        <v>0.29861111111111427</v>
      </c>
      <c r="E22" s="66">
        <v>206.625</v>
      </c>
      <c r="F22" s="66">
        <v>206.875</v>
      </c>
      <c r="G22" s="66">
        <f t="shared" ref="G22" si="6">F22-E22</f>
        <v>0.25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0.84027777777779988</v>
      </c>
      <c r="M22" s="49" t="s">
        <v>49</v>
      </c>
      <c r="N22" s="65">
        <v>32218.560000000001</v>
      </c>
      <c r="O22" s="80" t="s">
        <v>66</v>
      </c>
      <c r="P22" s="75">
        <v>85</v>
      </c>
      <c r="Q22" s="65">
        <v>2030.5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ref="D23" si="7">C23-B23</f>
        <v>0.27083333333331439</v>
      </c>
      <c r="E23" s="66">
        <v>206.58333333333334</v>
      </c>
      <c r="F23" s="66">
        <v>206.875</v>
      </c>
      <c r="G23" s="66">
        <f t="shared" ref="G23" si="8">F23-E23</f>
        <v>0.29166666666665719</v>
      </c>
      <c r="H23" s="66">
        <v>206.95833333333334</v>
      </c>
      <c r="I23" s="66">
        <v>207.20833333333334</v>
      </c>
      <c r="J23" s="71">
        <f>I23-H23-K23</f>
        <v>0.25</v>
      </c>
      <c r="K23" s="155"/>
      <c r="L23" s="156">
        <f>D23+G23+J23</f>
        <v>0.81249999999997158</v>
      </c>
      <c r="M23" s="154" t="s">
        <v>64</v>
      </c>
      <c r="N23" s="85">
        <v>8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0.81249999999997158</v>
      </c>
      <c r="E24" s="68"/>
      <c r="F24" s="68"/>
      <c r="G24" s="66">
        <f>SUM(G21:G23)</f>
        <v>0.79166666666665719</v>
      </c>
      <c r="H24" s="68"/>
      <c r="I24" s="68"/>
      <c r="J24" s="71">
        <f>SUM(J21:J23)</f>
        <v>0.75</v>
      </c>
      <c r="K24" s="75"/>
      <c r="L24" s="83">
        <f>SUM(L21:L23)</f>
        <v>2.3541666666666288</v>
      </c>
      <c r="M24" s="65" t="s">
        <v>78</v>
      </c>
      <c r="N24" s="65">
        <v>30044.47</v>
      </c>
      <c r="P24" s="79" t="s">
        <v>68</v>
      </c>
      <c r="Q24" s="43">
        <v>35343.61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v>353603.3</v>
      </c>
      <c r="P25" s="154" t="s">
        <v>77</v>
      </c>
      <c r="Q25" s="87">
        <v>38027.58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43000</v>
      </c>
      <c r="P26" s="51" t="s">
        <v>87</v>
      </c>
      <c r="Q26" s="69">
        <f>Q24+Sheet11!Q26</f>
        <v>300875.75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56.3</v>
      </c>
      <c r="M27" s="55"/>
      <c r="N27" s="88">
        <f>N22/L27</f>
        <v>572.26571936056848</v>
      </c>
      <c r="O27" s="81" t="s">
        <v>74</v>
      </c>
      <c r="P27" s="69"/>
      <c r="Q27" s="65" t="s">
        <v>273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F22" sqref="F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274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28</v>
      </c>
      <c r="E4" s="22">
        <v>30</v>
      </c>
      <c r="F4" s="22">
        <v>30</v>
      </c>
      <c r="G4" s="22">
        <v>6</v>
      </c>
      <c r="H4" s="22">
        <v>15</v>
      </c>
      <c r="I4" s="22">
        <v>20</v>
      </c>
      <c r="J4" s="22">
        <v>19</v>
      </c>
      <c r="K4" s="22">
        <v>78</v>
      </c>
      <c r="L4" s="22">
        <v>70</v>
      </c>
      <c r="M4" s="93">
        <f t="shared" ref="M4" si="0">K4+L4</f>
        <v>148</v>
      </c>
      <c r="N4" s="104"/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54</v>
      </c>
      <c r="L5" s="22">
        <v>0</v>
      </c>
      <c r="M5" s="93">
        <f t="shared" ref="M5:M7" si="1">K5+L5</f>
        <v>54</v>
      </c>
      <c r="N5" s="104"/>
      <c r="O5" s="66" t="s">
        <v>275</v>
      </c>
      <c r="P5" s="66" t="s">
        <v>276</v>
      </c>
      <c r="Q5" s="243" t="s">
        <v>280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1"/>
        <v>0</v>
      </c>
      <c r="N6" s="104"/>
      <c r="O6" s="96"/>
      <c r="P6" s="65"/>
      <c r="Q6" s="312" t="s">
        <v>277</v>
      </c>
    </row>
    <row r="7" spans="1:17" ht="15" customHeight="1" x14ac:dyDescent="0.25">
      <c r="A7" s="25"/>
      <c r="B7" s="21" t="s">
        <v>19</v>
      </c>
      <c r="C7" s="22"/>
      <c r="D7" s="22">
        <v>7</v>
      </c>
      <c r="E7" s="22">
        <v>6</v>
      </c>
      <c r="F7" s="22">
        <v>4</v>
      </c>
      <c r="G7" s="22">
        <v>6</v>
      </c>
      <c r="H7" s="22">
        <v>11</v>
      </c>
      <c r="I7" s="22">
        <v>10</v>
      </c>
      <c r="J7" s="22">
        <v>10</v>
      </c>
      <c r="K7" s="22">
        <v>45</v>
      </c>
      <c r="L7" s="22">
        <v>9</v>
      </c>
      <c r="M7" s="93">
        <f t="shared" si="1"/>
        <v>54</v>
      </c>
      <c r="N7" s="104"/>
      <c r="O7" s="97"/>
      <c r="P7" s="65"/>
      <c r="Q7" s="313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2.75" customHeight="1" x14ac:dyDescent="0.25">
      <c r="A9" s="33"/>
      <c r="B9" s="34" t="s">
        <v>14</v>
      </c>
      <c r="C9" s="22"/>
      <c r="D9" s="22">
        <v>20</v>
      </c>
      <c r="E9" s="22">
        <v>30</v>
      </c>
      <c r="F9" s="22">
        <v>25</v>
      </c>
      <c r="G9" s="22">
        <v>12</v>
      </c>
      <c r="H9" s="22"/>
      <c r="I9" s="22"/>
      <c r="J9" s="22"/>
      <c r="K9" s="22">
        <v>165</v>
      </c>
      <c r="L9" s="22">
        <v>0</v>
      </c>
      <c r="M9" s="93">
        <f t="shared" ref="M9:M12" si="2">K9+L9</f>
        <v>165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2"/>
        <v>0</v>
      </c>
      <c r="N10" s="82"/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2"/>
        <v>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6</v>
      </c>
      <c r="F12" s="22">
        <v>5</v>
      </c>
      <c r="G12" s="22">
        <v>10</v>
      </c>
      <c r="H12" s="22"/>
      <c r="I12" s="22"/>
      <c r="J12" s="22"/>
      <c r="K12" s="22">
        <v>38</v>
      </c>
      <c r="L12" s="22">
        <v>0</v>
      </c>
      <c r="M12" s="93">
        <f t="shared" si="2"/>
        <v>38</v>
      </c>
      <c r="N12" s="82"/>
      <c r="O12" s="82"/>
      <c r="P12" s="82"/>
      <c r="Q12" s="37"/>
    </row>
    <row r="13" spans="1:17" ht="34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29</v>
      </c>
      <c r="E14" s="22">
        <v>29</v>
      </c>
      <c r="F14" s="22"/>
      <c r="G14" s="22"/>
      <c r="H14" s="22"/>
      <c r="I14" s="22"/>
      <c r="J14" s="22"/>
      <c r="K14" s="22">
        <v>183</v>
      </c>
      <c r="L14" s="22">
        <v>0</v>
      </c>
      <c r="M14" s="93">
        <f t="shared" ref="M14:M17" si="3">K14+L14</f>
        <v>183</v>
      </c>
      <c r="N14" s="103"/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3"/>
        <v>0</v>
      </c>
      <c r="N15" s="103" t="s">
        <v>13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3"/>
        <v>0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34</v>
      </c>
      <c r="E17" s="22">
        <v>20</v>
      </c>
      <c r="F17" s="22"/>
      <c r="G17" s="22"/>
      <c r="H17" s="22"/>
      <c r="I17" s="22"/>
      <c r="J17" s="22"/>
      <c r="K17" s="22">
        <v>85</v>
      </c>
      <c r="L17" s="22">
        <v>0</v>
      </c>
      <c r="M17" s="93">
        <f t="shared" si="3"/>
        <v>85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496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54</v>
      </c>
      <c r="O19" s="69">
        <v>1307.03</v>
      </c>
      <c r="P19" s="46" t="s">
        <v>244</v>
      </c>
      <c r="Q19" s="65" t="s">
        <v>278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0</v>
      </c>
      <c r="O20" s="77" t="s">
        <v>65</v>
      </c>
      <c r="P20" s="75">
        <v>40</v>
      </c>
      <c r="Q20" s="65">
        <v>2693.75</v>
      </c>
    </row>
    <row r="21" spans="1:20" ht="25.5" customHeight="1" x14ac:dyDescent="0.25">
      <c r="A21" s="16" t="s">
        <v>46</v>
      </c>
      <c r="B21" s="66">
        <v>206.25</v>
      </c>
      <c r="C21" s="66">
        <v>206.29861111111111</v>
      </c>
      <c r="D21" s="66">
        <f t="shared" ref="D21:D23" si="4">C21-B21</f>
        <v>4.8611111111114269E-2</v>
      </c>
      <c r="E21" s="66">
        <v>206.59375</v>
      </c>
      <c r="F21" s="66">
        <v>206.71875</v>
      </c>
      <c r="G21" s="66">
        <f>F21-E21</f>
        <v>0.125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0.47222222222222854</v>
      </c>
      <c r="M21" s="154" t="s">
        <v>47</v>
      </c>
      <c r="N21" s="65">
        <f>M17+M12+M7</f>
        <v>177</v>
      </c>
      <c r="O21" s="78" t="s">
        <v>69</v>
      </c>
      <c r="P21" s="75">
        <v>209</v>
      </c>
      <c r="Q21" s="65">
        <v>6137.51</v>
      </c>
    </row>
    <row r="22" spans="1:20" ht="27" customHeight="1" x14ac:dyDescent="0.25">
      <c r="A22" s="16" t="s">
        <v>48</v>
      </c>
      <c r="B22" s="66">
        <v>206.25347222222223</v>
      </c>
      <c r="C22" s="66">
        <v>206.54166666666666</v>
      </c>
      <c r="D22" s="66">
        <f t="shared" si="4"/>
        <v>0.28819444444442865</v>
      </c>
      <c r="E22" s="66">
        <v>206.625</v>
      </c>
      <c r="F22" s="66">
        <v>206.875</v>
      </c>
      <c r="G22" s="66">
        <f>F22-E22</f>
        <v>0.25</v>
      </c>
      <c r="H22" s="66">
        <v>206.97916666666666</v>
      </c>
      <c r="I22" s="66">
        <v>207.15277777777777</v>
      </c>
      <c r="J22" s="71">
        <f>I22-H22-K22</f>
        <v>0.17361111111111427</v>
      </c>
      <c r="K22" s="75"/>
      <c r="L22" s="73">
        <f>D22+G22+J22</f>
        <v>0.71180555555554292</v>
      </c>
      <c r="M22" s="49" t="s">
        <v>49</v>
      </c>
      <c r="N22" s="65">
        <v>26457.03</v>
      </c>
      <c r="O22" s="80" t="s">
        <v>66</v>
      </c>
      <c r="P22" s="75">
        <v>102</v>
      </c>
      <c r="Q22" s="65">
        <v>2408.02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si="4"/>
        <v>0.25</v>
      </c>
      <c r="E23" s="66">
        <v>206.59722222222223</v>
      </c>
      <c r="F23" s="66">
        <v>206.875</v>
      </c>
      <c r="G23" s="66">
        <f t="shared" ref="G23" si="5">F23-E23</f>
        <v>0.27777777777777146</v>
      </c>
      <c r="H23" s="66">
        <v>206.91319444444446</v>
      </c>
      <c r="I23" s="66">
        <v>207.20833333333334</v>
      </c>
      <c r="J23" s="71">
        <f>I23-H23-K23</f>
        <v>0.29513888888888573</v>
      </c>
      <c r="K23" s="155"/>
      <c r="L23" s="156">
        <f>D23+G23+J23</f>
        <v>0.82291666666665719</v>
      </c>
      <c r="M23" s="154" t="s">
        <v>64</v>
      </c>
      <c r="N23" s="85">
        <v>6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0.58680555555554292</v>
      </c>
      <c r="E24" s="68"/>
      <c r="F24" s="68"/>
      <c r="G24" s="66">
        <f>SUM(G21:G23)</f>
        <v>0.65277777777777146</v>
      </c>
      <c r="H24" s="68"/>
      <c r="I24" s="68"/>
      <c r="J24" s="71">
        <f>SUM(J21:J23)</f>
        <v>0.76736111111111427</v>
      </c>
      <c r="K24" s="75"/>
      <c r="L24" s="55">
        <v>48.1</v>
      </c>
      <c r="M24" s="65" t="s">
        <v>78</v>
      </c>
      <c r="N24" s="65">
        <v>22138.86</v>
      </c>
      <c r="P24" s="79" t="s">
        <v>68</v>
      </c>
      <c r="Q24" s="43">
        <v>27324.33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N24+Sheet12!O25</f>
        <v>375742.16</v>
      </c>
      <c r="P25" s="154" t="s">
        <v>77</v>
      </c>
      <c r="Q25" s="87">
        <v>30018.080000000002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87</v>
      </c>
      <c r="Q26" s="69">
        <f>Q24+Sheet12!Q26</f>
        <v>328200.08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48.1</v>
      </c>
      <c r="M27" s="55"/>
      <c r="N27" s="88">
        <f>N22/L27</f>
        <v>550.0422037422037</v>
      </c>
      <c r="O27" s="81" t="s">
        <v>74</v>
      </c>
      <c r="P27" s="69"/>
      <c r="Q27" s="65" t="s">
        <v>279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2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7109375" style="1" customWidth="1"/>
    <col min="16" max="16" width="13.42578125" style="1" customWidth="1"/>
    <col min="17" max="17" width="22.71093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281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22</v>
      </c>
      <c r="F4" s="22">
        <v>22</v>
      </c>
      <c r="G4" s="22">
        <v>10</v>
      </c>
      <c r="H4" s="22">
        <v>14</v>
      </c>
      <c r="I4" s="22">
        <v>15</v>
      </c>
      <c r="J4" s="22">
        <v>14</v>
      </c>
      <c r="K4" s="22">
        <v>62</v>
      </c>
      <c r="L4" s="22">
        <v>55</v>
      </c>
      <c r="M4" s="93">
        <f t="shared" ref="M4" si="0">K4+L4</f>
        <v>117</v>
      </c>
      <c r="N4" s="105" t="s">
        <v>282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1">K5+L5</f>
        <v>0</v>
      </c>
      <c r="N5" s="66" t="s">
        <v>57</v>
      </c>
      <c r="O5" s="66" t="s">
        <v>286</v>
      </c>
      <c r="P5" s="66" t="s">
        <v>285</v>
      </c>
      <c r="Q5" s="66" t="s">
        <v>288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3</v>
      </c>
      <c r="F6" s="22">
        <v>4</v>
      </c>
      <c r="G6" s="22">
        <v>3</v>
      </c>
      <c r="H6" s="22"/>
      <c r="I6" s="22"/>
      <c r="J6" s="22"/>
      <c r="K6" s="22">
        <v>10</v>
      </c>
      <c r="L6" s="22">
        <v>0</v>
      </c>
      <c r="M6" s="93">
        <f t="shared" si="1"/>
        <v>10</v>
      </c>
      <c r="N6" s="104" t="s">
        <v>57</v>
      </c>
      <c r="O6" s="96"/>
      <c r="P6" s="65"/>
      <c r="Q6" s="312" t="s">
        <v>287</v>
      </c>
    </row>
    <row r="7" spans="1:17" ht="15" customHeight="1" x14ac:dyDescent="0.25">
      <c r="A7" s="25"/>
      <c r="B7" s="21" t="s">
        <v>19</v>
      </c>
      <c r="C7" s="22"/>
      <c r="D7" s="22">
        <v>10</v>
      </c>
      <c r="E7" s="22">
        <v>10</v>
      </c>
      <c r="F7" s="22">
        <v>12</v>
      </c>
      <c r="G7" s="22">
        <v>2</v>
      </c>
      <c r="H7" s="22">
        <v>20</v>
      </c>
      <c r="I7" s="22">
        <v>21</v>
      </c>
      <c r="J7" s="22">
        <v>21</v>
      </c>
      <c r="K7" s="22">
        <v>80</v>
      </c>
      <c r="L7" s="22">
        <v>6</v>
      </c>
      <c r="M7" s="93">
        <f t="shared" si="1"/>
        <v>86</v>
      </c>
      <c r="N7" s="104" t="s">
        <v>260</v>
      </c>
      <c r="O7" s="97"/>
      <c r="P7" s="65"/>
      <c r="Q7" s="313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 t="s">
        <v>13</v>
      </c>
      <c r="Q8" s="183" t="s">
        <v>13</v>
      </c>
    </row>
    <row r="9" spans="1:17" ht="15.75" customHeight="1" x14ac:dyDescent="0.25">
      <c r="A9" s="33"/>
      <c r="B9" s="34" t="s">
        <v>14</v>
      </c>
      <c r="C9" s="22"/>
      <c r="D9" s="22">
        <v>32</v>
      </c>
      <c r="E9" s="22">
        <v>30</v>
      </c>
      <c r="F9" s="22">
        <v>28</v>
      </c>
      <c r="G9" s="22">
        <v>12</v>
      </c>
      <c r="H9" s="22">
        <v>38</v>
      </c>
      <c r="I9" s="22">
        <v>25</v>
      </c>
      <c r="J9" s="22">
        <v>10</v>
      </c>
      <c r="K9" s="22">
        <v>115</v>
      </c>
      <c r="L9" s="22">
        <v>60</v>
      </c>
      <c r="M9" s="93">
        <f t="shared" ref="M9:M12" si="2">K9+L9</f>
        <v>175</v>
      </c>
      <c r="N9" s="82" t="s">
        <v>57</v>
      </c>
      <c r="O9" s="99"/>
      <c r="P9" s="82"/>
      <c r="Q9" s="301" t="s">
        <v>13</v>
      </c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2"/>
        <v>0</v>
      </c>
      <c r="N10" s="82" t="s">
        <v>232</v>
      </c>
      <c r="O10" s="303" t="s">
        <v>165</v>
      </c>
      <c r="P10" s="304"/>
      <c r="Q10" s="302"/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>
        <v>3</v>
      </c>
      <c r="G11" s="22">
        <v>2</v>
      </c>
      <c r="H11" s="22"/>
      <c r="I11" s="22"/>
      <c r="J11" s="22"/>
      <c r="K11" s="22">
        <v>5</v>
      </c>
      <c r="L11" s="22">
        <v>0</v>
      </c>
      <c r="M11" s="93">
        <f t="shared" si="2"/>
        <v>5</v>
      </c>
      <c r="N11" s="82" t="s">
        <v>57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15</v>
      </c>
      <c r="E12" s="22">
        <v>12</v>
      </c>
      <c r="F12" s="22">
        <v>13</v>
      </c>
      <c r="G12" s="22">
        <v>14</v>
      </c>
      <c r="H12" s="22">
        <v>20</v>
      </c>
      <c r="I12" s="22">
        <v>6</v>
      </c>
      <c r="J12" s="22">
        <v>5</v>
      </c>
      <c r="K12" s="22">
        <v>80</v>
      </c>
      <c r="L12" s="22">
        <v>5</v>
      </c>
      <c r="M12" s="93">
        <f t="shared" si="2"/>
        <v>85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25</v>
      </c>
      <c r="E14" s="22">
        <v>35</v>
      </c>
      <c r="F14" s="22">
        <v>37</v>
      </c>
      <c r="G14" s="22">
        <v>33</v>
      </c>
      <c r="H14" s="22">
        <v>30</v>
      </c>
      <c r="I14" s="22">
        <v>32</v>
      </c>
      <c r="J14" s="22">
        <v>32</v>
      </c>
      <c r="K14" s="22">
        <v>149</v>
      </c>
      <c r="L14" s="22">
        <v>75</v>
      </c>
      <c r="M14" s="93">
        <f t="shared" ref="M14:M16" si="3">K14+L14</f>
        <v>224</v>
      </c>
      <c r="N14" s="103" t="s">
        <v>57</v>
      </c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>
        <v>5</v>
      </c>
      <c r="J15" s="22"/>
      <c r="K15" s="22">
        <v>5</v>
      </c>
      <c r="L15" s="22">
        <v>0</v>
      </c>
      <c r="M15" s="93">
        <f t="shared" si="3"/>
        <v>5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3</v>
      </c>
      <c r="F16" s="22">
        <v>3</v>
      </c>
      <c r="G16" s="22">
        <v>4</v>
      </c>
      <c r="H16" s="22">
        <v>5</v>
      </c>
      <c r="I16" s="22">
        <v>7</v>
      </c>
      <c r="J16" s="22">
        <v>6</v>
      </c>
      <c r="K16" s="22">
        <v>25</v>
      </c>
      <c r="L16" s="22">
        <v>5</v>
      </c>
      <c r="M16" s="93">
        <f t="shared" si="3"/>
        <v>30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>
        <v>3</v>
      </c>
      <c r="F17" s="22">
        <v>3</v>
      </c>
      <c r="G17" s="22">
        <v>4</v>
      </c>
      <c r="H17" s="22"/>
      <c r="I17" s="22"/>
      <c r="J17" s="22"/>
      <c r="K17" s="22">
        <v>0</v>
      </c>
      <c r="L17" s="22">
        <v>0</v>
      </c>
      <c r="M17" s="93">
        <v>12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516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5</v>
      </c>
      <c r="O19" s="69">
        <v>540.65</v>
      </c>
      <c r="P19" s="46" t="s">
        <v>244</v>
      </c>
      <c r="Q19" s="65" t="s">
        <v>283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45</v>
      </c>
      <c r="O20" s="77" t="s">
        <v>65</v>
      </c>
      <c r="P20" s="75">
        <v>40</v>
      </c>
      <c r="Q20" s="65">
        <v>2681.67</v>
      </c>
    </row>
    <row r="21" spans="1:20" ht="25.5" customHeight="1" x14ac:dyDescent="0.25">
      <c r="A21" s="16" t="s">
        <v>46</v>
      </c>
      <c r="B21" s="66">
        <v>206.32291666666666</v>
      </c>
      <c r="C21" s="66">
        <v>206.5</v>
      </c>
      <c r="D21" s="66">
        <f t="shared" ref="D21" si="4">C21-B21</f>
        <v>0.17708333333334281</v>
      </c>
      <c r="E21" s="66">
        <v>206.58333333333334</v>
      </c>
      <c r="F21" s="66">
        <v>206.875</v>
      </c>
      <c r="G21" s="66">
        <f t="shared" ref="G21" si="5">F21-E21</f>
        <v>0.29166666666665719</v>
      </c>
      <c r="H21" s="66">
        <v>206.92361111111111</v>
      </c>
      <c r="I21" s="66">
        <v>207.20833333333334</v>
      </c>
      <c r="J21" s="71">
        <f>I21-H21-K21</f>
        <v>0.28472222222222854</v>
      </c>
      <c r="K21" s="66">
        <v>0</v>
      </c>
      <c r="L21" s="73">
        <f>D21+G21+J21</f>
        <v>0.75347222222222854</v>
      </c>
      <c r="M21" s="154" t="s">
        <v>47</v>
      </c>
      <c r="N21" s="65">
        <f>M17+M12+M7</f>
        <v>183</v>
      </c>
      <c r="O21" s="78" t="s">
        <v>69</v>
      </c>
      <c r="P21" s="75">
        <v>197</v>
      </c>
      <c r="Q21" s="65">
        <v>5823.54</v>
      </c>
    </row>
    <row r="22" spans="1:20" ht="27" customHeight="1" x14ac:dyDescent="0.25">
      <c r="A22" s="16" t="s">
        <v>48</v>
      </c>
      <c r="B22" s="66">
        <v>206.25347222222223</v>
      </c>
      <c r="C22" s="66">
        <v>206.3125</v>
      </c>
      <c r="D22" s="66">
        <f t="shared" ref="D22" si="6">C22-B22</f>
        <v>5.9027777777771462E-2</v>
      </c>
      <c r="E22" s="66">
        <v>206.65972222222223</v>
      </c>
      <c r="F22" s="66">
        <v>206.875</v>
      </c>
      <c r="G22" s="66">
        <f t="shared" ref="G22:G23" si="7">F22-E22</f>
        <v>0.21527777777777146</v>
      </c>
      <c r="H22" s="66">
        <v>206.98611111111111</v>
      </c>
      <c r="I22" s="66">
        <v>207.20833333333334</v>
      </c>
      <c r="J22" s="71">
        <f>I22-H22-K22</f>
        <v>0.22222222222222854</v>
      </c>
      <c r="K22" s="75"/>
      <c r="L22" s="73">
        <f>D22+G22+J22</f>
        <v>0.49652777777777146</v>
      </c>
      <c r="M22" s="49" t="s">
        <v>49</v>
      </c>
      <c r="N22" s="65">
        <v>29590.65</v>
      </c>
      <c r="O22" s="80" t="s">
        <v>66</v>
      </c>
      <c r="P22" s="75">
        <v>79</v>
      </c>
      <c r="Q22" s="65">
        <v>1941.94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ref="D23" si="8">C23-B23</f>
        <v>0.25</v>
      </c>
      <c r="E23" s="66">
        <v>206.57638888888889</v>
      </c>
      <c r="F23" s="66">
        <v>206.875</v>
      </c>
      <c r="G23" s="66">
        <f t="shared" si="7"/>
        <v>0.29861111111111427</v>
      </c>
      <c r="H23" s="66">
        <v>206.9375</v>
      </c>
      <c r="I23" s="66">
        <v>207.20833333333334</v>
      </c>
      <c r="J23" s="71">
        <f>I23-H23-K23</f>
        <v>0.27083333333334281</v>
      </c>
      <c r="K23" s="155"/>
      <c r="L23" s="156">
        <f>D23+G23+J23</f>
        <v>0.81944444444445708</v>
      </c>
      <c r="M23" s="154" t="s">
        <v>64</v>
      </c>
      <c r="N23" s="85">
        <v>9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0.48611111111111427</v>
      </c>
      <c r="E24" s="68"/>
      <c r="F24" s="68"/>
      <c r="G24" s="66">
        <f>SUM(G21:G23)</f>
        <v>0.80555555555554292</v>
      </c>
      <c r="H24" s="68"/>
      <c r="I24" s="68"/>
      <c r="J24" s="71">
        <f>SUM(J21:J23)</f>
        <v>0.77777777777779988</v>
      </c>
      <c r="K24" s="75"/>
      <c r="L24" s="83">
        <f>SUM(L21:L23)</f>
        <v>2.0694444444444571</v>
      </c>
      <c r="M24" s="65" t="s">
        <v>78</v>
      </c>
      <c r="N24" s="65">
        <v>33361.54</v>
      </c>
      <c r="P24" s="79" t="s">
        <v>68</v>
      </c>
      <c r="Q24" s="43">
        <v>38723.78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v>409103.7</v>
      </c>
      <c r="P25" s="154" t="s">
        <v>77</v>
      </c>
      <c r="Q25" s="87">
        <v>41405.449999999997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87</v>
      </c>
      <c r="Q26" s="69">
        <f>Q24+Sheet13!Q26</f>
        <v>366923.86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49.4</v>
      </c>
      <c r="M27" s="55"/>
      <c r="N27" s="88">
        <f>N22/L27</f>
        <v>599.00101214574909</v>
      </c>
      <c r="O27" s="81" t="s">
        <v>74</v>
      </c>
      <c r="P27" s="69"/>
      <c r="Q27" s="65" t="s">
        <v>284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8">
    <mergeCell ref="Q9:Q10"/>
    <mergeCell ref="O3:P3"/>
    <mergeCell ref="O10:P10"/>
    <mergeCell ref="O18:P18"/>
    <mergeCell ref="B19:D19"/>
    <mergeCell ref="E19:G19"/>
    <mergeCell ref="H19:J19"/>
    <mergeCell ref="Q6:Q7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5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18.71093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289</v>
      </c>
    </row>
    <row r="3" spans="1:17" ht="27.7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21</v>
      </c>
      <c r="F4" s="22">
        <v>20</v>
      </c>
      <c r="G4" s="22">
        <v>24</v>
      </c>
      <c r="H4" s="22">
        <v>10</v>
      </c>
      <c r="I4" s="22">
        <v>12</v>
      </c>
      <c r="J4" s="22">
        <v>10</v>
      </c>
      <c r="K4" s="22">
        <v>117</v>
      </c>
      <c r="L4" s="22">
        <v>38</v>
      </c>
      <c r="M4" s="93">
        <f>K4+L4</f>
        <v>155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 t="s">
        <v>260</v>
      </c>
      <c r="O5" s="66" t="s">
        <v>291</v>
      </c>
      <c r="P5" s="66" t="s">
        <v>292</v>
      </c>
      <c r="Q5" s="66" t="s">
        <v>293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4</v>
      </c>
      <c r="F6" s="22">
        <v>3</v>
      </c>
      <c r="G6" s="22"/>
      <c r="H6" s="22"/>
      <c r="I6" s="22"/>
      <c r="J6" s="22"/>
      <c r="K6" s="22">
        <v>10</v>
      </c>
      <c r="L6" s="22">
        <v>0</v>
      </c>
      <c r="M6" s="93">
        <f t="shared" si="0"/>
        <v>10</v>
      </c>
      <c r="N6" s="104" t="s">
        <v>57</v>
      </c>
      <c r="O6" s="96"/>
      <c r="P6" s="65"/>
      <c r="Q6" s="309" t="s">
        <v>294</v>
      </c>
    </row>
    <row r="7" spans="1:17" ht="15" customHeight="1" x14ac:dyDescent="0.25">
      <c r="A7" s="25"/>
      <c r="B7" s="21" t="s">
        <v>19</v>
      </c>
      <c r="C7" s="22"/>
      <c r="D7" s="22">
        <v>8</v>
      </c>
      <c r="E7" s="22">
        <v>7</v>
      </c>
      <c r="F7" s="22">
        <v>6</v>
      </c>
      <c r="G7" s="22">
        <v>4</v>
      </c>
      <c r="H7" s="22"/>
      <c r="I7" s="22"/>
      <c r="J7" s="22"/>
      <c r="K7" s="22">
        <v>40</v>
      </c>
      <c r="L7" s="22">
        <v>0</v>
      </c>
      <c r="M7" s="93">
        <f t="shared" si="0"/>
        <v>40</v>
      </c>
      <c r="N7" s="104" t="s">
        <v>57</v>
      </c>
      <c r="O7" s="97"/>
      <c r="P7" s="65"/>
      <c r="Q7" s="310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4.25" customHeight="1" x14ac:dyDescent="0.25">
      <c r="A9" s="33"/>
      <c r="B9" s="34" t="s">
        <v>14</v>
      </c>
      <c r="C9" s="22"/>
      <c r="D9" s="22">
        <v>25</v>
      </c>
      <c r="E9" s="22">
        <v>30</v>
      </c>
      <c r="F9" s="22">
        <v>30</v>
      </c>
      <c r="G9" s="22">
        <v>20</v>
      </c>
      <c r="H9" s="22">
        <v>28</v>
      </c>
      <c r="I9" s="22">
        <v>32</v>
      </c>
      <c r="J9" s="22"/>
      <c r="K9" s="22">
        <v>125</v>
      </c>
      <c r="L9" s="22">
        <v>70</v>
      </c>
      <c r="M9" s="93">
        <f t="shared" ref="M9:M12" si="1">K9+L9</f>
        <v>195</v>
      </c>
      <c r="N9" s="82" t="s">
        <v>260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57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57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2</v>
      </c>
      <c r="F12" s="22">
        <v>3</v>
      </c>
      <c r="G12" s="22"/>
      <c r="H12" s="22"/>
      <c r="I12" s="22"/>
      <c r="J12" s="22"/>
      <c r="K12" s="22">
        <v>12</v>
      </c>
      <c r="L12" s="22">
        <v>0</v>
      </c>
      <c r="M12" s="93">
        <f t="shared" si="1"/>
        <v>12</v>
      </c>
      <c r="N12" s="82" t="s">
        <v>13</v>
      </c>
      <c r="O12" s="82"/>
      <c r="P12" s="82"/>
      <c r="Q12" s="37"/>
    </row>
    <row r="13" spans="1:17" ht="33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24</v>
      </c>
      <c r="E14" s="22">
        <v>22</v>
      </c>
      <c r="F14" s="22">
        <v>19</v>
      </c>
      <c r="G14" s="22">
        <v>25</v>
      </c>
      <c r="H14" s="22">
        <v>30</v>
      </c>
      <c r="I14" s="22">
        <v>26</v>
      </c>
      <c r="J14" s="22">
        <v>30</v>
      </c>
      <c r="K14" s="22">
        <v>154</v>
      </c>
      <c r="L14" s="22">
        <v>45</v>
      </c>
      <c r="M14" s="93">
        <f t="shared" ref="M14:M17" si="2">K14+L14</f>
        <v>199</v>
      </c>
      <c r="N14" s="103" t="s">
        <v>57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>
        <v>3</v>
      </c>
      <c r="I15" s="22">
        <v>3</v>
      </c>
      <c r="J15" s="22"/>
      <c r="K15" s="22">
        <v>62</v>
      </c>
      <c r="L15" s="22">
        <v>0</v>
      </c>
      <c r="M15" s="93">
        <f t="shared" si="2"/>
        <v>62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2"/>
        <v>0</v>
      </c>
      <c r="N16" s="103" t="s">
        <v>57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4</v>
      </c>
      <c r="F17" s="22">
        <v>3</v>
      </c>
      <c r="G17" s="22">
        <v>8</v>
      </c>
      <c r="H17" s="22">
        <v>5</v>
      </c>
      <c r="I17" s="22">
        <v>4</v>
      </c>
      <c r="J17" s="22"/>
      <c r="K17" s="22">
        <v>24</v>
      </c>
      <c r="L17" s="22">
        <v>0</v>
      </c>
      <c r="M17" s="93">
        <f t="shared" si="2"/>
        <v>24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549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62</v>
      </c>
      <c r="O19" s="69">
        <v>1495.26</v>
      </c>
      <c r="P19" s="46" t="s">
        <v>244</v>
      </c>
      <c r="Q19" s="65" t="s">
        <v>290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10</v>
      </c>
      <c r="O20" s="77" t="s">
        <v>65</v>
      </c>
      <c r="P20" s="75">
        <v>40</v>
      </c>
      <c r="Q20" s="65">
        <v>2684.03</v>
      </c>
    </row>
    <row r="21" spans="1:20" ht="25.5" customHeight="1" x14ac:dyDescent="0.25">
      <c r="A21" s="16" t="s">
        <v>46</v>
      </c>
      <c r="B21" s="66">
        <v>206.29166666666666</v>
      </c>
      <c r="C21" s="66">
        <v>206.47569444444446</v>
      </c>
      <c r="D21" s="66">
        <f t="shared" ref="D21" si="3">C21-B21</f>
        <v>0.18402777777779988</v>
      </c>
      <c r="E21" s="66">
        <v>206.58333333333334</v>
      </c>
      <c r="F21" s="66">
        <v>206.875</v>
      </c>
      <c r="G21" s="66">
        <f t="shared" ref="G21" si="4">F21-E21</f>
        <v>0.29166666666665719</v>
      </c>
      <c r="H21" s="66">
        <v>207.00694444444446</v>
      </c>
      <c r="I21" s="66">
        <v>207.20833333333334</v>
      </c>
      <c r="J21" s="71">
        <f>I21-H21-K21</f>
        <v>0.20138888888888573</v>
      </c>
      <c r="K21" s="66"/>
      <c r="L21" s="73">
        <f>D21+G21+J21</f>
        <v>0.67708333333334281</v>
      </c>
      <c r="M21" s="154" t="s">
        <v>47</v>
      </c>
      <c r="N21" s="65">
        <f>M17+M12+M7</f>
        <v>76</v>
      </c>
      <c r="O21" s="78" t="s">
        <v>69</v>
      </c>
      <c r="P21" s="75">
        <v>104</v>
      </c>
      <c r="Q21" s="65">
        <v>3051.63</v>
      </c>
    </row>
    <row r="22" spans="1:20" ht="27" customHeight="1" x14ac:dyDescent="0.25">
      <c r="A22" s="16" t="s">
        <v>48</v>
      </c>
      <c r="B22" s="66">
        <v>206.25347222222223</v>
      </c>
      <c r="C22" s="66">
        <v>206.54166666666666</v>
      </c>
      <c r="D22" s="66">
        <f t="shared" ref="D22" si="5">C22-B22</f>
        <v>0.28819444444442865</v>
      </c>
      <c r="E22" s="66">
        <v>206.57986111111111</v>
      </c>
      <c r="F22" s="66">
        <v>206.875</v>
      </c>
      <c r="G22" s="66">
        <f t="shared" ref="G22" si="6">F22-E22</f>
        <v>0.29513888888888573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0.88194444444442865</v>
      </c>
      <c r="M22" s="49" t="s">
        <v>49</v>
      </c>
      <c r="N22" s="65">
        <v>29445.26</v>
      </c>
      <c r="O22" s="80" t="s">
        <v>66</v>
      </c>
      <c r="P22" s="75">
        <v>81</v>
      </c>
      <c r="Q22" s="65">
        <v>1945.86</v>
      </c>
    </row>
    <row r="23" spans="1:20" ht="27" customHeight="1" x14ac:dyDescent="0.25">
      <c r="A23" s="157" t="s">
        <v>50</v>
      </c>
      <c r="B23" s="66">
        <v>206.375</v>
      </c>
      <c r="C23" s="66">
        <v>206.52083333333334</v>
      </c>
      <c r="D23" s="66">
        <f t="shared" ref="D23" si="7">C23-B23</f>
        <v>0.14583333333334281</v>
      </c>
      <c r="E23" s="66">
        <v>206.57986111111111</v>
      </c>
      <c r="F23" s="66">
        <v>206.875</v>
      </c>
      <c r="G23" s="66">
        <f t="shared" ref="G23" si="8">F23-E23</f>
        <v>0.29513888888888573</v>
      </c>
      <c r="H23" s="66">
        <v>206.91666666666666</v>
      </c>
      <c r="I23" s="66">
        <v>207.08333333333334</v>
      </c>
      <c r="J23" s="71">
        <f>I23-H23-K23</f>
        <v>0.16666666666668561</v>
      </c>
      <c r="K23" s="155"/>
      <c r="L23" s="156">
        <f>D23+G23+J23</f>
        <v>0.60763888888891415</v>
      </c>
      <c r="M23" s="154" t="s">
        <v>64</v>
      </c>
      <c r="N23" s="85">
        <v>10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0.61805555555557135</v>
      </c>
      <c r="E24" s="68"/>
      <c r="F24" s="68"/>
      <c r="G24" s="66">
        <f>SUM(G21:G23)</f>
        <v>0.88194444444442865</v>
      </c>
      <c r="H24" s="68"/>
      <c r="I24" s="68"/>
      <c r="J24" s="71">
        <f>SUM(J21:J23)</f>
        <v>0.66666666666668561</v>
      </c>
      <c r="K24" s="75"/>
      <c r="L24" s="83">
        <f>SUM(L21:L23)</f>
        <v>2.1666666666666856</v>
      </c>
      <c r="M24" s="65" t="s">
        <v>78</v>
      </c>
      <c r="N24" s="65">
        <v>36514.47</v>
      </c>
      <c r="P24" s="79" t="s">
        <v>68</v>
      </c>
      <c r="Q24" s="43">
        <v>41681.519999999997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N24+Sheet14!O25</f>
        <v>445618.17000000004</v>
      </c>
      <c r="P25" s="154" t="s">
        <v>77</v>
      </c>
      <c r="Q25" s="87">
        <v>44365.35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 t="s">
        <v>13</v>
      </c>
      <c r="P26" s="51" t="s">
        <v>87</v>
      </c>
      <c r="Q26" s="69">
        <f>Q24+Sheet14!Q26</f>
        <v>408605.38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</v>
      </c>
      <c r="M27" s="55"/>
      <c r="N27" s="88">
        <f>N22/L27</f>
        <v>566.255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0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9.28515625" style="1" customWidth="1"/>
    <col min="13" max="13" width="10.42578125" style="1" customWidth="1"/>
    <col min="14" max="14" width="10.140625" style="1" customWidth="1"/>
    <col min="15" max="15" width="11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295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10</v>
      </c>
      <c r="E4" s="22">
        <v>12</v>
      </c>
      <c r="F4" s="22">
        <v>12</v>
      </c>
      <c r="G4" s="22">
        <v>20</v>
      </c>
      <c r="H4" s="22">
        <v>30</v>
      </c>
      <c r="I4" s="22">
        <v>25</v>
      </c>
      <c r="J4" s="22">
        <v>21</v>
      </c>
      <c r="K4" s="22">
        <v>95</v>
      </c>
      <c r="L4" s="22">
        <v>36</v>
      </c>
      <c r="M4" s="93">
        <f>K4+L4</f>
        <v>131</v>
      </c>
      <c r="N4" s="104" t="s">
        <v>122</v>
      </c>
      <c r="O4" s="95" t="s">
        <v>88</v>
      </c>
      <c r="P4" s="105" t="s">
        <v>89</v>
      </c>
      <c r="Q4" s="33" t="s">
        <v>13</v>
      </c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" si="0">K5+L5</f>
        <v>0</v>
      </c>
      <c r="N5" s="104" t="s">
        <v>232</v>
      </c>
      <c r="O5" s="66" t="s">
        <v>13</v>
      </c>
      <c r="P5" s="66" t="s">
        <v>13</v>
      </c>
      <c r="Q5" s="33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5</v>
      </c>
      <c r="L6" s="22">
        <v>0</v>
      </c>
      <c r="M6" s="93">
        <f t="shared" ref="M6:M7" si="1">K6+L6</f>
        <v>5</v>
      </c>
      <c r="N6" s="104" t="s">
        <v>57</v>
      </c>
      <c r="O6" s="96" t="s">
        <v>13</v>
      </c>
      <c r="P6" s="65"/>
      <c r="Q6" s="66" t="s">
        <v>13</v>
      </c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105</v>
      </c>
      <c r="L7" s="22">
        <v>0</v>
      </c>
      <c r="M7" s="93">
        <f t="shared" si="1"/>
        <v>105</v>
      </c>
      <c r="N7" s="104" t="s">
        <v>260</v>
      </c>
      <c r="O7" s="97"/>
      <c r="P7" s="65"/>
      <c r="Q7" s="214" t="s">
        <v>13</v>
      </c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215"/>
    </row>
    <row r="9" spans="1:17" ht="15" customHeight="1" x14ac:dyDescent="0.25">
      <c r="A9" s="33"/>
      <c r="B9" s="34" t="s">
        <v>14</v>
      </c>
      <c r="C9" s="22"/>
      <c r="D9" s="22">
        <v>22</v>
      </c>
      <c r="E9" s="22">
        <v>28</v>
      </c>
      <c r="F9" s="22">
        <v>30</v>
      </c>
      <c r="G9" s="22">
        <v>20</v>
      </c>
      <c r="H9" s="22">
        <v>25</v>
      </c>
      <c r="I9" s="22">
        <v>20</v>
      </c>
      <c r="J9" s="22">
        <v>20</v>
      </c>
      <c r="K9" s="22">
        <v>93</v>
      </c>
      <c r="L9" s="22">
        <v>72</v>
      </c>
      <c r="M9" s="93">
        <f t="shared" ref="M9:M12" si="2">K9+L9</f>
        <v>165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2"/>
        <v>0</v>
      </c>
      <c r="N10" s="82" t="s">
        <v>57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10</v>
      </c>
      <c r="E11" s="22">
        <v>8</v>
      </c>
      <c r="F11" s="22">
        <v>0</v>
      </c>
      <c r="G11" s="22">
        <v>4</v>
      </c>
      <c r="H11" s="22">
        <v>3</v>
      </c>
      <c r="I11" s="22">
        <v>1</v>
      </c>
      <c r="J11" s="22"/>
      <c r="K11" s="22">
        <v>26</v>
      </c>
      <c r="L11" s="22">
        <v>0</v>
      </c>
      <c r="M11" s="93">
        <f t="shared" si="2"/>
        <v>26</v>
      </c>
      <c r="N11" s="82" t="s">
        <v>57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7</v>
      </c>
      <c r="F12" s="22">
        <v>11</v>
      </c>
      <c r="G12" s="22">
        <v>9</v>
      </c>
      <c r="H12" s="22">
        <v>10</v>
      </c>
      <c r="I12" s="22">
        <v>10</v>
      </c>
      <c r="J12" s="22">
        <v>8</v>
      </c>
      <c r="K12" s="22">
        <v>45</v>
      </c>
      <c r="L12" s="22">
        <v>13</v>
      </c>
      <c r="M12" s="93">
        <f t="shared" si="2"/>
        <v>58</v>
      </c>
      <c r="N12" s="82" t="s">
        <v>260</v>
      </c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>
        <v>5</v>
      </c>
      <c r="D14" s="22">
        <v>36</v>
      </c>
      <c r="E14" s="22">
        <v>34</v>
      </c>
      <c r="F14" s="22">
        <v>35</v>
      </c>
      <c r="G14" s="22">
        <v>28</v>
      </c>
      <c r="H14" s="22">
        <v>45</v>
      </c>
      <c r="I14" s="22">
        <v>40</v>
      </c>
      <c r="J14" s="22">
        <v>35</v>
      </c>
      <c r="K14" s="22">
        <v>185</v>
      </c>
      <c r="L14" s="22">
        <v>73</v>
      </c>
      <c r="M14" s="93">
        <f t="shared" ref="M14:M17" si="3">K14+L14</f>
        <v>258</v>
      </c>
      <c r="N14" s="103" t="s">
        <v>122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>
        <v>4</v>
      </c>
      <c r="F15" s="22">
        <v>2</v>
      </c>
      <c r="G15" s="22">
        <v>0</v>
      </c>
      <c r="H15" s="22">
        <v>3</v>
      </c>
      <c r="I15" s="22">
        <v>2</v>
      </c>
      <c r="J15" s="22">
        <v>3</v>
      </c>
      <c r="K15" s="22">
        <v>8</v>
      </c>
      <c r="L15" s="22">
        <v>6</v>
      </c>
      <c r="M15" s="93">
        <f t="shared" si="3"/>
        <v>14</v>
      </c>
      <c r="N15" s="103" t="s">
        <v>13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>
        <v>3</v>
      </c>
      <c r="G16" s="22">
        <v>2</v>
      </c>
      <c r="H16" s="22">
        <v>2</v>
      </c>
      <c r="I16" s="22">
        <v>3</v>
      </c>
      <c r="J16" s="22"/>
      <c r="K16" s="22">
        <v>10</v>
      </c>
      <c r="L16" s="22">
        <v>0</v>
      </c>
      <c r="M16" s="93">
        <f t="shared" si="3"/>
        <v>10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>
        <v>4</v>
      </c>
      <c r="F17" s="22">
        <v>3</v>
      </c>
      <c r="G17" s="22">
        <v>3</v>
      </c>
      <c r="H17" s="22">
        <v>6</v>
      </c>
      <c r="I17" s="22">
        <v>3</v>
      </c>
      <c r="J17" s="22">
        <v>2</v>
      </c>
      <c r="K17" s="22">
        <v>15</v>
      </c>
      <c r="L17" s="22">
        <v>8</v>
      </c>
      <c r="M17" s="93">
        <f t="shared" si="3"/>
        <v>23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554</v>
      </c>
      <c r="O18" s="305" t="s">
        <v>71</v>
      </c>
      <c r="P18" s="306"/>
      <c r="Q18" s="65" t="s">
        <v>298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14</v>
      </c>
      <c r="O19" s="69">
        <v>1245.1300000000001</v>
      </c>
      <c r="P19" s="46" t="s">
        <v>296</v>
      </c>
      <c r="Q19" s="65" t="s">
        <v>297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M16+M11+M6</f>
        <v>41</v>
      </c>
      <c r="O20" s="77" t="s">
        <v>65</v>
      </c>
      <c r="P20" s="75">
        <v>40</v>
      </c>
      <c r="Q20" s="65">
        <v>2720.73</v>
      </c>
    </row>
    <row r="21" spans="1:20" ht="25.5" customHeight="1" x14ac:dyDescent="0.25">
      <c r="A21" s="16" t="s">
        <v>46</v>
      </c>
      <c r="B21" s="66">
        <v>206.40625</v>
      </c>
      <c r="C21" s="66">
        <v>206.54166666666666</v>
      </c>
      <c r="D21" s="66">
        <f t="shared" ref="D21" si="4">C21-B21</f>
        <v>0.13541666666665719</v>
      </c>
      <c r="E21" s="66">
        <v>206.54166666666666</v>
      </c>
      <c r="F21" s="66">
        <v>206.73958333333334</v>
      </c>
      <c r="G21" s="66">
        <f t="shared" ref="G21" si="5">F21-E21</f>
        <v>0.19791666666668561</v>
      </c>
      <c r="H21" s="66">
        <v>206.95833333333334</v>
      </c>
      <c r="I21" s="66">
        <v>207.20833333333334</v>
      </c>
      <c r="J21" s="71">
        <f>I21-H21-K21</f>
        <v>0.25</v>
      </c>
      <c r="K21" s="75"/>
      <c r="L21" s="73">
        <f>D21+G21+J21</f>
        <v>0.58333333333334281</v>
      </c>
      <c r="M21" s="154" t="s">
        <v>47</v>
      </c>
      <c r="N21" s="65">
        <f>M17+M12+M7</f>
        <v>186</v>
      </c>
      <c r="O21" s="78" t="s">
        <v>69</v>
      </c>
      <c r="P21" s="75">
        <v>245</v>
      </c>
      <c r="Q21" s="65">
        <v>7065.15</v>
      </c>
    </row>
    <row r="22" spans="1:20" ht="27" customHeight="1" x14ac:dyDescent="0.25">
      <c r="A22" s="16" t="s">
        <v>48</v>
      </c>
      <c r="B22" s="66">
        <v>206.27777777777777</v>
      </c>
      <c r="C22" s="66">
        <v>206.54166666666666</v>
      </c>
      <c r="D22" s="66">
        <f t="shared" ref="D22:D23" si="6">C22-B22</f>
        <v>0.26388888888888573</v>
      </c>
      <c r="E22" s="66">
        <v>206.58333333333334</v>
      </c>
      <c r="F22" s="66">
        <v>206.875</v>
      </c>
      <c r="G22" s="66">
        <f t="shared" ref="G22:G23" si="7">F22-E22</f>
        <v>0.29166666666665719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0.85416666666665719</v>
      </c>
      <c r="M22" s="49" t="s">
        <v>49</v>
      </c>
      <c r="N22" s="65">
        <v>31245.13</v>
      </c>
      <c r="O22" s="80" t="s">
        <v>66</v>
      </c>
      <c r="P22" s="75">
        <v>95</v>
      </c>
      <c r="Q22" s="65">
        <v>2325.66</v>
      </c>
    </row>
    <row r="23" spans="1:20" ht="27" customHeight="1" x14ac:dyDescent="0.25">
      <c r="A23" s="157" t="s">
        <v>50</v>
      </c>
      <c r="B23" s="66">
        <v>206.35416666666666</v>
      </c>
      <c r="C23" s="66">
        <v>206.54166666666666</v>
      </c>
      <c r="D23" s="66">
        <f t="shared" si="6"/>
        <v>0.1875</v>
      </c>
      <c r="E23" s="66">
        <v>206.58333333333334</v>
      </c>
      <c r="F23" s="66">
        <v>206.875</v>
      </c>
      <c r="G23" s="66">
        <f t="shared" si="7"/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0.77083333333334281</v>
      </c>
      <c r="M23" s="154" t="s">
        <v>64</v>
      </c>
      <c r="N23" s="85">
        <v>9</v>
      </c>
      <c r="O23" s="86" t="s">
        <v>67</v>
      </c>
      <c r="P23" s="76">
        <v>0</v>
      </c>
      <c r="Q23" s="65">
        <v>0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0.58680555555554292</v>
      </c>
      <c r="E24" s="68"/>
      <c r="F24" s="68"/>
      <c r="G24" s="66">
        <f>SUM(G21:G23)</f>
        <v>0.78125</v>
      </c>
      <c r="H24" s="68"/>
      <c r="I24" s="68"/>
      <c r="J24" s="71">
        <f>SUM(J21:J23)</f>
        <v>0.84027777777779988</v>
      </c>
      <c r="K24" s="75"/>
      <c r="L24" s="83">
        <f>SUM(L21:L23)</f>
        <v>2.2083333333333428</v>
      </c>
      <c r="M24" s="65" t="s">
        <v>78</v>
      </c>
      <c r="N24" s="65">
        <v>32633.82</v>
      </c>
      <c r="P24" s="79" t="s">
        <v>68</v>
      </c>
      <c r="Q24" s="43">
        <v>37871.25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N24+Sheet15!O25</f>
        <v>478251.99000000005</v>
      </c>
      <c r="P25" s="154" t="s">
        <v>77</v>
      </c>
      <c r="Q25" s="87">
        <v>40591.980000000003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55000</v>
      </c>
      <c r="P26" s="51" t="s">
        <v>87</v>
      </c>
      <c r="Q26" s="69">
        <f>Q24+Sheet15!Q26</f>
        <v>446476.63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</v>
      </c>
      <c r="M27" s="55"/>
      <c r="N27" s="88">
        <f>N22/L27</f>
        <v>589.53075471698116</v>
      </c>
      <c r="O27" s="81" t="s">
        <v>74</v>
      </c>
      <c r="P27" s="69" t="s">
        <v>168</v>
      </c>
      <c r="Q27" s="65">
        <v>0.55000000000000004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299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300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29</v>
      </c>
      <c r="E4" s="22">
        <v>34</v>
      </c>
      <c r="F4" s="22">
        <v>31</v>
      </c>
      <c r="G4" s="22">
        <v>9</v>
      </c>
      <c r="H4" s="22">
        <v>10</v>
      </c>
      <c r="I4" s="22">
        <v>11</v>
      </c>
      <c r="J4" s="22">
        <v>32</v>
      </c>
      <c r="K4" s="22">
        <v>96</v>
      </c>
      <c r="L4" s="22">
        <v>60</v>
      </c>
      <c r="M4" s="93">
        <f>K4+L4</f>
        <v>156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>
        <v>5</v>
      </c>
      <c r="E5" s="22"/>
      <c r="F5" s="22"/>
      <c r="G5" s="22"/>
      <c r="H5" s="22"/>
      <c r="I5" s="22"/>
      <c r="J5" s="22"/>
      <c r="K5" s="22">
        <v>5</v>
      </c>
      <c r="L5" s="22">
        <v>0</v>
      </c>
      <c r="M5" s="93">
        <f t="shared" ref="M5:M7" si="0">K5+L5</f>
        <v>5</v>
      </c>
      <c r="N5" s="104" t="s">
        <v>57</v>
      </c>
      <c r="O5" s="66">
        <v>0.54166666666666663</v>
      </c>
      <c r="P5" s="66">
        <v>0.58333333333333337</v>
      </c>
      <c r="Q5" s="33" t="s">
        <v>305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10</v>
      </c>
      <c r="F6" s="22">
        <v>2</v>
      </c>
      <c r="G6" s="22">
        <v>3</v>
      </c>
      <c r="H6" s="22">
        <v>4</v>
      </c>
      <c r="I6" s="22">
        <v>7</v>
      </c>
      <c r="J6" s="22">
        <v>1</v>
      </c>
      <c r="K6" s="22">
        <v>22</v>
      </c>
      <c r="L6" s="22">
        <v>5</v>
      </c>
      <c r="M6" s="93">
        <f t="shared" si="0"/>
        <v>27</v>
      </c>
      <c r="N6" s="104" t="s">
        <v>57</v>
      </c>
      <c r="O6" s="96"/>
      <c r="P6" s="65"/>
      <c r="Q6" s="66" t="s">
        <v>277</v>
      </c>
    </row>
    <row r="7" spans="1:17" ht="15" customHeight="1" x14ac:dyDescent="0.25">
      <c r="A7" s="25"/>
      <c r="B7" s="21" t="s">
        <v>19</v>
      </c>
      <c r="C7" s="22"/>
      <c r="D7" s="22">
        <v>8</v>
      </c>
      <c r="E7" s="22">
        <v>8</v>
      </c>
      <c r="F7" s="22">
        <v>8</v>
      </c>
      <c r="G7" s="22">
        <v>10</v>
      </c>
      <c r="H7" s="22">
        <v>4</v>
      </c>
      <c r="I7" s="22">
        <v>3</v>
      </c>
      <c r="J7" s="22">
        <v>7</v>
      </c>
      <c r="K7" s="22">
        <v>25</v>
      </c>
      <c r="L7" s="22">
        <v>23</v>
      </c>
      <c r="M7" s="93">
        <f t="shared" si="0"/>
        <v>48</v>
      </c>
      <c r="N7" s="104" t="s">
        <v>260</v>
      </c>
      <c r="O7" s="97"/>
      <c r="P7" s="65"/>
      <c r="Q7" s="216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5" customHeight="1" x14ac:dyDescent="0.25">
      <c r="A9" s="33"/>
      <c r="B9" s="34" t="s">
        <v>14</v>
      </c>
      <c r="C9" s="22"/>
      <c r="D9" s="22">
        <v>28</v>
      </c>
      <c r="E9" s="22">
        <v>34</v>
      </c>
      <c r="F9" s="22">
        <v>28</v>
      </c>
      <c r="G9" s="22">
        <v>20</v>
      </c>
      <c r="H9" s="22">
        <v>40</v>
      </c>
      <c r="I9" s="22">
        <v>25</v>
      </c>
      <c r="J9" s="22">
        <v>20</v>
      </c>
      <c r="K9" s="22">
        <v>140</v>
      </c>
      <c r="L9" s="22">
        <v>85</v>
      </c>
      <c r="M9" s="93">
        <f t="shared" ref="M9:M12" si="1">K9+L9</f>
        <v>225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57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57</v>
      </c>
      <c r="O11" s="82" t="s">
        <v>13</v>
      </c>
      <c r="P11" s="82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8</v>
      </c>
      <c r="E12" s="22">
        <v>12</v>
      </c>
      <c r="F12" s="22">
        <v>15</v>
      </c>
      <c r="G12" s="22">
        <v>9</v>
      </c>
      <c r="H12" s="22"/>
      <c r="I12" s="22">
        <v>6</v>
      </c>
      <c r="J12" s="22">
        <v>5</v>
      </c>
      <c r="K12" s="22">
        <v>52</v>
      </c>
      <c r="L12" s="22">
        <v>3</v>
      </c>
      <c r="M12" s="93">
        <f t="shared" si="1"/>
        <v>55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32</v>
      </c>
      <c r="E14" s="22">
        <v>42</v>
      </c>
      <c r="F14" s="22">
        <v>45</v>
      </c>
      <c r="G14" s="22">
        <v>38</v>
      </c>
      <c r="H14" s="22">
        <v>32</v>
      </c>
      <c r="I14" s="22">
        <v>43</v>
      </c>
      <c r="J14" s="22">
        <v>30</v>
      </c>
      <c r="K14" s="22">
        <v>184</v>
      </c>
      <c r="L14" s="22">
        <v>88</v>
      </c>
      <c r="M14" s="93">
        <f t="shared" ref="M14:M17" si="2">K14+L14</f>
        <v>272</v>
      </c>
      <c r="N14" s="103" t="s">
        <v>57</v>
      </c>
      <c r="O14" s="101"/>
      <c r="P14" s="82"/>
      <c r="Q14" s="37"/>
    </row>
    <row r="15" spans="1:17" ht="14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260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2</v>
      </c>
      <c r="F16" s="22">
        <v>3</v>
      </c>
      <c r="G16" s="22">
        <v>2</v>
      </c>
      <c r="H16" s="22">
        <v>2</v>
      </c>
      <c r="I16" s="22">
        <v>4</v>
      </c>
      <c r="J16" s="22">
        <v>2</v>
      </c>
      <c r="K16" s="22">
        <v>10</v>
      </c>
      <c r="L16" s="22">
        <v>5</v>
      </c>
      <c r="M16" s="93">
        <f t="shared" si="2"/>
        <v>15</v>
      </c>
      <c r="N16" s="103"/>
      <c r="O16" s="103"/>
      <c r="P16" s="82"/>
      <c r="Q16" s="37"/>
    </row>
    <row r="17" spans="1:20" ht="14.25" customHeight="1" x14ac:dyDescent="0.25">
      <c r="A17" s="37"/>
      <c r="B17" s="21" t="s">
        <v>19</v>
      </c>
      <c r="C17" s="22"/>
      <c r="D17" s="22">
        <v>2</v>
      </c>
      <c r="E17" s="22">
        <v>3</v>
      </c>
      <c r="F17" s="22">
        <v>5</v>
      </c>
      <c r="G17" s="22">
        <v>6</v>
      </c>
      <c r="H17" s="22">
        <v>2</v>
      </c>
      <c r="I17" s="22">
        <v>2</v>
      </c>
      <c r="J17" s="22">
        <v>2</v>
      </c>
      <c r="K17" s="22">
        <v>7</v>
      </c>
      <c r="L17" s="22">
        <v>15</v>
      </c>
      <c r="M17" s="93">
        <f t="shared" si="2"/>
        <v>22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653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5</v>
      </c>
      <c r="O19" s="69" t="s">
        <v>13</v>
      </c>
      <c r="P19" s="46" t="s">
        <v>196</v>
      </c>
      <c r="Q19" s="65" t="s">
        <v>304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42</v>
      </c>
      <c r="O20" s="77" t="s">
        <v>65</v>
      </c>
      <c r="P20" s="75">
        <v>60</v>
      </c>
      <c r="Q20" s="65">
        <v>4559.2</v>
      </c>
    </row>
    <row r="21" spans="1:20" ht="25.5" customHeight="1" x14ac:dyDescent="0.25">
      <c r="A21" s="16" t="s">
        <v>46</v>
      </c>
      <c r="B21" s="66">
        <v>206.32291666666666</v>
      </c>
      <c r="C21" s="66">
        <v>206.54166666666666</v>
      </c>
      <c r="D21" s="66">
        <f t="shared" ref="D21" si="3">C21-B21</f>
        <v>0.21875</v>
      </c>
      <c r="E21" s="66">
        <v>206.59722222222223</v>
      </c>
      <c r="F21" s="66">
        <v>206.875</v>
      </c>
      <c r="G21" s="66">
        <f t="shared" ref="G21" si="4">F21-E21</f>
        <v>0.27777777777777146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0.78819444444445708</v>
      </c>
      <c r="M21" s="154" t="s">
        <v>47</v>
      </c>
      <c r="N21" s="65">
        <f>M17+M12+M7</f>
        <v>125</v>
      </c>
      <c r="O21" s="78" t="s">
        <v>69</v>
      </c>
      <c r="P21" s="75">
        <v>316</v>
      </c>
      <c r="Q21" s="65">
        <v>8053.33</v>
      </c>
    </row>
    <row r="22" spans="1:20" ht="27" customHeight="1" x14ac:dyDescent="0.25">
      <c r="A22" s="16" t="s">
        <v>48</v>
      </c>
      <c r="B22" s="66">
        <v>206.27083333333334</v>
      </c>
      <c r="C22" s="66">
        <v>206.54166666666666</v>
      </c>
      <c r="D22" s="66">
        <f t="shared" ref="D22" si="5">C22-B22</f>
        <v>0.27083333333331439</v>
      </c>
      <c r="E22" s="66">
        <v>206.66319444444446</v>
      </c>
      <c r="F22" s="66">
        <v>206.875</v>
      </c>
      <c r="G22" s="66">
        <f t="shared" ref="G22:G23" si="6">F22-E22</f>
        <v>0.21180555555554292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0.78124999999997158</v>
      </c>
      <c r="M22" s="49" t="s">
        <v>49</v>
      </c>
      <c r="N22" s="65">
        <v>30352</v>
      </c>
      <c r="O22" s="80" t="s">
        <v>66</v>
      </c>
      <c r="P22" s="75">
        <v>127</v>
      </c>
      <c r="Q22" s="65">
        <v>3209.19</v>
      </c>
    </row>
    <row r="23" spans="1:20" ht="27" customHeight="1" x14ac:dyDescent="0.25">
      <c r="A23" s="157" t="s">
        <v>50</v>
      </c>
      <c r="B23" s="66">
        <v>206.28819444444446</v>
      </c>
      <c r="C23" s="66">
        <v>206.54166666666666</v>
      </c>
      <c r="D23" s="66">
        <f t="shared" ref="D23" si="7">C23-B23</f>
        <v>0.25347222222220012</v>
      </c>
      <c r="E23" s="66">
        <v>206.60069444444446</v>
      </c>
      <c r="F23" s="66">
        <v>206.875</v>
      </c>
      <c r="G23" s="66">
        <f t="shared" si="6"/>
        <v>0.27430555555554292</v>
      </c>
      <c r="H23" s="66">
        <v>206.90972222222223</v>
      </c>
      <c r="I23" s="66">
        <v>207.20833333333334</v>
      </c>
      <c r="J23" s="71">
        <f>I23-H23-K23</f>
        <v>0.29861111111111427</v>
      </c>
      <c r="K23" s="155"/>
      <c r="L23" s="156">
        <f>D23+G23+J23</f>
        <v>0.82638888888885731</v>
      </c>
      <c r="M23" s="154" t="s">
        <v>64</v>
      </c>
      <c r="N23" s="85">
        <v>10</v>
      </c>
      <c r="O23" s="86" t="s">
        <v>67</v>
      </c>
      <c r="P23" s="76">
        <v>0</v>
      </c>
      <c r="Q23" s="65">
        <v>0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0.7430555555555145</v>
      </c>
      <c r="E24" s="68"/>
      <c r="F24" s="68"/>
      <c r="G24" s="66">
        <f>SUM(G21:G23)</f>
        <v>0.76388888888885731</v>
      </c>
      <c r="H24" s="68"/>
      <c r="I24" s="68"/>
      <c r="J24" s="71">
        <f>SUM(J21:J23)</f>
        <v>0.88888888888891415</v>
      </c>
      <c r="K24" s="75"/>
      <c r="L24" s="83">
        <f>SUM(L21:L23)</f>
        <v>2.395833333333286</v>
      </c>
      <c r="M24" s="65" t="s">
        <v>78</v>
      </c>
      <c r="N24" s="65">
        <v>32753.57</v>
      </c>
      <c r="P24" s="79" t="s">
        <v>68</v>
      </c>
      <c r="Q24" s="43">
        <v>37443.599999999999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N24+Sheet16!O25</f>
        <v>511005.56000000006</v>
      </c>
      <c r="P25" s="154" t="s">
        <v>77</v>
      </c>
      <c r="Q25" s="87">
        <v>43102.8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40000</v>
      </c>
      <c r="P26" s="51" t="s">
        <v>87</v>
      </c>
      <c r="Q26" s="69">
        <f>Q24+Sheet16!Q26</f>
        <v>483920.23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38.25</v>
      </c>
      <c r="M27" s="55"/>
      <c r="N27" s="88">
        <f>N22/L27</f>
        <v>793.51633986928107</v>
      </c>
      <c r="O27" s="81" t="s">
        <v>74</v>
      </c>
      <c r="P27" s="69"/>
      <c r="Q27" s="65" t="s">
        <v>303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2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7.42578125" style="3" customWidth="1"/>
    <col min="11" max="11" width="6.85546875" style="6" customWidth="1"/>
    <col min="12" max="12" width="7.28515625" style="1" customWidth="1"/>
    <col min="13" max="13" width="10.42578125" style="1" customWidth="1"/>
    <col min="14" max="15" width="10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301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35</v>
      </c>
      <c r="F4" s="22">
        <v>32</v>
      </c>
      <c r="G4" s="22">
        <v>21</v>
      </c>
      <c r="H4" s="22">
        <v>11</v>
      </c>
      <c r="I4" s="22">
        <v>36</v>
      </c>
      <c r="J4" s="22">
        <v>18</v>
      </c>
      <c r="K4" s="22">
        <v>138</v>
      </c>
      <c r="L4" s="22">
        <v>45</v>
      </c>
      <c r="M4" s="93">
        <f>K4+L4</f>
        <v>183</v>
      </c>
      <c r="N4" s="104" t="s">
        <v>13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 t="s">
        <v>13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13</v>
      </c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>
        <v>6</v>
      </c>
      <c r="E7" s="22">
        <v>4</v>
      </c>
      <c r="F7" s="22">
        <v>8</v>
      </c>
      <c r="G7" s="22"/>
      <c r="H7" s="22">
        <v>15</v>
      </c>
      <c r="I7" s="22">
        <v>5</v>
      </c>
      <c r="J7" s="22">
        <v>58</v>
      </c>
      <c r="K7" s="22">
        <v>20</v>
      </c>
      <c r="L7" s="22">
        <v>38</v>
      </c>
      <c r="M7" s="93">
        <f t="shared" si="0"/>
        <v>58</v>
      </c>
      <c r="N7" s="104" t="s">
        <v>13</v>
      </c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3.5" customHeight="1" x14ac:dyDescent="0.25">
      <c r="A9" s="33"/>
      <c r="B9" s="34" t="s">
        <v>14</v>
      </c>
      <c r="C9" s="22"/>
      <c r="D9" s="22">
        <v>26</v>
      </c>
      <c r="E9" s="22">
        <v>25</v>
      </c>
      <c r="F9" s="22">
        <v>25</v>
      </c>
      <c r="G9" s="22">
        <v>26</v>
      </c>
      <c r="H9" s="22">
        <v>30</v>
      </c>
      <c r="I9" s="22">
        <v>38</v>
      </c>
      <c r="J9" s="22">
        <v>40</v>
      </c>
      <c r="K9" s="22">
        <v>140</v>
      </c>
      <c r="L9" s="22">
        <v>70</v>
      </c>
      <c r="M9" s="93">
        <f t="shared" ref="M9:M12" si="2">K9+L9</f>
        <v>210</v>
      </c>
      <c r="N9" s="82" t="s">
        <v>13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2"/>
        <v>0</v>
      </c>
      <c r="N10" s="82" t="s">
        <v>13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2"/>
        <v>0</v>
      </c>
      <c r="N11" s="82"/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12</v>
      </c>
      <c r="E12" s="22">
        <v>3</v>
      </c>
      <c r="F12" s="22">
        <v>2</v>
      </c>
      <c r="G12" s="22">
        <v>2</v>
      </c>
      <c r="H12" s="22">
        <v>2</v>
      </c>
      <c r="I12" s="22">
        <v>2</v>
      </c>
      <c r="J12" s="22">
        <v>2</v>
      </c>
      <c r="K12" s="22">
        <v>9</v>
      </c>
      <c r="L12" s="22">
        <v>18</v>
      </c>
      <c r="M12" s="93">
        <f t="shared" si="2"/>
        <v>27</v>
      </c>
      <c r="N12" s="82"/>
      <c r="O12" s="82" t="s">
        <v>13</v>
      </c>
      <c r="P12" s="82"/>
      <c r="Q12" s="37" t="s">
        <v>13</v>
      </c>
    </row>
    <row r="13" spans="1:17" ht="30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28</v>
      </c>
      <c r="E14" s="22">
        <v>36</v>
      </c>
      <c r="F14" s="22">
        <v>45</v>
      </c>
      <c r="G14" s="22">
        <v>24</v>
      </c>
      <c r="H14" s="22">
        <v>35</v>
      </c>
      <c r="I14" s="22">
        <v>42</v>
      </c>
      <c r="J14" s="22">
        <v>33</v>
      </c>
      <c r="K14" s="22">
        <v>161</v>
      </c>
      <c r="L14" s="22">
        <v>72</v>
      </c>
      <c r="M14" s="93">
        <f t="shared" ref="M14:M17" si="3">K14+L14</f>
        <v>233</v>
      </c>
      <c r="N14" s="103" t="s">
        <v>13</v>
      </c>
      <c r="O14" s="101"/>
      <c r="P14" s="82"/>
      <c r="Q14" s="37"/>
    </row>
    <row r="15" spans="1:17" ht="12.75" customHeight="1" x14ac:dyDescent="0.25">
      <c r="A15" s="106" t="s">
        <v>36</v>
      </c>
      <c r="B15" s="21" t="s">
        <v>16</v>
      </c>
      <c r="C15" s="22"/>
      <c r="D15" s="22"/>
      <c r="E15" s="22">
        <v>2</v>
      </c>
      <c r="F15" s="22">
        <v>3</v>
      </c>
      <c r="G15" s="22"/>
      <c r="H15" s="22">
        <v>2</v>
      </c>
      <c r="I15" s="22">
        <v>3</v>
      </c>
      <c r="J15" s="22"/>
      <c r="K15" s="22">
        <v>10</v>
      </c>
      <c r="L15" s="22">
        <v>0</v>
      </c>
      <c r="M15" s="93">
        <f t="shared" si="3"/>
        <v>10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3"/>
        <v>0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>
        <v>5</v>
      </c>
      <c r="F17" s="22">
        <v>2</v>
      </c>
      <c r="G17" s="22">
        <v>2</v>
      </c>
      <c r="H17" s="22">
        <v>3</v>
      </c>
      <c r="I17" s="22">
        <v>2</v>
      </c>
      <c r="J17" s="22">
        <v>1</v>
      </c>
      <c r="K17" s="22">
        <v>14</v>
      </c>
      <c r="L17" s="22">
        <v>0</v>
      </c>
      <c r="M17" s="93">
        <f t="shared" si="3"/>
        <v>14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626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10</v>
      </c>
      <c r="O19" s="69">
        <v>1159.3499999999999</v>
      </c>
      <c r="P19" s="46" t="s">
        <v>196</v>
      </c>
      <c r="Q19" s="65" t="s">
        <v>306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0</v>
      </c>
      <c r="O20" s="77" t="s">
        <v>65</v>
      </c>
      <c r="P20" s="75">
        <v>60</v>
      </c>
      <c r="Q20" s="65">
        <v>4175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" si="4">C21-B21</f>
        <v>0.29166666666665719</v>
      </c>
      <c r="E21" s="66">
        <v>206.60069444444446</v>
      </c>
      <c r="F21" s="66">
        <v>206.875</v>
      </c>
      <c r="G21" s="66">
        <f>F21-E21</f>
        <v>0.27430555555554292</v>
      </c>
      <c r="H21" s="66">
        <v>206.91666666666666</v>
      </c>
      <c r="I21" s="66">
        <v>207.20833333333334</v>
      </c>
      <c r="J21" s="71">
        <f>I21-H21-K21</f>
        <v>0.29166666666668561</v>
      </c>
      <c r="K21" s="66">
        <v>0</v>
      </c>
      <c r="L21" s="73">
        <f>D21+G21+J21</f>
        <v>0.85763888888888573</v>
      </c>
      <c r="M21" s="154" t="s">
        <v>47</v>
      </c>
      <c r="N21" s="65">
        <f>M17+M12+M7</f>
        <v>99</v>
      </c>
      <c r="O21" s="78" t="s">
        <v>69</v>
      </c>
      <c r="P21" s="75">
        <v>231</v>
      </c>
      <c r="Q21" s="65">
        <v>6774</v>
      </c>
    </row>
    <row r="22" spans="1:20" ht="27" customHeight="1" x14ac:dyDescent="0.25">
      <c r="A22" s="16" t="s">
        <v>48</v>
      </c>
      <c r="B22" s="66">
        <v>206.25694444444446</v>
      </c>
      <c r="C22" s="66">
        <v>206.54166666666666</v>
      </c>
      <c r="D22" s="66">
        <f t="shared" ref="D22" si="5">C22-B22</f>
        <v>0.28472222222220012</v>
      </c>
      <c r="E22" s="66">
        <v>206.60416666666666</v>
      </c>
      <c r="F22" s="66">
        <v>206.875</v>
      </c>
      <c r="G22" s="66">
        <f>F22-E22</f>
        <v>0.27083333333334281</v>
      </c>
      <c r="H22" s="66">
        <v>206.90625</v>
      </c>
      <c r="I22" s="66">
        <v>207.20833333333334</v>
      </c>
      <c r="J22" s="71">
        <f>I22-H22-K22</f>
        <v>0.30208333333334281</v>
      </c>
      <c r="K22" s="75"/>
      <c r="L22" s="73">
        <f>D22+G22+J22</f>
        <v>0.85763888888888573</v>
      </c>
      <c r="M22" s="49" t="s">
        <v>49</v>
      </c>
      <c r="N22" s="65">
        <v>32759</v>
      </c>
      <c r="O22" s="80" t="s">
        <v>66</v>
      </c>
      <c r="P22" s="75">
        <v>117</v>
      </c>
      <c r="Q22" s="65">
        <v>2869</v>
      </c>
    </row>
    <row r="23" spans="1:20" ht="27" customHeight="1" x14ac:dyDescent="0.25">
      <c r="A23" s="157" t="s">
        <v>50</v>
      </c>
      <c r="B23" s="66">
        <v>206.3125</v>
      </c>
      <c r="C23" s="66">
        <v>206.48958333333334</v>
      </c>
      <c r="D23" s="66">
        <f t="shared" ref="D23" si="6">C23-B23</f>
        <v>0.17708333333334281</v>
      </c>
      <c r="E23" s="66">
        <v>206.59722222222223</v>
      </c>
      <c r="F23" s="66">
        <v>206.875</v>
      </c>
      <c r="G23" s="66">
        <f>F23-E23</f>
        <v>0.27777777777777146</v>
      </c>
      <c r="H23" s="66">
        <v>206.90972222222223</v>
      </c>
      <c r="I23" s="66">
        <v>207.20833333333334</v>
      </c>
      <c r="J23" s="71">
        <f>I23-H23-K23</f>
        <v>0.29861111111111427</v>
      </c>
      <c r="K23" s="155"/>
      <c r="L23" s="156">
        <f>D23+G23+J23</f>
        <v>0.75347222222222854</v>
      </c>
      <c r="M23" s="154" t="s">
        <v>64</v>
      </c>
      <c r="N23" s="85">
        <v>10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0.75347222222220012</v>
      </c>
      <c r="E24" s="68"/>
      <c r="F24" s="68"/>
      <c r="G24" s="66">
        <f>SUM(G21:G23)</f>
        <v>0.82291666666665719</v>
      </c>
      <c r="H24" s="68"/>
      <c r="I24" s="68"/>
      <c r="J24" s="71">
        <f>SUM(J21:J23)</f>
        <v>0.89236111111114269</v>
      </c>
      <c r="K24" s="75"/>
      <c r="L24" s="83">
        <f>SUM(L21:L23)</f>
        <v>2.46875</v>
      </c>
      <c r="M24" s="65" t="s">
        <v>78</v>
      </c>
      <c r="N24" s="65">
        <v>36329.9</v>
      </c>
      <c r="P24" s="79" t="s">
        <v>68</v>
      </c>
      <c r="Q24" s="43">
        <v>44243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N24+Sheet17!O25</f>
        <v>547335.46000000008</v>
      </c>
      <c r="P25" s="154" t="s">
        <v>77</v>
      </c>
      <c r="Q25" s="87">
        <v>48419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55000</v>
      </c>
      <c r="P26" s="51" t="s">
        <v>87</v>
      </c>
      <c r="Q26" s="69">
        <f>Q24+Sheet17!Q26</f>
        <v>528163.23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59.15</v>
      </c>
      <c r="M27" s="55"/>
      <c r="N27" s="88">
        <f>N22/L27</f>
        <v>553.82924767540158</v>
      </c>
      <c r="O27" s="81" t="s">
        <v>74</v>
      </c>
      <c r="P27" s="69"/>
      <c r="Q27" s="65" t="s">
        <v>307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1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302</v>
      </c>
    </row>
    <row r="3" spans="1:17" ht="31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 t="s">
        <v>13</v>
      </c>
      <c r="D4" s="22">
        <v>40</v>
      </c>
      <c r="E4" s="22">
        <v>44</v>
      </c>
      <c r="F4" s="22">
        <v>36</v>
      </c>
      <c r="G4" s="22">
        <v>20</v>
      </c>
      <c r="H4" s="22">
        <v>35</v>
      </c>
      <c r="I4" s="22">
        <v>45</v>
      </c>
      <c r="J4" s="22">
        <v>8</v>
      </c>
      <c r="K4" s="22">
        <v>143</v>
      </c>
      <c r="L4" s="22">
        <v>85</v>
      </c>
      <c r="M4" s="93">
        <f>K4+L4</f>
        <v>228</v>
      </c>
      <c r="N4" s="104" t="s">
        <v>199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 t="s">
        <v>57</v>
      </c>
      <c r="O5" s="66">
        <v>9.4027777777777786</v>
      </c>
      <c r="P5" s="66">
        <v>11.458333333333334</v>
      </c>
      <c r="Q5" s="66" t="s">
        <v>309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57</v>
      </c>
      <c r="O6" s="96"/>
      <c r="P6" s="65"/>
      <c r="Q6" s="309" t="s">
        <v>310</v>
      </c>
    </row>
    <row r="7" spans="1:17" ht="15" customHeight="1" x14ac:dyDescent="0.25">
      <c r="A7" s="25"/>
      <c r="B7" s="21" t="s">
        <v>19</v>
      </c>
      <c r="C7" s="22"/>
      <c r="D7" s="22">
        <v>10</v>
      </c>
      <c r="E7" s="22">
        <v>10</v>
      </c>
      <c r="F7" s="22">
        <v>5</v>
      </c>
      <c r="G7" s="22">
        <v>11</v>
      </c>
      <c r="H7" s="22">
        <v>15</v>
      </c>
      <c r="I7" s="22">
        <v>10</v>
      </c>
      <c r="J7" s="22">
        <v>10</v>
      </c>
      <c r="K7" s="22">
        <v>58</v>
      </c>
      <c r="L7" s="22">
        <v>13</v>
      </c>
      <c r="M7" s="93">
        <f t="shared" si="0"/>
        <v>71</v>
      </c>
      <c r="N7" s="104"/>
      <c r="O7" s="97"/>
      <c r="P7" s="65"/>
      <c r="Q7" s="310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5.75" customHeight="1" x14ac:dyDescent="0.25">
      <c r="A9" s="33"/>
      <c r="B9" s="34" t="s">
        <v>14</v>
      </c>
      <c r="C9" s="22"/>
      <c r="D9" s="22">
        <v>28</v>
      </c>
      <c r="E9" s="22">
        <v>30</v>
      </c>
      <c r="F9" s="22">
        <v>32</v>
      </c>
      <c r="G9" s="22">
        <v>17</v>
      </c>
      <c r="H9" s="22">
        <v>35</v>
      </c>
      <c r="I9" s="22">
        <v>35</v>
      </c>
      <c r="J9" s="22">
        <v>31</v>
      </c>
      <c r="K9" s="22">
        <v>160</v>
      </c>
      <c r="L9" s="22">
        <v>48</v>
      </c>
      <c r="M9" s="93">
        <f t="shared" ref="M9:M12" si="1">K9+L9</f>
        <v>208</v>
      </c>
      <c r="N9" s="82" t="s">
        <v>193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4</v>
      </c>
      <c r="F10" s="22">
        <v>8</v>
      </c>
      <c r="G10" s="22">
        <v>8</v>
      </c>
      <c r="H10" s="22">
        <v>7</v>
      </c>
      <c r="I10" s="22">
        <v>14</v>
      </c>
      <c r="J10" s="22">
        <v>10</v>
      </c>
      <c r="K10" s="22">
        <v>50</v>
      </c>
      <c r="L10" s="22">
        <v>13</v>
      </c>
      <c r="M10" s="93">
        <f t="shared" si="1"/>
        <v>63</v>
      </c>
      <c r="N10" s="82" t="s">
        <v>57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/>
      <c r="O11" s="66"/>
      <c r="P11" s="66"/>
      <c r="Q11" s="33"/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4</v>
      </c>
      <c r="F12" s="22">
        <v>5</v>
      </c>
      <c r="G12" s="22">
        <v>10</v>
      </c>
      <c r="H12" s="22">
        <v>2</v>
      </c>
      <c r="I12" s="22">
        <v>3</v>
      </c>
      <c r="J12" s="22">
        <v>1</v>
      </c>
      <c r="K12" s="22">
        <v>25</v>
      </c>
      <c r="L12" s="22">
        <v>3</v>
      </c>
      <c r="M12" s="93">
        <f t="shared" si="1"/>
        <v>28</v>
      </c>
      <c r="N12" s="82"/>
      <c r="O12" s="82" t="s">
        <v>13</v>
      </c>
      <c r="P12" s="82"/>
      <c r="Q12" s="37"/>
    </row>
    <row r="13" spans="1:17" ht="33.7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40</v>
      </c>
      <c r="E14" s="22">
        <v>45</v>
      </c>
      <c r="F14" s="22">
        <v>46</v>
      </c>
      <c r="G14" s="22">
        <v>50</v>
      </c>
      <c r="H14" s="22">
        <v>40</v>
      </c>
      <c r="I14" s="22">
        <v>40</v>
      </c>
      <c r="J14" s="22">
        <v>34</v>
      </c>
      <c r="K14" s="22">
        <v>240</v>
      </c>
      <c r="L14" s="22">
        <v>65</v>
      </c>
      <c r="M14" s="93">
        <f t="shared" ref="M14:M17" si="2">K14+L14</f>
        <v>305</v>
      </c>
      <c r="N14" s="103" t="s">
        <v>57</v>
      </c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2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>
        <v>6</v>
      </c>
      <c r="F17" s="22"/>
      <c r="G17" s="22">
        <v>10</v>
      </c>
      <c r="H17" s="22">
        <v>6</v>
      </c>
      <c r="I17" s="22">
        <v>7</v>
      </c>
      <c r="J17" s="22">
        <v>1</v>
      </c>
      <c r="K17" s="22">
        <v>30</v>
      </c>
      <c r="L17" s="22">
        <v>4</v>
      </c>
      <c r="M17" s="93">
        <f t="shared" si="2"/>
        <v>34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741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63</v>
      </c>
      <c r="O19" s="69">
        <v>2479</v>
      </c>
      <c r="P19" s="46" t="s">
        <v>296</v>
      </c>
      <c r="Q19" s="65" t="s">
        <v>308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0</v>
      </c>
      <c r="O20" s="77" t="s">
        <v>65</v>
      </c>
      <c r="P20" s="75">
        <v>40</v>
      </c>
      <c r="Q20" s="65">
        <v>2643</v>
      </c>
    </row>
    <row r="21" spans="1:20" ht="25.5" customHeight="1" x14ac:dyDescent="0.25">
      <c r="A21" s="16" t="s">
        <v>46</v>
      </c>
      <c r="B21" s="66">
        <v>206.30555555555554</v>
      </c>
      <c r="C21" s="66">
        <v>206.54166666666666</v>
      </c>
      <c r="D21" s="66">
        <f t="shared" ref="D21" si="3">C21-B21</f>
        <v>0.23611111111111427</v>
      </c>
      <c r="E21" s="66">
        <v>206.59375</v>
      </c>
      <c r="F21" s="66">
        <v>206.875</v>
      </c>
      <c r="G21" s="66">
        <f t="shared" ref="G21" si="4">F21-E21</f>
        <v>0.28125</v>
      </c>
      <c r="H21" s="66">
        <v>206.92708333333334</v>
      </c>
      <c r="I21" s="66">
        <v>207.20833333333334</v>
      </c>
      <c r="J21" s="71">
        <f>I21-H21-K21</f>
        <v>0.28125</v>
      </c>
      <c r="K21" s="66">
        <v>0</v>
      </c>
      <c r="L21" s="73">
        <f>D21+G21+J21</f>
        <v>0.79861111111111427</v>
      </c>
      <c r="M21" s="154" t="s">
        <v>47</v>
      </c>
      <c r="N21" s="65">
        <f>M17+M12+M7</f>
        <v>133</v>
      </c>
      <c r="O21" s="78" t="s">
        <v>69</v>
      </c>
      <c r="P21" s="75">
        <v>216</v>
      </c>
      <c r="Q21" s="65">
        <v>6177.94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ref="D22" si="5">C22-B22</f>
        <v>0.29861111111111427</v>
      </c>
      <c r="E22" s="66">
        <v>206.58333333333334</v>
      </c>
      <c r="F22" s="66">
        <v>206.875</v>
      </c>
      <c r="G22" s="66">
        <f t="shared" ref="G22" si="6">F22-E22</f>
        <v>0.29166666666665719</v>
      </c>
      <c r="H22" s="66">
        <v>206.92361111111111</v>
      </c>
      <c r="I22" s="66">
        <v>207.20833333333334</v>
      </c>
      <c r="J22" s="71">
        <f>I22-H22-K22</f>
        <v>0.28472222222222854</v>
      </c>
      <c r="K22" s="75"/>
      <c r="L22" s="73">
        <f>D22+G22+J22</f>
        <v>0.875</v>
      </c>
      <c r="M22" s="49" t="s">
        <v>49</v>
      </c>
      <c r="N22" s="65">
        <v>38929</v>
      </c>
      <c r="O22" s="80" t="s">
        <v>66</v>
      </c>
      <c r="P22" s="75">
        <v>83</v>
      </c>
      <c r="Q22" s="65">
        <v>1921.08</v>
      </c>
    </row>
    <row r="23" spans="1:20" ht="27" customHeight="1" x14ac:dyDescent="0.25">
      <c r="A23" s="157" t="s">
        <v>50</v>
      </c>
      <c r="B23" s="66">
        <v>206.24652777777777</v>
      </c>
      <c r="C23" s="66">
        <v>206.54166666666666</v>
      </c>
      <c r="D23" s="66">
        <f t="shared" ref="D23" si="7">C23-B23</f>
        <v>0.29513888888888573</v>
      </c>
      <c r="E23" s="66">
        <v>206.58333333333334</v>
      </c>
      <c r="F23" s="66">
        <v>206.875</v>
      </c>
      <c r="G23" s="66">
        <f t="shared" ref="G23" si="8"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0.87847222222222854</v>
      </c>
      <c r="M23" s="154" t="s">
        <v>64</v>
      </c>
      <c r="N23" s="85">
        <v>10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0.82986111111111427</v>
      </c>
      <c r="E24" s="68"/>
      <c r="F24" s="68"/>
      <c r="G24" s="66">
        <f>SUM(G21:G23)</f>
        <v>0.86458333333331439</v>
      </c>
      <c r="H24" s="68"/>
      <c r="I24" s="68"/>
      <c r="J24" s="71">
        <f>SUM(J21:J23)</f>
        <v>0.85763888888891415</v>
      </c>
      <c r="K24" s="75"/>
      <c r="L24" s="83">
        <f>SUM(L21:L23)</f>
        <v>2.5520833333333428</v>
      </c>
      <c r="M24" s="65" t="s">
        <v>78</v>
      </c>
      <c r="N24" s="65">
        <v>36869</v>
      </c>
      <c r="P24" s="79" t="s">
        <v>68</v>
      </c>
      <c r="Q24" s="43">
        <v>41958.17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N24+Sheet18!O25</f>
        <v>584204.46000000008</v>
      </c>
      <c r="P25" s="154" t="s">
        <v>77</v>
      </c>
      <c r="Q25" s="87">
        <v>44601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87</v>
      </c>
      <c r="Q26" s="69">
        <f>Q24+Sheet18!Q26</f>
        <v>570121.4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40.200000000000003</v>
      </c>
      <c r="M27" s="55"/>
      <c r="N27" s="88">
        <f>N22/L27</f>
        <v>968.38308457711435</v>
      </c>
      <c r="O27" s="81" t="s">
        <v>74</v>
      </c>
      <c r="P27" s="69"/>
      <c r="Q27" s="65" t="s">
        <v>198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1" workbookViewId="0">
      <selection activeCell="B32" sqref="B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227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39</v>
      </c>
      <c r="E4" s="22">
        <v>36</v>
      </c>
      <c r="F4" s="22">
        <v>60</v>
      </c>
      <c r="G4" s="22">
        <v>30</v>
      </c>
      <c r="H4" s="22">
        <v>35</v>
      </c>
      <c r="I4" s="22">
        <v>20</v>
      </c>
      <c r="J4" s="22">
        <v>20</v>
      </c>
      <c r="K4" s="22">
        <v>140</v>
      </c>
      <c r="L4" s="22">
        <v>100</v>
      </c>
      <c r="M4" s="93">
        <f>K4+L4</f>
        <v>240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 t="s">
        <v>57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5</v>
      </c>
      <c r="F6" s="22">
        <v>10</v>
      </c>
      <c r="G6" s="22"/>
      <c r="H6" s="22">
        <v>5</v>
      </c>
      <c r="I6" s="22">
        <v>2</v>
      </c>
      <c r="J6" s="22">
        <v>3</v>
      </c>
      <c r="K6" s="22">
        <v>20</v>
      </c>
      <c r="L6" s="22">
        <v>5</v>
      </c>
      <c r="M6" s="93">
        <f t="shared" si="0"/>
        <v>25</v>
      </c>
      <c r="N6" s="104" t="s">
        <v>57</v>
      </c>
      <c r="O6" s="96"/>
      <c r="P6" s="65"/>
      <c r="Q6" s="309" t="s">
        <v>13</v>
      </c>
    </row>
    <row r="7" spans="1:17" ht="15" customHeight="1" x14ac:dyDescent="0.25">
      <c r="A7" s="25"/>
      <c r="B7" s="21" t="s">
        <v>19</v>
      </c>
      <c r="C7" s="22"/>
      <c r="D7" s="22"/>
      <c r="E7" s="22">
        <v>3</v>
      </c>
      <c r="F7" s="22">
        <v>2</v>
      </c>
      <c r="G7" s="22">
        <v>10</v>
      </c>
      <c r="H7" s="22">
        <v>15</v>
      </c>
      <c r="I7" s="22"/>
      <c r="J7" s="22"/>
      <c r="K7" s="22">
        <v>20</v>
      </c>
      <c r="L7" s="22">
        <v>2</v>
      </c>
      <c r="M7" s="93">
        <f t="shared" si="0"/>
        <v>22</v>
      </c>
      <c r="N7" s="104" t="s">
        <v>13</v>
      </c>
      <c r="O7" s="97"/>
      <c r="P7" s="65"/>
      <c r="Q7" s="310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3.5" customHeight="1" x14ac:dyDescent="0.25">
      <c r="A9" s="33"/>
      <c r="B9" s="34" t="s">
        <v>14</v>
      </c>
      <c r="C9" s="22">
        <v>2</v>
      </c>
      <c r="D9" s="22">
        <v>24</v>
      </c>
      <c r="E9" s="22">
        <v>28</v>
      </c>
      <c r="F9" s="22">
        <v>38</v>
      </c>
      <c r="G9" s="22">
        <v>19</v>
      </c>
      <c r="H9" s="22">
        <v>28</v>
      </c>
      <c r="I9" s="22">
        <v>32</v>
      </c>
      <c r="J9" s="22">
        <v>27</v>
      </c>
      <c r="K9" s="22">
        <v>142</v>
      </c>
      <c r="L9" s="22">
        <v>56</v>
      </c>
      <c r="M9" s="93">
        <f t="shared" ref="M9:M12" si="1">K9+L9</f>
        <v>198</v>
      </c>
      <c r="N9" s="82" t="s">
        <v>161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5</v>
      </c>
      <c r="F10" s="22">
        <v>2</v>
      </c>
      <c r="G10" s="22">
        <v>5</v>
      </c>
      <c r="H10" s="22">
        <v>6</v>
      </c>
      <c r="I10" s="22"/>
      <c r="J10" s="22">
        <v>1</v>
      </c>
      <c r="K10" s="22">
        <v>22</v>
      </c>
      <c r="L10" s="22">
        <v>0</v>
      </c>
      <c r="M10" s="93">
        <f t="shared" si="1"/>
        <v>22</v>
      </c>
      <c r="N10" s="82" t="s">
        <v>57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6</v>
      </c>
      <c r="F11" s="22">
        <v>4</v>
      </c>
      <c r="G11" s="22">
        <v>3</v>
      </c>
      <c r="H11" s="22">
        <v>7</v>
      </c>
      <c r="I11" s="22">
        <v>6</v>
      </c>
      <c r="J11" s="22">
        <v>4</v>
      </c>
      <c r="K11" s="22">
        <v>30</v>
      </c>
      <c r="L11" s="22">
        <v>5</v>
      </c>
      <c r="M11" s="93">
        <f t="shared" si="1"/>
        <v>35</v>
      </c>
      <c r="N11" s="66" t="s">
        <v>13</v>
      </c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2</v>
      </c>
      <c r="F12" s="22">
        <v>3</v>
      </c>
      <c r="G12" s="22"/>
      <c r="H12" s="22"/>
      <c r="I12" s="22"/>
      <c r="J12" s="22"/>
      <c r="K12" s="22">
        <v>8</v>
      </c>
      <c r="L12" s="22">
        <v>0</v>
      </c>
      <c r="M12" s="93">
        <f t="shared" si="1"/>
        <v>8</v>
      </c>
      <c r="N12" s="82"/>
      <c r="O12" s="82"/>
      <c r="P12" s="82"/>
      <c r="Q12" s="37" t="s">
        <v>13</v>
      </c>
    </row>
    <row r="13" spans="1:17" ht="33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30</v>
      </c>
      <c r="E14" s="22">
        <v>28</v>
      </c>
      <c r="F14" s="22">
        <v>32</v>
      </c>
      <c r="G14" s="22">
        <v>25</v>
      </c>
      <c r="H14" s="22">
        <v>30</v>
      </c>
      <c r="I14" s="22">
        <v>34</v>
      </c>
      <c r="J14" s="22">
        <v>30</v>
      </c>
      <c r="K14" s="22">
        <v>157</v>
      </c>
      <c r="L14" s="22">
        <v>52</v>
      </c>
      <c r="M14" s="93">
        <f t="shared" ref="M14:M17" si="2">K14+L14</f>
        <v>209</v>
      </c>
      <c r="N14" s="103" t="s">
        <v>57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8</v>
      </c>
      <c r="F16" s="22"/>
      <c r="G16" s="22">
        <v>6</v>
      </c>
      <c r="H16" s="22"/>
      <c r="I16" s="22">
        <v>3</v>
      </c>
      <c r="J16" s="22"/>
      <c r="K16" s="22">
        <v>17</v>
      </c>
      <c r="L16" s="22">
        <v>0</v>
      </c>
      <c r="M16" s="93">
        <f t="shared" si="2"/>
        <v>17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10</v>
      </c>
      <c r="F17" s="22">
        <v>15</v>
      </c>
      <c r="G17" s="22">
        <v>10</v>
      </c>
      <c r="H17" s="22">
        <v>7</v>
      </c>
      <c r="I17" s="22">
        <v>5</v>
      </c>
      <c r="J17" s="22"/>
      <c r="K17" s="22">
        <v>40</v>
      </c>
      <c r="L17" s="22">
        <v>7</v>
      </c>
      <c r="M17" s="93">
        <f t="shared" si="2"/>
        <v>47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647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22</v>
      </c>
      <c r="O19" s="69">
        <v>611.05999999999995</v>
      </c>
      <c r="P19" s="46" t="s">
        <v>196</v>
      </c>
      <c r="Q19" s="65">
        <v>11949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77</v>
      </c>
      <c r="O20" s="77" t="s">
        <v>65</v>
      </c>
      <c r="P20" s="75">
        <v>60</v>
      </c>
      <c r="Q20" s="65">
        <v>4097.0600000000004</v>
      </c>
    </row>
    <row r="21" spans="1:20" ht="25.5" customHeight="1" x14ac:dyDescent="0.25">
      <c r="A21" s="16" t="s">
        <v>46</v>
      </c>
      <c r="B21" s="66">
        <v>206.29166666666666</v>
      </c>
      <c r="C21" s="66">
        <v>206.54166666666666</v>
      </c>
      <c r="D21" s="66">
        <f t="shared" ref="D21:D23" si="3">C21-B21</f>
        <v>0.25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206.95833333333334</v>
      </c>
      <c r="I21" s="66">
        <v>207.20833333333334</v>
      </c>
      <c r="J21" s="71">
        <f>I21-H21-K21</f>
        <v>0.25</v>
      </c>
      <c r="K21" s="66"/>
      <c r="L21" s="73">
        <f>D21+G21+J21</f>
        <v>0.79166666666665719</v>
      </c>
      <c r="M21" s="154" t="s">
        <v>47</v>
      </c>
      <c r="N21" s="65">
        <f>M17+M12+M7</f>
        <v>77</v>
      </c>
      <c r="O21" s="78" t="s">
        <v>69</v>
      </c>
      <c r="P21" s="75">
        <v>249</v>
      </c>
      <c r="Q21" s="65">
        <v>6192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ref="D22" si="4">C22-B22</f>
        <v>0.29861111111111427</v>
      </c>
      <c r="E22" s="66">
        <v>206.60416666666666</v>
      </c>
      <c r="F22" s="66">
        <v>206.875</v>
      </c>
      <c r="G22" s="66">
        <f>F22-E22</f>
        <v>0.27083333333334281</v>
      </c>
      <c r="H22" s="66">
        <v>206.97916666666666</v>
      </c>
      <c r="I22" s="66">
        <v>207.20833333333334</v>
      </c>
      <c r="J22" s="71">
        <f>I22-H22-K22</f>
        <v>0.22916666666668561</v>
      </c>
      <c r="K22" s="75"/>
      <c r="L22" s="73">
        <f>D22+G22+J22</f>
        <v>0.79861111111114269</v>
      </c>
      <c r="M22" s="49" t="s">
        <v>49</v>
      </c>
      <c r="N22" s="65">
        <v>37718</v>
      </c>
      <c r="O22" s="80" t="s">
        <v>66</v>
      </c>
      <c r="P22" s="75">
        <v>114</v>
      </c>
      <c r="Q22" s="65">
        <v>2814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si="3"/>
        <v>0.27083333333331439</v>
      </c>
      <c r="E23" s="66">
        <v>206.60416666666666</v>
      </c>
      <c r="F23" s="66">
        <v>206.875</v>
      </c>
      <c r="G23" s="66">
        <f>F23-E23</f>
        <v>0.27083333333334281</v>
      </c>
      <c r="H23" s="66">
        <v>206.97569444444446</v>
      </c>
      <c r="I23" s="66">
        <v>207.20833333333334</v>
      </c>
      <c r="J23" s="71">
        <f>I23-H23-K23</f>
        <v>0.23263888888888573</v>
      </c>
      <c r="K23" s="155"/>
      <c r="L23" s="156">
        <f>D23+G23+J23</f>
        <v>0.77430555555554292</v>
      </c>
      <c r="M23" s="154" t="s">
        <v>64</v>
      </c>
      <c r="N23" s="85">
        <v>6</v>
      </c>
      <c r="O23" s="86" t="s">
        <v>67</v>
      </c>
      <c r="P23" s="76">
        <v>6</v>
      </c>
      <c r="Q23" s="65">
        <v>178.7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0.81944444444442865</v>
      </c>
      <c r="E24" s="68"/>
      <c r="F24" s="68"/>
      <c r="G24" s="66">
        <f>SUM(G21:G23)</f>
        <v>0.83333333333334281</v>
      </c>
      <c r="H24" s="68"/>
      <c r="I24" s="68"/>
      <c r="J24" s="71">
        <f>SUM(J21:J23)</f>
        <v>0.71180555555557135</v>
      </c>
      <c r="K24" s="75"/>
      <c r="L24" s="83">
        <f>SUM(L21:L23)</f>
        <v>2.3645833333333428</v>
      </c>
      <c r="M24" s="65" t="s">
        <v>78</v>
      </c>
      <c r="N24" s="65">
        <v>22104</v>
      </c>
      <c r="P24" s="79" t="s">
        <v>68</v>
      </c>
      <c r="Q24" s="43">
        <v>30135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 +Sheet1!N24</f>
        <v>56488.35</v>
      </c>
      <c r="P25" s="154" t="s">
        <v>77</v>
      </c>
      <c r="Q25" s="87">
        <v>34232.300000000003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58000</v>
      </c>
      <c r="P26" s="51" t="s">
        <v>87</v>
      </c>
      <c r="Q26" s="69">
        <f>Q24 +Sheet1!Q25</f>
        <v>80261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56.45</v>
      </c>
      <c r="M27" s="55"/>
      <c r="N27" s="88">
        <f>N22/L27</f>
        <v>668.16651904340119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3.85546875" style="1" customWidth="1"/>
    <col min="15" max="15" width="10.140625" style="1" customWidth="1"/>
    <col min="16" max="16" width="13.42578125" style="1" customWidth="1"/>
    <col min="17" max="17" width="22.855468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311</v>
      </c>
    </row>
    <row r="3" spans="1:17" ht="27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36</v>
      </c>
      <c r="E4" s="22">
        <v>37</v>
      </c>
      <c r="F4" s="22">
        <v>27</v>
      </c>
      <c r="G4" s="22">
        <v>23</v>
      </c>
      <c r="H4" s="22">
        <v>37</v>
      </c>
      <c r="I4" s="22">
        <v>30</v>
      </c>
      <c r="J4" s="22">
        <v>29</v>
      </c>
      <c r="K4" s="22">
        <v>134</v>
      </c>
      <c r="L4" s="22">
        <v>85</v>
      </c>
      <c r="M4" s="93">
        <f>K4+L4</f>
        <v>219</v>
      </c>
      <c r="N4" s="104" t="s">
        <v>260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49</v>
      </c>
      <c r="L5" s="22">
        <v>0</v>
      </c>
      <c r="M5" s="93">
        <f t="shared" ref="M5:M7" si="0">K5+L5</f>
        <v>49</v>
      </c>
      <c r="N5" s="104" t="s">
        <v>57</v>
      </c>
      <c r="O5" s="66">
        <v>10.420138888888889</v>
      </c>
      <c r="P5" s="66">
        <v>15.135416666666666</v>
      </c>
      <c r="Q5" s="33" t="s">
        <v>315</v>
      </c>
    </row>
    <row r="6" spans="1:17" ht="15.75" customHeight="1" x14ac:dyDescent="0.25">
      <c r="A6" s="23" t="s">
        <v>17</v>
      </c>
      <c r="B6" s="21" t="s">
        <v>18</v>
      </c>
      <c r="C6" s="22"/>
      <c r="D6" s="184"/>
      <c r="E6" s="184"/>
      <c r="F6" s="184"/>
      <c r="G6" s="184"/>
      <c r="H6" s="184"/>
      <c r="I6" s="184"/>
      <c r="J6" s="184"/>
      <c r="K6" s="22">
        <v>0</v>
      </c>
      <c r="L6" s="22">
        <v>0</v>
      </c>
      <c r="M6" s="93">
        <f t="shared" si="0"/>
        <v>0</v>
      </c>
      <c r="N6" s="104" t="s">
        <v>57</v>
      </c>
      <c r="O6" s="96"/>
      <c r="P6" s="65"/>
      <c r="Q6" s="66" t="s">
        <v>316</v>
      </c>
    </row>
    <row r="7" spans="1:17" ht="15" customHeight="1" x14ac:dyDescent="0.25">
      <c r="A7" s="25"/>
      <c r="B7" s="21" t="s">
        <v>19</v>
      </c>
      <c r="C7" s="22"/>
      <c r="D7" s="22">
        <v>6</v>
      </c>
      <c r="E7" s="22">
        <v>5</v>
      </c>
      <c r="F7" s="22">
        <v>4</v>
      </c>
      <c r="G7" s="22">
        <v>5</v>
      </c>
      <c r="H7" s="22">
        <v>5</v>
      </c>
      <c r="I7" s="22">
        <v>3</v>
      </c>
      <c r="J7" s="22">
        <v>2</v>
      </c>
      <c r="K7" s="22">
        <v>30</v>
      </c>
      <c r="L7" s="22">
        <v>0</v>
      </c>
      <c r="M7" s="93">
        <f t="shared" si="0"/>
        <v>30</v>
      </c>
      <c r="N7" s="104" t="s">
        <v>260</v>
      </c>
      <c r="O7" s="97"/>
      <c r="P7" s="65"/>
      <c r="Q7" s="217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3.5" customHeight="1" x14ac:dyDescent="0.25">
      <c r="A9" s="33"/>
      <c r="B9" s="34" t="s">
        <v>14</v>
      </c>
      <c r="C9" s="22"/>
      <c r="D9" s="22">
        <v>24</v>
      </c>
      <c r="E9" s="22">
        <v>36</v>
      </c>
      <c r="F9" s="22">
        <v>28</v>
      </c>
      <c r="G9" s="22">
        <v>20</v>
      </c>
      <c r="H9" s="22">
        <v>28</v>
      </c>
      <c r="I9" s="22">
        <v>34</v>
      </c>
      <c r="J9" s="22">
        <v>30</v>
      </c>
      <c r="K9" s="22">
        <v>132</v>
      </c>
      <c r="L9" s="22">
        <v>68</v>
      </c>
      <c r="M9" s="93">
        <f t="shared" ref="M9:M12" si="1">K9+L9</f>
        <v>200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>
        <v>2</v>
      </c>
      <c r="F10" s="22">
        <v>2</v>
      </c>
      <c r="G10" s="22">
        <v>4</v>
      </c>
      <c r="H10" s="22">
        <v>2</v>
      </c>
      <c r="I10" s="22"/>
      <c r="J10" s="22">
        <v>3</v>
      </c>
      <c r="K10" s="22">
        <v>13</v>
      </c>
      <c r="L10" s="22">
        <v>0</v>
      </c>
      <c r="M10" s="93">
        <f t="shared" si="1"/>
        <v>13</v>
      </c>
      <c r="N10" s="82" t="s">
        <v>57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57</v>
      </c>
      <c r="O11" s="240">
        <v>0.375</v>
      </c>
      <c r="P11" s="240">
        <v>0.45833333333333331</v>
      </c>
      <c r="Q11" s="33" t="s">
        <v>325</v>
      </c>
    </row>
    <row r="12" spans="1:17" ht="13.5" customHeight="1" x14ac:dyDescent="0.25">
      <c r="A12" s="36"/>
      <c r="B12" s="34" t="s">
        <v>19</v>
      </c>
      <c r="C12" s="22"/>
      <c r="D12" s="22">
        <v>6</v>
      </c>
      <c r="E12" s="22">
        <v>8</v>
      </c>
      <c r="F12" s="22">
        <v>7</v>
      </c>
      <c r="G12" s="22"/>
      <c r="H12" s="22">
        <v>2</v>
      </c>
      <c r="I12" s="22"/>
      <c r="J12" s="22"/>
      <c r="K12" s="22">
        <v>21</v>
      </c>
      <c r="L12" s="22">
        <v>2</v>
      </c>
      <c r="M12" s="93">
        <f t="shared" si="1"/>
        <v>23</v>
      </c>
      <c r="N12" s="82"/>
      <c r="O12" s="82"/>
      <c r="P12" s="82"/>
      <c r="Q12" s="37"/>
    </row>
    <row r="13" spans="1:17" ht="28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241" t="s">
        <v>265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30</v>
      </c>
      <c r="E14" s="22">
        <v>32</v>
      </c>
      <c r="F14" s="22">
        <v>33</v>
      </c>
      <c r="G14" s="22">
        <v>35</v>
      </c>
      <c r="H14" s="22">
        <v>36</v>
      </c>
      <c r="I14" s="22">
        <v>32</v>
      </c>
      <c r="J14" s="22">
        <v>30</v>
      </c>
      <c r="K14" s="22">
        <v>180</v>
      </c>
      <c r="L14" s="22">
        <v>48</v>
      </c>
      <c r="M14" s="93">
        <f t="shared" ref="M14:M17" si="2">K14+L14</f>
        <v>228</v>
      </c>
      <c r="N14" s="103" t="s">
        <v>57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2"/>
        <v>0</v>
      </c>
      <c r="N16" s="103" t="s">
        <v>57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 t="s">
        <v>13</v>
      </c>
      <c r="K17" s="22">
        <v>27</v>
      </c>
      <c r="L17" s="22">
        <v>0</v>
      </c>
      <c r="M17" s="93">
        <f t="shared" si="2"/>
        <v>27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647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62</v>
      </c>
      <c r="O19" s="69">
        <v>1485</v>
      </c>
      <c r="P19" s="46" t="s">
        <v>312</v>
      </c>
      <c r="Q19" s="65" t="s">
        <v>313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0</v>
      </c>
      <c r="O20" s="77" t="s">
        <v>65</v>
      </c>
      <c r="P20" s="75">
        <v>60</v>
      </c>
      <c r="Q20" s="65">
        <v>4166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" si="3">C21-B21</f>
        <v>0.29166666666665719</v>
      </c>
      <c r="E21" s="66">
        <v>206.58333333333334</v>
      </c>
      <c r="F21" s="66">
        <v>206.875</v>
      </c>
      <c r="G21" s="66">
        <f t="shared" ref="G21" si="4">F21-E21</f>
        <v>0.29166666666665719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0.875</v>
      </c>
      <c r="M21" s="154" t="s">
        <v>47</v>
      </c>
      <c r="N21" s="65">
        <f>M17+M12+M7</f>
        <v>80</v>
      </c>
      <c r="O21" s="78" t="s">
        <v>69</v>
      </c>
      <c r="P21" s="75">
        <v>194</v>
      </c>
      <c r="Q21" s="65">
        <v>5759</v>
      </c>
    </row>
    <row r="22" spans="1:20" ht="27" customHeight="1" x14ac:dyDescent="0.25">
      <c r="A22" s="16" t="s">
        <v>48</v>
      </c>
      <c r="B22" s="66">
        <v>206.30902777777777</v>
      </c>
      <c r="C22" s="66">
        <v>206.54166666666666</v>
      </c>
      <c r="D22" s="66">
        <f t="shared" ref="D22:D23" si="5">C22-B22</f>
        <v>0.23263888888888573</v>
      </c>
      <c r="E22" s="66">
        <v>206.65625</v>
      </c>
      <c r="F22" s="66">
        <v>206.875</v>
      </c>
      <c r="G22" s="66">
        <f t="shared" ref="G22:G23" si="6">F22-E22</f>
        <v>0.21875</v>
      </c>
      <c r="H22" s="66">
        <v>206.96527777777777</v>
      </c>
      <c r="I22" s="66">
        <v>207.20833333333334</v>
      </c>
      <c r="J22" s="71">
        <f>I22-H22-K22</f>
        <v>0.24305555555557135</v>
      </c>
      <c r="K22" s="75"/>
      <c r="L22" s="73">
        <f>D22+G22+J22</f>
        <v>0.69444444444445708</v>
      </c>
      <c r="M22" s="49" t="s">
        <v>49</v>
      </c>
      <c r="N22" s="65">
        <v>33885</v>
      </c>
      <c r="O22" s="80" t="s">
        <v>66</v>
      </c>
      <c r="P22" s="75">
        <v>132</v>
      </c>
      <c r="Q22" s="65">
        <v>3179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si="5"/>
        <v>0.27083333333331439</v>
      </c>
      <c r="E23" s="66">
        <v>206.57986111111111</v>
      </c>
      <c r="F23" s="66">
        <v>206.875</v>
      </c>
      <c r="G23" s="66">
        <f t="shared" si="6"/>
        <v>0.29513888888888573</v>
      </c>
      <c r="H23" s="66">
        <v>206.875</v>
      </c>
      <c r="I23" s="66">
        <v>207.16666666666666</v>
      </c>
      <c r="J23" s="71">
        <f>I23-H23-K23</f>
        <v>0.29166666666665719</v>
      </c>
      <c r="K23" s="155"/>
      <c r="L23" s="156">
        <f>D23+G23+J23</f>
        <v>0.85763888888885731</v>
      </c>
      <c r="M23" s="154" t="s">
        <v>64</v>
      </c>
      <c r="N23" s="85">
        <v>10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0.79513888888885731</v>
      </c>
      <c r="E24" s="68"/>
      <c r="F24" s="68"/>
      <c r="G24" s="66">
        <f>SUM(G21:G23)</f>
        <v>0.80555555555554292</v>
      </c>
      <c r="H24" s="68"/>
      <c r="I24" s="68"/>
      <c r="J24" s="71">
        <f>SUM(J21:J23)</f>
        <v>0.82638888888891415</v>
      </c>
      <c r="K24" s="75"/>
      <c r="L24" s="83">
        <f>SUM(L21:L23)</f>
        <v>2.4270833333333144</v>
      </c>
      <c r="M24" s="65" t="s">
        <v>78</v>
      </c>
      <c r="N24" s="65">
        <v>36871</v>
      </c>
      <c r="P24" s="79" t="s">
        <v>68</v>
      </c>
      <c r="Q24" s="43">
        <v>44787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N24+Sheet19!O25</f>
        <v>621075.46000000008</v>
      </c>
      <c r="P25" s="154" t="s">
        <v>77</v>
      </c>
      <c r="Q25" s="87">
        <v>48954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41000</v>
      </c>
      <c r="P26" s="51" t="s">
        <v>87</v>
      </c>
      <c r="Q26" s="69">
        <f>Q24+Sheet19!Q26</f>
        <v>614908.4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58.15</v>
      </c>
      <c r="M27" s="55"/>
      <c r="N27" s="69">
        <f>N22/L27</f>
        <v>582.71711092003443</v>
      </c>
      <c r="O27" s="81" t="s">
        <v>74</v>
      </c>
      <c r="P27" s="69"/>
      <c r="Q27" s="65" t="s">
        <v>314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317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6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7.28515625" style="1" customWidth="1"/>
    <col min="17" max="17" width="20.85546875" style="1" customWidth="1"/>
    <col min="18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318</v>
      </c>
    </row>
    <row r="3" spans="1:18" ht="29.2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8" ht="15" customHeight="1" x14ac:dyDescent="0.25">
      <c r="A4" s="20"/>
      <c r="B4" s="21" t="s">
        <v>14</v>
      </c>
      <c r="C4" s="22"/>
      <c r="D4" s="22">
        <v>30</v>
      </c>
      <c r="E4" s="22">
        <v>40</v>
      </c>
      <c r="F4" s="22">
        <v>30</v>
      </c>
      <c r="G4" s="22">
        <v>35</v>
      </c>
      <c r="H4" s="22">
        <v>45</v>
      </c>
      <c r="I4" s="22"/>
      <c r="J4" s="22"/>
      <c r="K4" s="22">
        <v>142</v>
      </c>
      <c r="L4" s="22">
        <v>53</v>
      </c>
      <c r="M4" s="93">
        <f>K4+L4</f>
        <v>195</v>
      </c>
      <c r="N4" s="104" t="s">
        <v>57</v>
      </c>
      <c r="O4" s="95" t="s">
        <v>88</v>
      </c>
      <c r="P4" s="105" t="s">
        <v>89</v>
      </c>
      <c r="Q4" s="65"/>
    </row>
    <row r="5" spans="1:18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54</v>
      </c>
      <c r="L5" s="22">
        <v>0</v>
      </c>
      <c r="M5" s="93">
        <f t="shared" ref="M5:M7" si="0">K5+L5</f>
        <v>54</v>
      </c>
      <c r="N5" s="104" t="s">
        <v>260</v>
      </c>
      <c r="O5" s="66">
        <v>9.3958333333333339</v>
      </c>
      <c r="P5" s="66">
        <v>10.447916666666666</v>
      </c>
      <c r="Q5" s="33" t="s">
        <v>321</v>
      </c>
    </row>
    <row r="6" spans="1:18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57</v>
      </c>
      <c r="O6" s="96"/>
      <c r="P6" s="65"/>
      <c r="Q6" s="66" t="s">
        <v>322</v>
      </c>
    </row>
    <row r="7" spans="1:18" ht="15" customHeight="1" x14ac:dyDescent="0.25">
      <c r="A7" s="25"/>
      <c r="B7" s="21" t="s">
        <v>19</v>
      </c>
      <c r="C7" s="22"/>
      <c r="D7" s="22">
        <v>7</v>
      </c>
      <c r="E7" s="22">
        <v>7</v>
      </c>
      <c r="F7" s="22">
        <v>5</v>
      </c>
      <c r="G7" s="22">
        <v>7</v>
      </c>
      <c r="H7" s="22">
        <v>3</v>
      </c>
      <c r="I7" s="22">
        <v>2</v>
      </c>
      <c r="J7" s="22">
        <v>4</v>
      </c>
      <c r="K7" s="22">
        <v>29</v>
      </c>
      <c r="L7" s="22">
        <v>0</v>
      </c>
      <c r="M7" s="93">
        <f t="shared" si="0"/>
        <v>29</v>
      </c>
      <c r="N7" s="104" t="s">
        <v>260</v>
      </c>
      <c r="O7" s="97"/>
      <c r="P7" s="65"/>
      <c r="Q7" s="217"/>
    </row>
    <row r="8" spans="1:18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66" t="s">
        <v>13</v>
      </c>
      <c r="P8" s="66" t="s">
        <v>13</v>
      </c>
      <c r="Q8" s="66" t="s">
        <v>13</v>
      </c>
    </row>
    <row r="9" spans="1:18" ht="16.5" customHeight="1" x14ac:dyDescent="0.25">
      <c r="A9" s="33"/>
      <c r="B9" s="34" t="s">
        <v>14</v>
      </c>
      <c r="C9" s="22"/>
      <c r="D9" s="22">
        <v>25</v>
      </c>
      <c r="E9" s="22">
        <v>35</v>
      </c>
      <c r="F9" s="22">
        <v>20</v>
      </c>
      <c r="G9" s="22">
        <v>20</v>
      </c>
      <c r="H9" s="22">
        <v>38</v>
      </c>
      <c r="I9" s="22">
        <v>32</v>
      </c>
      <c r="J9" s="22">
        <v>32</v>
      </c>
      <c r="K9" s="22">
        <v>170</v>
      </c>
      <c r="L9" s="22">
        <v>32</v>
      </c>
      <c r="M9" s="93">
        <f t="shared" ref="M9:M12" si="1">K9+L9</f>
        <v>202</v>
      </c>
      <c r="N9" s="82" t="s">
        <v>57</v>
      </c>
      <c r="O9" s="99"/>
      <c r="P9" s="82"/>
      <c r="Q9" s="36" t="s">
        <v>13</v>
      </c>
    </row>
    <row r="10" spans="1:18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5</v>
      </c>
      <c r="F10" s="22">
        <v>9</v>
      </c>
      <c r="G10" s="22">
        <v>8</v>
      </c>
      <c r="H10" s="22">
        <v>12</v>
      </c>
      <c r="I10" s="22">
        <v>7</v>
      </c>
      <c r="J10" s="22">
        <v>4</v>
      </c>
      <c r="K10" s="22">
        <v>49</v>
      </c>
      <c r="L10" s="22">
        <v>0</v>
      </c>
      <c r="M10" s="93">
        <f t="shared" si="1"/>
        <v>49</v>
      </c>
      <c r="N10" s="82" t="s">
        <v>57</v>
      </c>
      <c r="O10" s="303" t="s">
        <v>165</v>
      </c>
      <c r="P10" s="304"/>
      <c r="Q10" s="43" t="s">
        <v>73</v>
      </c>
    </row>
    <row r="11" spans="1:18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260</v>
      </c>
      <c r="O11" s="66">
        <v>9.0833333333333339</v>
      </c>
      <c r="P11" s="66" t="s">
        <v>323</v>
      </c>
      <c r="Q11" s="66" t="s">
        <v>324</v>
      </c>
      <c r="R11" s="1" t="s">
        <v>13</v>
      </c>
    </row>
    <row r="12" spans="1:18" ht="13.5" customHeight="1" x14ac:dyDescent="0.25">
      <c r="A12" s="36"/>
      <c r="B12" s="34" t="s">
        <v>19</v>
      </c>
      <c r="C12" s="22"/>
      <c r="D12" s="22">
        <v>3</v>
      </c>
      <c r="E12" s="22">
        <v>5</v>
      </c>
      <c r="F12" s="22">
        <v>2</v>
      </c>
      <c r="G12" s="22"/>
      <c r="H12" s="22">
        <v>5</v>
      </c>
      <c r="I12" s="22">
        <v>5</v>
      </c>
      <c r="J12" s="22">
        <v>4</v>
      </c>
      <c r="K12" s="22">
        <v>24</v>
      </c>
      <c r="L12" s="22">
        <v>0</v>
      </c>
      <c r="M12" s="93">
        <f t="shared" si="1"/>
        <v>24</v>
      </c>
      <c r="N12" s="82"/>
      <c r="O12" s="82"/>
      <c r="P12" s="82"/>
      <c r="Q12" s="65" t="s">
        <v>13</v>
      </c>
    </row>
    <row r="13" spans="1:18" ht="31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8" ht="15" x14ac:dyDescent="0.25">
      <c r="A14" s="33"/>
      <c r="B14" s="21" t="s">
        <v>14</v>
      </c>
      <c r="C14" s="22"/>
      <c r="D14" s="22">
        <v>24</v>
      </c>
      <c r="E14" s="22">
        <v>25</v>
      </c>
      <c r="F14" s="22">
        <v>26</v>
      </c>
      <c r="G14" s="22">
        <v>23</v>
      </c>
      <c r="H14" s="22"/>
      <c r="I14" s="22"/>
      <c r="J14" s="22"/>
      <c r="K14" s="22">
        <v>166</v>
      </c>
      <c r="L14" s="22">
        <v>26</v>
      </c>
      <c r="M14" s="93">
        <f t="shared" ref="M14:M17" si="2">K14+L14</f>
        <v>192</v>
      </c>
      <c r="N14" s="103" t="s">
        <v>57</v>
      </c>
      <c r="O14" s="101"/>
      <c r="P14" s="82"/>
      <c r="Q14" s="37"/>
    </row>
    <row r="15" spans="1:18" ht="15.7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8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2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7</v>
      </c>
      <c r="E17" s="22">
        <v>6</v>
      </c>
      <c r="F17" s="22">
        <v>7</v>
      </c>
      <c r="G17" s="22">
        <v>6</v>
      </c>
      <c r="H17" s="22"/>
      <c r="I17" s="22"/>
      <c r="J17" s="22"/>
      <c r="K17" s="22">
        <v>40</v>
      </c>
      <c r="L17" s="22">
        <v>0</v>
      </c>
      <c r="M17" s="93">
        <f t="shared" si="2"/>
        <v>40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589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103</v>
      </c>
      <c r="O19" s="69">
        <v>2568</v>
      </c>
      <c r="P19" s="46" t="s">
        <v>319</v>
      </c>
      <c r="Q19" s="65" t="s">
        <v>320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0</v>
      </c>
      <c r="O20" s="77" t="s">
        <v>65</v>
      </c>
      <c r="P20" s="75">
        <v>60</v>
      </c>
      <c r="Q20" s="65">
        <v>4169.46</v>
      </c>
    </row>
    <row r="21" spans="1:20" ht="25.5" customHeight="1" x14ac:dyDescent="0.25">
      <c r="A21" s="16" t="s">
        <v>46</v>
      </c>
      <c r="B21" s="66">
        <v>206.29166666666666</v>
      </c>
      <c r="C21" s="66">
        <v>206.54166666666666</v>
      </c>
      <c r="D21" s="66">
        <f t="shared" ref="D21" si="3">C21-B21</f>
        <v>0.25</v>
      </c>
      <c r="E21" s="66">
        <v>206.58333333333334</v>
      </c>
      <c r="F21" s="66">
        <v>206.875</v>
      </c>
      <c r="G21" s="66">
        <f t="shared" ref="G21" si="4">F21-E21</f>
        <v>0.29166666666665719</v>
      </c>
      <c r="H21" s="66">
        <v>206.91666666666666</v>
      </c>
      <c r="I21" s="66">
        <v>207.16666666666666</v>
      </c>
      <c r="J21" s="71">
        <f>I21-H21-K21</f>
        <v>0.25</v>
      </c>
      <c r="K21" s="66">
        <v>0</v>
      </c>
      <c r="L21" s="73">
        <f>D21+G21+J21</f>
        <v>0.79166666666665719</v>
      </c>
      <c r="M21" s="154" t="s">
        <v>47</v>
      </c>
      <c r="N21" s="65">
        <f>M17+M12+M7</f>
        <v>93</v>
      </c>
      <c r="O21" s="78" t="s">
        <v>69</v>
      </c>
      <c r="P21" s="75">
        <v>204</v>
      </c>
      <c r="Q21" s="65">
        <v>5977.07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ref="D22:D23" si="5">C22-B22</f>
        <v>0.29861111111111427</v>
      </c>
      <c r="E22" s="66">
        <v>206.57986111111111</v>
      </c>
      <c r="F22" s="66">
        <v>206.875</v>
      </c>
      <c r="G22" s="66">
        <f t="shared" ref="G22:G23" si="6">F22-E22</f>
        <v>0.29513888888888573</v>
      </c>
      <c r="H22" s="66">
        <v>206.91666666666666</v>
      </c>
      <c r="I22" s="66">
        <v>207.16666666666666</v>
      </c>
      <c r="J22" s="71">
        <f>I22-H22-K22</f>
        <v>0.25</v>
      </c>
      <c r="K22" s="75"/>
      <c r="L22" s="73">
        <f>D22+G22+J22</f>
        <v>0.84375</v>
      </c>
      <c r="M22" s="49" t="s">
        <v>49</v>
      </c>
      <c r="N22" s="65">
        <v>32218.04</v>
      </c>
      <c r="O22" s="80" t="s">
        <v>66</v>
      </c>
      <c r="P22" s="76">
        <v>89</v>
      </c>
      <c r="Q22" s="65">
        <v>1794.97</v>
      </c>
    </row>
    <row r="23" spans="1:20" ht="27" customHeight="1" x14ac:dyDescent="0.25">
      <c r="A23" s="157" t="s">
        <v>50</v>
      </c>
      <c r="B23" s="66">
        <v>206.25</v>
      </c>
      <c r="C23" s="66">
        <v>206.41666666666666</v>
      </c>
      <c r="D23" s="66">
        <f t="shared" si="5"/>
        <v>0.16666666666665719</v>
      </c>
      <c r="E23" s="66">
        <v>206.66666666666666</v>
      </c>
      <c r="F23" s="66">
        <v>206.875</v>
      </c>
      <c r="G23" s="66">
        <f t="shared" si="6"/>
        <v>0.20833333333334281</v>
      </c>
      <c r="H23" s="66">
        <v>206.91666666666666</v>
      </c>
      <c r="I23" s="66">
        <v>207.08333333333334</v>
      </c>
      <c r="J23" s="71">
        <f>I23-H23-K23</f>
        <v>0.16666666666668561</v>
      </c>
      <c r="K23" s="155"/>
      <c r="L23" s="156">
        <f>D23+G23+J23</f>
        <v>0.54166666666668561</v>
      </c>
      <c r="M23" s="154" t="s">
        <v>64</v>
      </c>
      <c r="N23" s="85">
        <v>9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0.71527777777777146</v>
      </c>
      <c r="E24" s="68"/>
      <c r="F24" s="68"/>
      <c r="G24" s="66">
        <f>SUM(G21:G23)</f>
        <v>0.79513888888888573</v>
      </c>
      <c r="H24" s="68"/>
      <c r="I24" s="68"/>
      <c r="J24" s="71">
        <f>SUM(J21:J23)</f>
        <v>0.66666666666668561</v>
      </c>
      <c r="K24" s="75"/>
      <c r="L24" s="83">
        <f>SUM(L21:L23)</f>
        <v>2.1770833333333428</v>
      </c>
      <c r="M24" s="65" t="s">
        <v>78</v>
      </c>
      <c r="N24" s="65">
        <v>32967.800000000003</v>
      </c>
      <c r="P24" s="79" t="s">
        <v>68</v>
      </c>
      <c r="Q24" s="43">
        <v>40935.35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N24+Sheet20!O25</f>
        <v>654043.26000000013</v>
      </c>
      <c r="P25" s="154" t="s">
        <v>77</v>
      </c>
      <c r="Q25" s="87">
        <v>45104.78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57000</v>
      </c>
      <c r="P26" s="51" t="s">
        <v>87</v>
      </c>
      <c r="Q26" s="69">
        <f>Q24+Sheet20!Q26</f>
        <v>655843.75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52.15</v>
      </c>
      <c r="M27" s="55"/>
      <c r="N27" s="88">
        <f>N22/L27</f>
        <v>617.79558964525415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9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7109375" style="1" customWidth="1"/>
    <col min="16" max="16" width="16" style="1" customWidth="1"/>
    <col min="17" max="17" width="20.28515625" style="1" customWidth="1"/>
    <col min="18" max="18" width="9.140625" style="1"/>
    <col min="19" max="19" width="27.140625" style="1" customWidth="1"/>
    <col min="20" max="16384" width="9.140625" style="1"/>
  </cols>
  <sheetData>
    <row r="1" spans="1:19" ht="3" customHeight="1" x14ac:dyDescent="0.25"/>
    <row r="2" spans="1:19" s="13" customFormat="1" ht="18" customHeight="1" x14ac:dyDescent="0.25">
      <c r="A2" s="7" t="s">
        <v>123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326</v>
      </c>
    </row>
    <row r="3" spans="1:19" ht="29.2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9" ht="15" customHeight="1" x14ac:dyDescent="0.25">
      <c r="A4" s="20"/>
      <c r="B4" s="21" t="s">
        <v>14</v>
      </c>
      <c r="C4" s="22"/>
      <c r="D4" s="22">
        <v>25</v>
      </c>
      <c r="E4" s="22">
        <v>27</v>
      </c>
      <c r="F4" s="22">
        <v>30</v>
      </c>
      <c r="G4" s="22">
        <v>28</v>
      </c>
      <c r="H4" s="22">
        <v>30</v>
      </c>
      <c r="I4" s="22">
        <v>24</v>
      </c>
      <c r="J4" s="22">
        <v>26</v>
      </c>
      <c r="K4" s="22">
        <v>155</v>
      </c>
      <c r="L4" s="22">
        <v>35</v>
      </c>
      <c r="M4" s="93">
        <f>K4+L4</f>
        <v>190</v>
      </c>
      <c r="N4" s="104" t="s">
        <v>260</v>
      </c>
      <c r="O4" s="95" t="s">
        <v>88</v>
      </c>
      <c r="P4" s="105" t="s">
        <v>89</v>
      </c>
      <c r="Q4" s="33"/>
    </row>
    <row r="5" spans="1:19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58</v>
      </c>
      <c r="L5" s="22">
        <v>0</v>
      </c>
      <c r="M5" s="93">
        <f t="shared" ref="M5:M7" si="0">K5+L5</f>
        <v>58</v>
      </c>
      <c r="N5" s="104" t="s">
        <v>57</v>
      </c>
      <c r="O5" s="66">
        <v>10.416666666666666</v>
      </c>
      <c r="P5" s="66">
        <v>11.458333333333334</v>
      </c>
      <c r="Q5" s="33" t="s">
        <v>329</v>
      </c>
    </row>
    <row r="6" spans="1:19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260</v>
      </c>
      <c r="O6" s="96"/>
      <c r="P6" s="65"/>
      <c r="Q6" s="66" t="s">
        <v>277</v>
      </c>
    </row>
    <row r="7" spans="1:19" ht="15" customHeight="1" x14ac:dyDescent="0.25">
      <c r="A7" s="25"/>
      <c r="B7" s="21" t="s">
        <v>19</v>
      </c>
      <c r="C7" s="22"/>
      <c r="D7" s="22">
        <v>15</v>
      </c>
      <c r="E7" s="22">
        <v>20</v>
      </c>
      <c r="F7" s="22">
        <v>17</v>
      </c>
      <c r="G7" s="22">
        <v>11</v>
      </c>
      <c r="H7" s="22">
        <v>5</v>
      </c>
      <c r="I7" s="22">
        <v>5</v>
      </c>
      <c r="J7" s="22"/>
      <c r="K7" s="22">
        <v>73</v>
      </c>
      <c r="L7" s="22">
        <v>0</v>
      </c>
      <c r="M7" s="93">
        <f t="shared" si="0"/>
        <v>73</v>
      </c>
      <c r="N7" s="104" t="s">
        <v>57</v>
      </c>
      <c r="O7" s="97"/>
      <c r="P7" s="65"/>
      <c r="Q7" s="218"/>
    </row>
    <row r="8" spans="1:19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9" ht="16.5" customHeight="1" x14ac:dyDescent="0.25">
      <c r="A9" s="33"/>
      <c r="B9" s="34" t="s">
        <v>14</v>
      </c>
      <c r="C9" s="22"/>
      <c r="D9" s="22">
        <v>26</v>
      </c>
      <c r="E9" s="22">
        <v>34</v>
      </c>
      <c r="F9" s="22">
        <v>22</v>
      </c>
      <c r="G9" s="22">
        <v>20</v>
      </c>
      <c r="H9" s="22">
        <v>37</v>
      </c>
      <c r="I9" s="22">
        <v>30</v>
      </c>
      <c r="J9" s="22">
        <v>27</v>
      </c>
      <c r="K9" s="22">
        <v>134</v>
      </c>
      <c r="L9" s="22">
        <v>68</v>
      </c>
      <c r="M9" s="93">
        <f t="shared" ref="M9:M12" si="1">K9+L9</f>
        <v>202</v>
      </c>
      <c r="N9" s="82" t="s">
        <v>57</v>
      </c>
      <c r="O9" s="99"/>
      <c r="P9" s="82"/>
      <c r="Q9" s="36"/>
    </row>
    <row r="10" spans="1:19" ht="15" customHeight="1" x14ac:dyDescent="0.25">
      <c r="A10" s="35" t="s">
        <v>27</v>
      </c>
      <c r="B10" s="34" t="s">
        <v>16</v>
      </c>
      <c r="C10" s="22"/>
      <c r="D10" s="22"/>
      <c r="E10" s="22">
        <v>3</v>
      </c>
      <c r="F10" s="22">
        <v>5</v>
      </c>
      <c r="G10" s="22">
        <v>7</v>
      </c>
      <c r="H10" s="22">
        <v>9</v>
      </c>
      <c r="I10" s="22">
        <v>3</v>
      </c>
      <c r="J10" s="22">
        <v>2</v>
      </c>
      <c r="K10" s="22">
        <v>29</v>
      </c>
      <c r="L10" s="22">
        <v>0</v>
      </c>
      <c r="M10" s="93">
        <f t="shared" si="1"/>
        <v>29</v>
      </c>
      <c r="N10" s="82" t="s">
        <v>57</v>
      </c>
      <c r="O10" s="303" t="s">
        <v>165</v>
      </c>
      <c r="P10" s="304"/>
      <c r="Q10" s="43" t="s">
        <v>73</v>
      </c>
    </row>
    <row r="11" spans="1:19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57</v>
      </c>
      <c r="O11" s="66" t="s">
        <v>13</v>
      </c>
      <c r="P11" s="66" t="s">
        <v>13</v>
      </c>
      <c r="Q11" s="33" t="s">
        <v>13</v>
      </c>
    </row>
    <row r="12" spans="1:19" ht="13.5" customHeight="1" x14ac:dyDescent="0.25">
      <c r="A12" s="36"/>
      <c r="B12" s="34" t="s">
        <v>19</v>
      </c>
      <c r="C12" s="22"/>
      <c r="D12" s="22">
        <v>7</v>
      </c>
      <c r="E12" s="22">
        <v>6</v>
      </c>
      <c r="F12" s="22">
        <v>13</v>
      </c>
      <c r="G12" s="22">
        <v>1</v>
      </c>
      <c r="H12" s="22"/>
      <c r="I12" s="22"/>
      <c r="J12" s="22"/>
      <c r="K12" s="22">
        <v>27</v>
      </c>
      <c r="L12" s="22">
        <v>0</v>
      </c>
      <c r="M12" s="93">
        <f t="shared" si="1"/>
        <v>27</v>
      </c>
      <c r="N12" s="82"/>
      <c r="O12" s="66" t="s">
        <v>13</v>
      </c>
      <c r="P12" s="66" t="s">
        <v>13</v>
      </c>
      <c r="Q12" s="37" t="s">
        <v>13</v>
      </c>
    </row>
    <row r="13" spans="1:19" ht="32.2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178" t="s">
        <v>13</v>
      </c>
    </row>
    <row r="14" spans="1:19" ht="15" x14ac:dyDescent="0.25">
      <c r="A14" s="33"/>
      <c r="B14" s="21" t="s">
        <v>14</v>
      </c>
      <c r="C14" s="22"/>
      <c r="D14" s="22">
        <v>30</v>
      </c>
      <c r="E14" s="22">
        <v>40</v>
      </c>
      <c r="F14" s="22">
        <v>35</v>
      </c>
      <c r="G14" s="22">
        <v>30</v>
      </c>
      <c r="H14" s="22">
        <v>37</v>
      </c>
      <c r="I14" s="22">
        <v>35</v>
      </c>
      <c r="J14" s="22">
        <v>30</v>
      </c>
      <c r="K14" s="22">
        <v>180</v>
      </c>
      <c r="L14" s="22">
        <v>57</v>
      </c>
      <c r="M14" s="93">
        <f t="shared" ref="M14:M17" si="2">K14+L14</f>
        <v>237</v>
      </c>
      <c r="N14" s="103" t="s">
        <v>197</v>
      </c>
      <c r="O14" s="101"/>
      <c r="P14" s="82"/>
      <c r="Q14" s="37"/>
      <c r="S14" s="69" t="s">
        <v>13</v>
      </c>
    </row>
    <row r="15" spans="1:19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9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2"/>
        <v>0</v>
      </c>
      <c r="N16" s="103" t="s">
        <v>13</v>
      </c>
      <c r="O16" s="103"/>
      <c r="P16" s="82"/>
      <c r="Q16" s="37"/>
      <c r="S16" s="1">
        <v>540799.61</v>
      </c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/>
      <c r="F17" s="22"/>
      <c r="G17" s="22"/>
      <c r="H17" s="22">
        <v>2</v>
      </c>
      <c r="I17" s="22"/>
      <c r="J17" s="22"/>
      <c r="K17" s="22">
        <v>4</v>
      </c>
      <c r="L17" s="22">
        <v>0</v>
      </c>
      <c r="M17" s="93">
        <f t="shared" si="2"/>
        <v>4</v>
      </c>
      <c r="N17" s="103"/>
      <c r="O17" s="103"/>
      <c r="P17" s="82"/>
      <c r="Q17" s="36"/>
      <c r="S17" s="1">
        <v>27337.93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629</v>
      </c>
      <c r="O18" s="305" t="s">
        <v>71</v>
      </c>
      <c r="P18" s="306"/>
      <c r="Q18" s="65" t="s">
        <v>13</v>
      </c>
      <c r="S18" s="1">
        <f>SUM(S16:S17)</f>
        <v>568137.54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87</v>
      </c>
      <c r="O19" s="69">
        <v>2215</v>
      </c>
      <c r="P19" s="46" t="s">
        <v>327</v>
      </c>
      <c r="Q19" s="65" t="s">
        <v>328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0</v>
      </c>
      <c r="O20" s="77" t="s">
        <v>65</v>
      </c>
      <c r="P20" s="75">
        <v>80</v>
      </c>
      <c r="Q20" s="65">
        <v>5542</v>
      </c>
    </row>
    <row r="21" spans="1:20" ht="25.5" customHeight="1" x14ac:dyDescent="0.25">
      <c r="A21" s="16" t="s">
        <v>46</v>
      </c>
      <c r="B21" s="66">
        <v>206.24305555555554</v>
      </c>
      <c r="C21" s="66">
        <v>206.54166666666666</v>
      </c>
      <c r="D21" s="66">
        <f t="shared" ref="D21" si="3">C21-B21</f>
        <v>0.29861111111111427</v>
      </c>
      <c r="E21" s="66">
        <v>206.57638888888889</v>
      </c>
      <c r="F21" s="66">
        <v>206.875</v>
      </c>
      <c r="G21" s="66">
        <f t="shared" ref="G21" si="4">F21-E21</f>
        <v>0.29861111111111427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0.88888888888891415</v>
      </c>
      <c r="M21" s="154" t="s">
        <v>47</v>
      </c>
      <c r="N21" s="65">
        <f>M17+M12+M7</f>
        <v>104</v>
      </c>
      <c r="O21" s="78" t="s">
        <v>69</v>
      </c>
      <c r="P21" s="75">
        <v>188</v>
      </c>
      <c r="Q21" s="65">
        <v>5268</v>
      </c>
    </row>
    <row r="22" spans="1:20" ht="27" customHeight="1" x14ac:dyDescent="0.25">
      <c r="A22" s="16" t="s">
        <v>48</v>
      </c>
      <c r="B22" s="66">
        <v>206.35416666666666</v>
      </c>
      <c r="C22" s="66">
        <v>206.54166666666666</v>
      </c>
      <c r="D22" s="66">
        <f t="shared" ref="D22:D23" si="5">C22-B22</f>
        <v>0.1875</v>
      </c>
      <c r="E22" s="66">
        <v>206.61458333333334</v>
      </c>
      <c r="F22" s="66">
        <v>206.875</v>
      </c>
      <c r="G22" s="66">
        <f t="shared" ref="G22:G23" si="6">F22-E22</f>
        <v>0.26041666666665719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0.73611111111111427</v>
      </c>
      <c r="M22" s="49" t="s">
        <v>49</v>
      </c>
      <c r="N22" s="65">
        <v>34065</v>
      </c>
      <c r="O22" s="80" t="s">
        <v>66</v>
      </c>
      <c r="P22" s="75">
        <v>113</v>
      </c>
      <c r="Q22" s="65">
        <v>3216</v>
      </c>
    </row>
    <row r="23" spans="1:20" ht="27" customHeight="1" x14ac:dyDescent="0.25">
      <c r="A23" s="157" t="s">
        <v>50</v>
      </c>
      <c r="B23" s="66">
        <v>206.38194444444446</v>
      </c>
      <c r="C23" s="66">
        <v>206.54166666666666</v>
      </c>
      <c r="D23" s="66">
        <f t="shared" si="5"/>
        <v>0.15972222222220012</v>
      </c>
      <c r="E23" s="66">
        <v>206.58333333333334</v>
      </c>
      <c r="F23" s="66">
        <v>206.875</v>
      </c>
      <c r="G23" s="66">
        <f t="shared" si="6"/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0.74305555555554292</v>
      </c>
      <c r="M23" s="154" t="s">
        <v>64</v>
      </c>
      <c r="N23" s="85">
        <v>9</v>
      </c>
      <c r="O23" s="86" t="s">
        <v>67</v>
      </c>
      <c r="P23" s="76">
        <v>0</v>
      </c>
      <c r="Q23" s="65">
        <v>0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0.64583333333331439</v>
      </c>
      <c r="E24" s="68"/>
      <c r="F24" s="68"/>
      <c r="G24" s="66">
        <f>SUM(G21:G23)</f>
        <v>0.85069444444442865</v>
      </c>
      <c r="H24" s="68"/>
      <c r="I24" s="68"/>
      <c r="J24" s="71">
        <f>SUM(J21:J23)</f>
        <v>0.87152777777782831</v>
      </c>
      <c r="K24" s="75"/>
      <c r="L24" s="83">
        <f>SUM(L21:L23)</f>
        <v>2.3680555555555713</v>
      </c>
      <c r="M24" s="65" t="s">
        <v>78</v>
      </c>
      <c r="N24" s="65">
        <v>33190.93</v>
      </c>
      <c r="O24" s="69" t="s">
        <v>13</v>
      </c>
      <c r="P24" s="79" t="s">
        <v>68</v>
      </c>
      <c r="Q24" s="43">
        <v>43720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N24+Sheet21!O25</f>
        <v>687234.19000000018</v>
      </c>
      <c r="P25" s="154" t="s">
        <v>77</v>
      </c>
      <c r="Q25" s="87">
        <v>49262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87</v>
      </c>
      <c r="Q26" s="69">
        <f>Q24+Sheet21!Q26</f>
        <v>699563.75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56.4</v>
      </c>
      <c r="M27" s="55"/>
      <c r="N27" s="88">
        <f>N22/L27</f>
        <v>603.98936170212767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6"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19685039370078741" footer="0"/>
  <pageSetup paperSize="9" scale="85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9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3.42578125" style="1" customWidth="1"/>
    <col min="17" max="17" width="23.140625" style="1" customWidth="1"/>
    <col min="18" max="19" width="9.140625" style="1"/>
    <col min="20" max="20" width="20.28515625" style="1" customWidth="1"/>
    <col min="21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333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34</v>
      </c>
      <c r="E4" s="22">
        <v>36</v>
      </c>
      <c r="F4" s="22">
        <v>40</v>
      </c>
      <c r="G4" s="22">
        <v>55</v>
      </c>
      <c r="H4" s="22">
        <v>25</v>
      </c>
      <c r="I4" s="3">
        <v>30</v>
      </c>
      <c r="J4" s="3">
        <v>25</v>
      </c>
      <c r="K4" s="22">
        <v>110</v>
      </c>
      <c r="L4" s="22">
        <v>85</v>
      </c>
      <c r="M4" s="93">
        <f>K4+L4</f>
        <v>195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28</v>
      </c>
      <c r="M5" s="93">
        <f t="shared" ref="M5:M7" si="0">K5+L5</f>
        <v>28</v>
      </c>
      <c r="N5" s="104" t="s">
        <v>57</v>
      </c>
      <c r="O5" s="66"/>
      <c r="P5" s="66"/>
      <c r="Q5" s="66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>
        <v>3</v>
      </c>
      <c r="I6" s="22">
        <v>2</v>
      </c>
      <c r="J6" s="22">
        <v>6</v>
      </c>
      <c r="K6" s="22">
        <v>11</v>
      </c>
      <c r="L6" s="22">
        <v>0</v>
      </c>
      <c r="M6" s="93">
        <f t="shared" si="0"/>
        <v>11</v>
      </c>
      <c r="N6" s="104" t="s">
        <v>57</v>
      </c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/>
      <c r="E7" s="22"/>
      <c r="F7" s="22">
        <v>8</v>
      </c>
      <c r="G7" s="22">
        <v>12</v>
      </c>
      <c r="H7" s="22">
        <v>10</v>
      </c>
      <c r="I7" s="22">
        <v>8</v>
      </c>
      <c r="J7" s="22">
        <v>13</v>
      </c>
      <c r="K7" s="22">
        <v>45</v>
      </c>
      <c r="L7" s="22">
        <v>6</v>
      </c>
      <c r="M7" s="93">
        <f t="shared" si="0"/>
        <v>51</v>
      </c>
      <c r="N7" s="104" t="s">
        <v>260</v>
      </c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8" customHeight="1" x14ac:dyDescent="0.25">
      <c r="A9" s="33"/>
      <c r="B9" s="34" t="s">
        <v>14</v>
      </c>
      <c r="C9" s="22"/>
      <c r="D9" s="22">
        <v>36</v>
      </c>
      <c r="E9" s="22">
        <v>38</v>
      </c>
      <c r="F9" s="22">
        <v>23</v>
      </c>
      <c r="G9" s="22">
        <v>11</v>
      </c>
      <c r="H9" s="22">
        <v>30</v>
      </c>
      <c r="I9" s="22">
        <v>37</v>
      </c>
      <c r="J9" s="22">
        <v>23</v>
      </c>
      <c r="K9" s="22">
        <v>120</v>
      </c>
      <c r="L9" s="22">
        <v>78</v>
      </c>
      <c r="M9" s="93">
        <f t="shared" ref="M9:M10" si="1">K9+L9</f>
        <v>198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3</v>
      </c>
      <c r="F10" s="22">
        <v>7</v>
      </c>
      <c r="G10" s="22">
        <v>8</v>
      </c>
      <c r="H10" s="22">
        <v>2</v>
      </c>
      <c r="I10" s="22"/>
      <c r="J10" s="22"/>
      <c r="K10" s="22">
        <v>22</v>
      </c>
      <c r="L10" s="22">
        <v>0</v>
      </c>
      <c r="M10" s="93">
        <f t="shared" si="1"/>
        <v>22</v>
      </c>
      <c r="N10" s="82" t="s">
        <v>260</v>
      </c>
      <c r="O10" s="303" t="s">
        <v>162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>
        <v>5</v>
      </c>
      <c r="J11" s="22">
        <v>5</v>
      </c>
      <c r="K11" s="22">
        <v>5</v>
      </c>
      <c r="L11" s="22">
        <v>5</v>
      </c>
      <c r="M11" s="93">
        <f t="shared" ref="M11:M12" si="2">K11+L11</f>
        <v>10</v>
      </c>
      <c r="N11" s="82" t="s">
        <v>57</v>
      </c>
      <c r="O11" s="66">
        <v>10.416666666666666</v>
      </c>
      <c r="P11" s="66">
        <v>2.1180555555555554</v>
      </c>
      <c r="Q11" s="33" t="s">
        <v>330</v>
      </c>
    </row>
    <row r="12" spans="1:17" ht="13.5" customHeight="1" x14ac:dyDescent="0.25">
      <c r="A12" s="36"/>
      <c r="B12" s="34" t="s">
        <v>19</v>
      </c>
      <c r="C12" s="22"/>
      <c r="D12" s="22">
        <v>6</v>
      </c>
      <c r="E12" s="22">
        <v>6</v>
      </c>
      <c r="F12" s="22">
        <v>17</v>
      </c>
      <c r="G12" s="22">
        <v>15</v>
      </c>
      <c r="H12" s="22">
        <v>3</v>
      </c>
      <c r="I12" s="22">
        <v>3</v>
      </c>
      <c r="J12" s="22">
        <v>5</v>
      </c>
      <c r="K12" s="22">
        <v>35</v>
      </c>
      <c r="L12" s="22">
        <v>20</v>
      </c>
      <c r="M12" s="93">
        <f t="shared" si="2"/>
        <v>55</v>
      </c>
      <c r="N12" s="82"/>
      <c r="O12" s="82"/>
      <c r="P12" s="82"/>
      <c r="Q12" s="37" t="s">
        <v>331</v>
      </c>
    </row>
    <row r="13" spans="1:17" ht="33.7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178" t="s">
        <v>332</v>
      </c>
    </row>
    <row r="14" spans="1:17" ht="15" x14ac:dyDescent="0.25">
      <c r="A14" s="33"/>
      <c r="B14" s="21" t="s">
        <v>14</v>
      </c>
      <c r="C14" s="22"/>
      <c r="D14" s="22">
        <v>30</v>
      </c>
      <c r="E14" s="22">
        <v>32</v>
      </c>
      <c r="F14" s="22">
        <v>28</v>
      </c>
      <c r="G14" s="22">
        <v>25</v>
      </c>
      <c r="H14" s="22">
        <v>30</v>
      </c>
      <c r="I14" s="22">
        <v>30</v>
      </c>
      <c r="J14" s="22">
        <v>20</v>
      </c>
      <c r="K14" s="22">
        <v>140</v>
      </c>
      <c r="L14" s="22">
        <v>55</v>
      </c>
      <c r="M14" s="93">
        <f t="shared" ref="M14:M17" si="3">K14+L14</f>
        <v>195</v>
      </c>
      <c r="N14" s="103" t="s">
        <v>57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v>30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5</v>
      </c>
      <c r="F16" s="22">
        <v>8</v>
      </c>
      <c r="G16" s="22">
        <v>7</v>
      </c>
      <c r="H16" s="22">
        <v>6</v>
      </c>
      <c r="I16" s="22">
        <v>4</v>
      </c>
      <c r="J16" s="22"/>
      <c r="K16" s="22">
        <v>30</v>
      </c>
      <c r="L16" s="22">
        <v>0</v>
      </c>
      <c r="M16" s="93">
        <f t="shared" si="3"/>
        <v>30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/>
      <c r="F17" s="22"/>
      <c r="G17" s="22">
        <v>6</v>
      </c>
      <c r="H17" s="22">
        <v>5</v>
      </c>
      <c r="I17" s="22">
        <v>6</v>
      </c>
      <c r="J17" s="22"/>
      <c r="K17" s="22">
        <v>21</v>
      </c>
      <c r="L17" s="22">
        <v>0</v>
      </c>
      <c r="M17" s="93">
        <f t="shared" si="3"/>
        <v>21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588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80</v>
      </c>
      <c r="O19" s="69">
        <v>2063</v>
      </c>
      <c r="P19" s="46" t="s">
        <v>196</v>
      </c>
      <c r="Q19" s="65" t="s">
        <v>334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51</v>
      </c>
      <c r="O20" s="77" t="s">
        <v>65</v>
      </c>
      <c r="P20" s="75">
        <v>60</v>
      </c>
      <c r="Q20" s="65">
        <v>4035</v>
      </c>
      <c r="T20" s="1">
        <v>30888.37</v>
      </c>
    </row>
    <row r="21" spans="1:20" ht="25.5" customHeight="1" x14ac:dyDescent="0.25">
      <c r="A21" s="16" t="s">
        <v>46</v>
      </c>
      <c r="B21" s="66">
        <v>206.375</v>
      </c>
      <c r="C21" s="66">
        <v>206.54166666666666</v>
      </c>
      <c r="D21" s="66">
        <f t="shared" ref="D21:D23" si="4">C21-B21</f>
        <v>0.16666666666665719</v>
      </c>
      <c r="E21" s="66">
        <v>206.62152777777777</v>
      </c>
      <c r="F21" s="66">
        <v>206.875</v>
      </c>
      <c r="G21" s="66">
        <f t="shared" ref="G21" si="5">F21-E21</f>
        <v>0.25347222222222854</v>
      </c>
      <c r="H21" s="66">
        <v>206.93402777777777</v>
      </c>
      <c r="I21" s="66">
        <v>207.1875</v>
      </c>
      <c r="J21" s="71">
        <f>I21-H21-K21</f>
        <v>0.25347222222222854</v>
      </c>
      <c r="K21" s="66"/>
      <c r="L21" s="73">
        <f>D21+G21+J21</f>
        <v>0.67361111111111427</v>
      </c>
      <c r="M21" s="154" t="s">
        <v>47</v>
      </c>
      <c r="N21" s="65">
        <f>M17+M12+M7</f>
        <v>127</v>
      </c>
      <c r="O21" s="78" t="s">
        <v>69</v>
      </c>
      <c r="P21" s="75">
        <v>192</v>
      </c>
      <c r="Q21" s="65">
        <v>5293</v>
      </c>
      <c r="T21" s="1">
        <v>568137.54</v>
      </c>
    </row>
    <row r="22" spans="1:20" ht="27" customHeight="1" x14ac:dyDescent="0.25">
      <c r="A22" s="16" t="s">
        <v>48</v>
      </c>
      <c r="B22" s="66">
        <v>206.28125</v>
      </c>
      <c r="C22" s="66">
        <v>206.54166666666666</v>
      </c>
      <c r="D22" s="66">
        <f t="shared" ref="D22" si="6">C22-B22</f>
        <v>0.26041666666665719</v>
      </c>
      <c r="E22" s="66">
        <v>206.59375</v>
      </c>
      <c r="F22" s="66">
        <v>206.875</v>
      </c>
      <c r="G22" s="66">
        <f t="shared" ref="G22" si="7">F22-E22</f>
        <v>0.28125</v>
      </c>
      <c r="H22" s="66">
        <v>206.92708333333334</v>
      </c>
      <c r="I22" s="66">
        <v>207.20833333333334</v>
      </c>
      <c r="J22" s="71">
        <f>I22-H22-K22</f>
        <v>0.28125</v>
      </c>
      <c r="K22" s="75"/>
      <c r="L22" s="73">
        <f>D22+G22+J22</f>
        <v>0.82291666666665719</v>
      </c>
      <c r="M22" s="49" t="s">
        <v>49</v>
      </c>
      <c r="N22" s="65">
        <v>34763</v>
      </c>
      <c r="O22" s="80" t="s">
        <v>66</v>
      </c>
      <c r="P22" s="75">
        <v>137</v>
      </c>
      <c r="Q22" s="65">
        <v>3776</v>
      </c>
      <c r="T22" s="1">
        <f>SUM(T20:T21)</f>
        <v>599025.91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si="4"/>
        <v>0.27083333333331439</v>
      </c>
      <c r="E23" s="66">
        <v>206.58333333333334</v>
      </c>
      <c r="F23" s="66">
        <v>206.875</v>
      </c>
      <c r="G23" s="66">
        <f t="shared" ref="G23" si="8"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0.85416666666665719</v>
      </c>
      <c r="M23" s="154" t="s">
        <v>64</v>
      </c>
      <c r="N23" s="85">
        <v>9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0.69791666666662877</v>
      </c>
      <c r="E24" s="68"/>
      <c r="F24" s="68"/>
      <c r="G24" s="66">
        <f>SUM(G21:G23)</f>
        <v>0.82638888888888573</v>
      </c>
      <c r="H24" s="68"/>
      <c r="I24" s="68"/>
      <c r="J24" s="71">
        <f>SUM(J21:J23)</f>
        <v>0.82638888888891415</v>
      </c>
      <c r="K24" s="75"/>
      <c r="L24" s="55">
        <v>56.25</v>
      </c>
      <c r="M24" s="65" t="s">
        <v>78</v>
      </c>
      <c r="N24" s="65">
        <v>32782.870000000003</v>
      </c>
      <c r="P24" s="79" t="s">
        <v>68</v>
      </c>
      <c r="Q24" s="43">
        <v>40517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N24+Sheet22!O25</f>
        <v>720017.06000000017</v>
      </c>
      <c r="P25" s="154" t="s">
        <v>77</v>
      </c>
      <c r="Q25" s="87">
        <v>44552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87</v>
      </c>
      <c r="Q26" s="69">
        <f>Q24+Sheet22!Q26</f>
        <v>740080.75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56.25</v>
      </c>
      <c r="M27" s="55"/>
      <c r="N27" s="88">
        <f>N22/L27</f>
        <v>618.00888888888892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5" zoomScaleNormal="100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7109375" style="1" customWidth="1"/>
    <col min="16" max="16" width="13.42578125" style="1" customWidth="1"/>
    <col min="17" max="17" width="23.42578125" style="1" customWidth="1"/>
    <col min="18" max="19" width="9.140625" style="1"/>
    <col min="20" max="20" width="17.28515625" style="1" customWidth="1"/>
    <col min="21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335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34</v>
      </c>
      <c r="E4" s="22">
        <v>36</v>
      </c>
      <c r="F4" s="22">
        <v>40</v>
      </c>
      <c r="G4" s="22">
        <v>15</v>
      </c>
      <c r="H4" s="22">
        <v>30</v>
      </c>
      <c r="I4" s="22">
        <v>20</v>
      </c>
      <c r="J4" s="22">
        <v>17</v>
      </c>
      <c r="K4" s="22">
        <v>107</v>
      </c>
      <c r="L4" s="22">
        <v>85</v>
      </c>
      <c r="M4" s="93">
        <f t="shared" ref="M4:M7" si="0">K4+L4</f>
        <v>192</v>
      </c>
      <c r="N4" s="104"/>
      <c r="O4" s="95" t="s">
        <v>88</v>
      </c>
      <c r="P4" s="219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si="0"/>
        <v>0</v>
      </c>
      <c r="N5" s="104"/>
      <c r="O5" s="66"/>
      <c r="P5" s="71"/>
      <c r="Q5" s="221"/>
    </row>
    <row r="6" spans="1:17" ht="15.75" customHeight="1" x14ac:dyDescent="0.25">
      <c r="A6" s="23" t="s">
        <v>17</v>
      </c>
      <c r="B6" s="21" t="s">
        <v>18</v>
      </c>
      <c r="C6" s="22"/>
      <c r="D6" s="22">
        <v>2</v>
      </c>
      <c r="E6" s="22"/>
      <c r="F6" s="22"/>
      <c r="G6" s="22"/>
      <c r="H6" s="22">
        <v>4</v>
      </c>
      <c r="I6" s="22">
        <v>3</v>
      </c>
      <c r="J6" s="22">
        <v>6</v>
      </c>
      <c r="K6" s="22">
        <v>15</v>
      </c>
      <c r="L6" s="22">
        <v>0</v>
      </c>
      <c r="M6" s="93">
        <f t="shared" si="0"/>
        <v>15</v>
      </c>
      <c r="N6" s="104"/>
      <c r="O6" s="96"/>
      <c r="P6" s="44"/>
      <c r="Q6" s="314"/>
    </row>
    <row r="7" spans="1:17" ht="15" customHeight="1" x14ac:dyDescent="0.25">
      <c r="A7" s="25"/>
      <c r="B7" s="21" t="s">
        <v>19</v>
      </c>
      <c r="C7" s="22"/>
      <c r="D7" s="22"/>
      <c r="E7" s="22"/>
      <c r="F7" s="22">
        <v>12</v>
      </c>
      <c r="G7" s="22">
        <v>15</v>
      </c>
      <c r="H7" s="22">
        <v>12</v>
      </c>
      <c r="I7" s="22">
        <v>13</v>
      </c>
      <c r="J7" s="22">
        <v>10</v>
      </c>
      <c r="K7" s="22">
        <v>62</v>
      </c>
      <c r="L7" s="22">
        <v>0</v>
      </c>
      <c r="M7" s="93">
        <f t="shared" si="0"/>
        <v>62</v>
      </c>
      <c r="N7" s="104"/>
      <c r="O7" s="97"/>
      <c r="P7" s="44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220"/>
      <c r="Q8" s="37"/>
    </row>
    <row r="9" spans="1:17" ht="15" customHeight="1" x14ac:dyDescent="0.25">
      <c r="A9" s="33"/>
      <c r="B9" s="34" t="s">
        <v>14</v>
      </c>
      <c r="C9" s="22"/>
      <c r="D9" s="22">
        <v>30</v>
      </c>
      <c r="E9" s="22">
        <v>35</v>
      </c>
      <c r="F9" s="22">
        <v>30</v>
      </c>
      <c r="G9" s="22">
        <v>19</v>
      </c>
      <c r="H9" s="22">
        <v>30</v>
      </c>
      <c r="I9" s="22">
        <v>46</v>
      </c>
      <c r="J9" s="22">
        <v>2</v>
      </c>
      <c r="K9" s="93">
        <v>140</v>
      </c>
      <c r="L9" s="93">
        <v>70</v>
      </c>
      <c r="M9" s="93">
        <f t="shared" ref="M9:M12" si="1">K9+L9</f>
        <v>210</v>
      </c>
      <c r="N9" s="82"/>
      <c r="O9" s="99"/>
      <c r="P9" s="220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5</v>
      </c>
      <c r="F10" s="22">
        <v>8</v>
      </c>
      <c r="G10" s="22">
        <v>9</v>
      </c>
      <c r="H10" s="22">
        <v>5</v>
      </c>
      <c r="I10" s="22">
        <v>3</v>
      </c>
      <c r="J10" s="22">
        <v>2</v>
      </c>
      <c r="K10" s="93">
        <v>34</v>
      </c>
      <c r="L10" s="93">
        <v>0</v>
      </c>
      <c r="M10" s="93">
        <f t="shared" si="1"/>
        <v>34</v>
      </c>
      <c r="N10" s="82"/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3</v>
      </c>
      <c r="F11" s="22"/>
      <c r="G11" s="22"/>
      <c r="H11" s="22"/>
      <c r="I11" s="22"/>
      <c r="J11" s="22"/>
      <c r="K11" s="93">
        <v>5</v>
      </c>
      <c r="L11" s="93">
        <v>0</v>
      </c>
      <c r="M11" s="93">
        <f t="shared" si="1"/>
        <v>5</v>
      </c>
      <c r="N11" s="82"/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7</v>
      </c>
      <c r="E12" s="22">
        <v>9</v>
      </c>
      <c r="F12" s="22">
        <v>9</v>
      </c>
      <c r="G12" s="22">
        <v>9</v>
      </c>
      <c r="H12" s="22">
        <v>2</v>
      </c>
      <c r="I12" s="22"/>
      <c r="J12" s="22">
        <v>1</v>
      </c>
      <c r="K12" s="93">
        <v>12</v>
      </c>
      <c r="L12" s="93">
        <v>25</v>
      </c>
      <c r="M12" s="93">
        <f t="shared" si="1"/>
        <v>37</v>
      </c>
      <c r="N12" s="82"/>
      <c r="O12" s="82"/>
      <c r="P12" s="82"/>
      <c r="Q12" s="37" t="s">
        <v>13</v>
      </c>
    </row>
    <row r="13" spans="1:17" ht="34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30</v>
      </c>
      <c r="E14" s="22">
        <v>25</v>
      </c>
      <c r="F14" s="22">
        <v>32</v>
      </c>
      <c r="G14" s="22">
        <v>2</v>
      </c>
      <c r="H14" s="22">
        <v>22</v>
      </c>
      <c r="I14" s="22">
        <v>30</v>
      </c>
      <c r="J14" s="22">
        <v>28</v>
      </c>
      <c r="K14" s="93">
        <v>132</v>
      </c>
      <c r="L14" s="93">
        <v>60</v>
      </c>
      <c r="M14" s="93">
        <f t="shared" ref="M14:M17" si="2">K14+L14</f>
        <v>192</v>
      </c>
      <c r="N14" s="103"/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93">
        <f t="shared" ref="K15" si="3">I15+J15</f>
        <v>0</v>
      </c>
      <c r="L15" s="93">
        <f t="shared" ref="L15:L17" si="4">J15+K15</f>
        <v>0</v>
      </c>
      <c r="M15" s="93">
        <f t="shared" si="2"/>
        <v>0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4</v>
      </c>
      <c r="F16" s="22"/>
      <c r="G16" s="22">
        <v>5</v>
      </c>
      <c r="H16" s="22"/>
      <c r="I16" s="22">
        <v>4</v>
      </c>
      <c r="J16" s="22"/>
      <c r="K16" s="93">
        <v>13</v>
      </c>
      <c r="L16" s="93">
        <f t="shared" si="4"/>
        <v>13</v>
      </c>
      <c r="M16" s="93">
        <f t="shared" si="2"/>
        <v>26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>
        <v>5</v>
      </c>
      <c r="F17" s="22"/>
      <c r="G17" s="22">
        <v>6</v>
      </c>
      <c r="H17" s="22"/>
      <c r="I17" s="22">
        <v>6</v>
      </c>
      <c r="J17" s="22">
        <v>4</v>
      </c>
      <c r="K17" s="93">
        <v>25</v>
      </c>
      <c r="L17" s="93">
        <f t="shared" si="4"/>
        <v>29</v>
      </c>
      <c r="M17" s="93">
        <f t="shared" si="2"/>
        <v>54</v>
      </c>
      <c r="N17" s="103"/>
      <c r="O17" s="103"/>
      <c r="P17" s="82"/>
      <c r="Q17" s="36"/>
      <c r="T17" s="1">
        <f>SUM(T15:T16)</f>
        <v>0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594</v>
      </c>
      <c r="O18" s="305" t="s">
        <v>71</v>
      </c>
      <c r="P18" s="306"/>
      <c r="Q18" s="65" t="s">
        <v>13</v>
      </c>
      <c r="T18" s="1">
        <v>599025.81000000006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34</v>
      </c>
      <c r="O19" s="69">
        <v>1742</v>
      </c>
      <c r="P19" s="46" t="s">
        <v>337</v>
      </c>
      <c r="Q19" s="65" t="s">
        <v>336</v>
      </c>
      <c r="T19" s="1">
        <v>30888.37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46</v>
      </c>
      <c r="O20" s="77" t="s">
        <v>65</v>
      </c>
      <c r="P20" s="75">
        <v>80</v>
      </c>
      <c r="Q20" s="65">
        <v>5530</v>
      </c>
      <c r="T20" s="1">
        <f>SUM(T18:T19)</f>
        <v>629914.18000000005</v>
      </c>
    </row>
    <row r="21" spans="1:20" ht="25.5" customHeight="1" x14ac:dyDescent="0.25">
      <c r="A21" s="16" t="s">
        <v>46</v>
      </c>
      <c r="B21" s="66">
        <v>206.35416666666666</v>
      </c>
      <c r="C21" s="66">
        <v>206.5</v>
      </c>
      <c r="D21" s="66">
        <f t="shared" ref="D21" si="5">C21-B21</f>
        <v>0.14583333333334281</v>
      </c>
      <c r="E21" s="66">
        <v>206.61458333333334</v>
      </c>
      <c r="F21" s="66">
        <v>206.875</v>
      </c>
      <c r="G21" s="66">
        <f t="shared" ref="G21" si="6">F21-E21</f>
        <v>0.26041666666665719</v>
      </c>
      <c r="H21" s="66">
        <v>206.91666666666666</v>
      </c>
      <c r="I21" s="66">
        <v>207.02083333333334</v>
      </c>
      <c r="J21" s="71">
        <f>I21-H21-K21</f>
        <v>0.10416666666668561</v>
      </c>
      <c r="K21" s="66"/>
      <c r="L21" s="73">
        <f>D21+G21+J21</f>
        <v>0.51041666666668561</v>
      </c>
      <c r="M21" s="154" t="s">
        <v>47</v>
      </c>
      <c r="N21" s="65">
        <f>M17+M12+M7</f>
        <v>153</v>
      </c>
      <c r="O21" s="78" t="s">
        <v>69</v>
      </c>
      <c r="P21" s="75">
        <v>233</v>
      </c>
      <c r="Q21" s="65">
        <v>6741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ref="D22:D23" si="7">C22-B22</f>
        <v>0.29166666666665719</v>
      </c>
      <c r="E22" s="66">
        <v>206.57638888888889</v>
      </c>
      <c r="F22" s="66">
        <v>206.875</v>
      </c>
      <c r="G22" s="66">
        <f t="shared" ref="G22" si="8">F22-E22</f>
        <v>0.29861111111111427</v>
      </c>
      <c r="H22" s="66">
        <v>206.93402777777777</v>
      </c>
      <c r="I22" s="66">
        <v>207.20833333333334</v>
      </c>
      <c r="J22" s="71">
        <f>I22-H22-K22</f>
        <v>0.27430555555557135</v>
      </c>
      <c r="K22" s="75"/>
      <c r="L22" s="73">
        <f>D22+G22+J22</f>
        <v>0.86458333333334281</v>
      </c>
      <c r="M22" s="49" t="s">
        <v>49</v>
      </c>
      <c r="N22" s="65">
        <v>33492</v>
      </c>
      <c r="O22" s="80" t="s">
        <v>66</v>
      </c>
      <c r="P22" s="75">
        <v>121</v>
      </c>
      <c r="Q22" s="65">
        <v>2948</v>
      </c>
    </row>
    <row r="23" spans="1:20" ht="27" customHeight="1" x14ac:dyDescent="0.25">
      <c r="A23" s="157" t="s">
        <v>50</v>
      </c>
      <c r="B23" s="66">
        <v>206.24305555555554</v>
      </c>
      <c r="C23" s="66">
        <v>206.54166666666666</v>
      </c>
      <c r="D23" s="66">
        <f t="shared" si="7"/>
        <v>0.29861111111111427</v>
      </c>
      <c r="E23" s="66">
        <v>206.625</v>
      </c>
      <c r="F23" s="66">
        <v>206.875</v>
      </c>
      <c r="G23" s="66">
        <f t="shared" ref="G23" si="9">F23-E23</f>
        <v>0.25</v>
      </c>
      <c r="H23" s="66">
        <v>206.93055555555554</v>
      </c>
      <c r="I23" s="66">
        <v>207.20833333333334</v>
      </c>
      <c r="J23" s="71">
        <f>I23-H23-K23</f>
        <v>0.27777777777779988</v>
      </c>
      <c r="K23" s="155"/>
      <c r="L23" s="156">
        <f>D23+G23+J23</f>
        <v>0.82638888888891415</v>
      </c>
      <c r="M23" s="154" t="s">
        <v>64</v>
      </c>
      <c r="N23" s="85">
        <v>9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0.73611111111111427</v>
      </c>
      <c r="E24" s="68"/>
      <c r="F24" s="68"/>
      <c r="G24" s="66">
        <f>SUM(G21:G23)</f>
        <v>0.80902777777777146</v>
      </c>
      <c r="H24" s="68"/>
      <c r="I24" s="68"/>
      <c r="J24" s="71">
        <f>SUM(J21:J23)</f>
        <v>0.65625000000005684</v>
      </c>
      <c r="K24" s="75"/>
      <c r="L24" s="55">
        <v>52.5</v>
      </c>
      <c r="M24" s="65" t="s">
        <v>78</v>
      </c>
      <c r="N24" s="65">
        <v>32471.79</v>
      </c>
      <c r="P24" s="79" t="s">
        <v>68</v>
      </c>
      <c r="Q24" s="43">
        <v>43321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N24+Sheet23!O25</f>
        <v>752488.85000000021</v>
      </c>
      <c r="P25" s="154" t="s">
        <v>77</v>
      </c>
      <c r="Q25" s="182">
        <v>48852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752488</v>
      </c>
      <c r="P26" s="51" t="s">
        <v>87</v>
      </c>
      <c r="Q26" s="69">
        <f>Q24+Sheet23!Q26</f>
        <v>783401.75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52.5</v>
      </c>
      <c r="M27" s="55"/>
      <c r="N27" s="88">
        <f>N22/L27</f>
        <v>637.94285714285718</v>
      </c>
      <c r="O27" s="81" t="s">
        <v>74</v>
      </c>
      <c r="P27" s="69"/>
      <c r="Q27" s="65" t="s">
        <v>338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5" right="0" top="0" bottom="0" header="0.31496062992126" footer="0.31496062992126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4.28515625" style="1" customWidth="1"/>
    <col min="16" max="16" width="13.42578125" style="1" customWidth="1"/>
    <col min="17" max="17" width="23.140625" style="1" customWidth="1"/>
    <col min="18" max="19" width="9.140625" style="1"/>
    <col min="20" max="20" width="14.42578125" style="1" customWidth="1"/>
    <col min="21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341</v>
      </c>
    </row>
    <row r="3" spans="1:18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8" ht="15" customHeight="1" x14ac:dyDescent="0.25">
      <c r="A4" s="20"/>
      <c r="B4" s="21" t="s">
        <v>14</v>
      </c>
      <c r="C4" s="22">
        <v>7</v>
      </c>
      <c r="D4" s="22">
        <v>18</v>
      </c>
      <c r="E4" s="22">
        <v>17</v>
      </c>
      <c r="F4" s="22">
        <v>15</v>
      </c>
      <c r="G4" s="22">
        <v>9</v>
      </c>
      <c r="H4" s="22">
        <v>12</v>
      </c>
      <c r="I4" s="22">
        <v>13</v>
      </c>
      <c r="J4" s="22">
        <v>13</v>
      </c>
      <c r="K4" s="93">
        <v>68</v>
      </c>
      <c r="L4" s="82">
        <v>36</v>
      </c>
      <c r="M4" s="93">
        <f t="shared" ref="M4" si="0">K4+L4</f>
        <v>104</v>
      </c>
      <c r="N4" s="82" t="s">
        <v>57</v>
      </c>
      <c r="O4" s="95" t="s">
        <v>88</v>
      </c>
      <c r="P4" s="105" t="s">
        <v>89</v>
      </c>
      <c r="Q4" s="43" t="s">
        <v>13</v>
      </c>
    </row>
    <row r="5" spans="1:18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1">K5+L5</f>
        <v>0</v>
      </c>
      <c r="N5" s="82" t="s">
        <v>260</v>
      </c>
      <c r="O5" s="66"/>
      <c r="P5" s="66"/>
      <c r="Q5" s="66"/>
    </row>
    <row r="6" spans="1:18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5</v>
      </c>
      <c r="F6" s="22">
        <v>9</v>
      </c>
      <c r="G6" s="22">
        <v>5</v>
      </c>
      <c r="H6" s="22">
        <v>6</v>
      </c>
      <c r="I6" s="22">
        <v>7</v>
      </c>
      <c r="J6" s="22"/>
      <c r="K6" s="22">
        <v>17</v>
      </c>
      <c r="L6" s="22">
        <v>21</v>
      </c>
      <c r="M6" s="93">
        <f t="shared" si="1"/>
        <v>38</v>
      </c>
      <c r="N6" s="82" t="s">
        <v>57</v>
      </c>
      <c r="O6" s="96"/>
      <c r="P6" s="65"/>
      <c r="Q6" s="309"/>
    </row>
    <row r="7" spans="1:18" ht="15" customHeight="1" x14ac:dyDescent="0.25">
      <c r="A7" s="25"/>
      <c r="B7" s="21" t="s">
        <v>19</v>
      </c>
      <c r="C7" s="22"/>
      <c r="D7" s="22">
        <v>7</v>
      </c>
      <c r="E7" s="22">
        <v>6</v>
      </c>
      <c r="F7" s="22">
        <v>1</v>
      </c>
      <c r="G7" s="22"/>
      <c r="H7" s="22">
        <v>10</v>
      </c>
      <c r="I7" s="22">
        <v>6</v>
      </c>
      <c r="J7" s="22">
        <v>4</v>
      </c>
      <c r="K7" s="22">
        <v>42</v>
      </c>
      <c r="L7" s="22">
        <v>2</v>
      </c>
      <c r="M7" s="93">
        <f t="shared" si="1"/>
        <v>44</v>
      </c>
      <c r="N7" s="82" t="s">
        <v>13</v>
      </c>
      <c r="O7" s="97"/>
      <c r="P7" s="65"/>
      <c r="Q7" s="310"/>
    </row>
    <row r="8" spans="1:18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8" ht="17.25" customHeight="1" x14ac:dyDescent="0.25">
      <c r="A9" s="33"/>
      <c r="B9" s="34" t="s">
        <v>14</v>
      </c>
      <c r="C9" s="22">
        <v>5</v>
      </c>
      <c r="D9" s="22">
        <v>23</v>
      </c>
      <c r="E9" s="22">
        <v>22</v>
      </c>
      <c r="F9" s="22">
        <v>30</v>
      </c>
      <c r="G9" s="22">
        <v>20</v>
      </c>
      <c r="H9" s="22">
        <v>30</v>
      </c>
      <c r="I9" s="22">
        <v>30</v>
      </c>
      <c r="J9" s="22">
        <v>11</v>
      </c>
      <c r="K9" s="22">
        <v>108</v>
      </c>
      <c r="L9" s="22">
        <v>65</v>
      </c>
      <c r="M9" s="93">
        <f t="shared" ref="M9:M12" si="2">K9+L9</f>
        <v>173</v>
      </c>
      <c r="N9" s="82" t="s">
        <v>57</v>
      </c>
      <c r="O9" s="99"/>
      <c r="P9" s="82"/>
      <c r="Q9" s="36"/>
    </row>
    <row r="10" spans="1:18" ht="15" customHeight="1" x14ac:dyDescent="0.25">
      <c r="A10" s="35" t="s">
        <v>27</v>
      </c>
      <c r="B10" s="34" t="s">
        <v>16</v>
      </c>
      <c r="C10" s="22">
        <v>3</v>
      </c>
      <c r="D10" s="22">
        <v>3</v>
      </c>
      <c r="E10" s="22">
        <v>4</v>
      </c>
      <c r="F10" s="22"/>
      <c r="G10" s="22"/>
      <c r="H10" s="22"/>
      <c r="I10" s="22"/>
      <c r="J10" s="22"/>
      <c r="K10" s="22">
        <v>10</v>
      </c>
      <c r="L10" s="22">
        <v>0</v>
      </c>
      <c r="M10" s="93">
        <f t="shared" si="2"/>
        <v>10</v>
      </c>
      <c r="N10" s="82" t="s">
        <v>57</v>
      </c>
      <c r="O10" s="303" t="s">
        <v>165</v>
      </c>
      <c r="P10" s="304"/>
      <c r="Q10" s="43" t="s">
        <v>73</v>
      </c>
    </row>
    <row r="11" spans="1:18" ht="13.5" customHeight="1" x14ac:dyDescent="0.25">
      <c r="A11" s="35" t="s">
        <v>28</v>
      </c>
      <c r="B11" s="34" t="s">
        <v>18</v>
      </c>
      <c r="C11" s="22">
        <v>3</v>
      </c>
      <c r="D11" s="22">
        <v>4</v>
      </c>
      <c r="E11" s="22">
        <v>3</v>
      </c>
      <c r="F11" s="22">
        <v>7</v>
      </c>
      <c r="G11" s="22">
        <v>8</v>
      </c>
      <c r="H11" s="22">
        <v>1</v>
      </c>
      <c r="I11" s="22">
        <v>1</v>
      </c>
      <c r="J11" s="22">
        <v>1</v>
      </c>
      <c r="K11" s="22">
        <v>18</v>
      </c>
      <c r="L11" s="22">
        <v>10</v>
      </c>
      <c r="M11" s="93">
        <f t="shared" ref="M11" si="3">K11+L11</f>
        <v>28</v>
      </c>
      <c r="N11" s="82" t="s">
        <v>13</v>
      </c>
      <c r="O11" s="66" t="s">
        <v>13</v>
      </c>
      <c r="P11" s="66" t="s">
        <v>13</v>
      </c>
      <c r="Q11" s="33" t="s">
        <v>13</v>
      </c>
      <c r="R11" s="1" t="s">
        <v>13</v>
      </c>
    </row>
    <row r="12" spans="1:18" ht="13.5" customHeight="1" x14ac:dyDescent="0.25">
      <c r="A12" s="36"/>
      <c r="B12" s="34" t="s">
        <v>19</v>
      </c>
      <c r="C12" s="22"/>
      <c r="D12" s="22">
        <v>6</v>
      </c>
      <c r="E12" s="22">
        <v>5</v>
      </c>
      <c r="F12" s="22">
        <v>4</v>
      </c>
      <c r="G12" s="22">
        <v>3</v>
      </c>
      <c r="H12" s="22">
        <v>2</v>
      </c>
      <c r="I12" s="22">
        <v>3</v>
      </c>
      <c r="J12" s="22">
        <v>3</v>
      </c>
      <c r="K12" s="22">
        <v>18</v>
      </c>
      <c r="L12" s="22">
        <v>8</v>
      </c>
      <c r="M12" s="93">
        <f t="shared" si="2"/>
        <v>26</v>
      </c>
      <c r="N12" s="82" t="s">
        <v>13</v>
      </c>
      <c r="O12" s="82"/>
      <c r="P12" s="82"/>
      <c r="Q12" s="37" t="s">
        <v>13</v>
      </c>
    </row>
    <row r="13" spans="1:18" ht="38.25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222" t="s">
        <v>344</v>
      </c>
      <c r="P13" s="103"/>
      <c r="Q13" s="178"/>
    </row>
    <row r="14" spans="1:18" x14ac:dyDescent="0.25">
      <c r="A14" s="33"/>
      <c r="B14" s="21" t="s">
        <v>14</v>
      </c>
      <c r="C14" s="22">
        <v>4</v>
      </c>
      <c r="D14" s="22">
        <v>20</v>
      </c>
      <c r="E14" s="22">
        <v>26</v>
      </c>
      <c r="F14" s="22">
        <v>23</v>
      </c>
      <c r="G14" s="22">
        <v>25</v>
      </c>
      <c r="H14" s="22">
        <v>22</v>
      </c>
      <c r="I14" s="22">
        <v>28</v>
      </c>
      <c r="J14" s="22">
        <v>17</v>
      </c>
      <c r="K14" s="22">
        <v>109</v>
      </c>
      <c r="L14" s="22">
        <v>56</v>
      </c>
      <c r="M14" s="93">
        <f t="shared" ref="M14:M17" si="4">K14+L14</f>
        <v>165</v>
      </c>
      <c r="N14" s="103" t="s">
        <v>57</v>
      </c>
      <c r="O14" s="66" t="s">
        <v>13</v>
      </c>
      <c r="P14" s="66"/>
      <c r="Q14" s="37"/>
    </row>
    <row r="15" spans="1:18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 t="s">
        <v>57</v>
      </c>
      <c r="O15" s="102"/>
      <c r="P15" s="82"/>
      <c r="Q15" s="37"/>
    </row>
    <row r="16" spans="1:18" ht="15.75" customHeight="1" x14ac:dyDescent="0.25">
      <c r="A16" s="107" t="s">
        <v>17</v>
      </c>
      <c r="B16" s="21" t="s">
        <v>18</v>
      </c>
      <c r="C16" s="22"/>
      <c r="D16" s="22">
        <v>4</v>
      </c>
      <c r="E16" s="22">
        <v>14</v>
      </c>
      <c r="F16" s="22">
        <v>14</v>
      </c>
      <c r="G16" s="22"/>
      <c r="H16" s="22">
        <v>10</v>
      </c>
      <c r="I16" s="22">
        <v>4</v>
      </c>
      <c r="J16" s="22">
        <v>8</v>
      </c>
      <c r="K16" s="22">
        <v>43</v>
      </c>
      <c r="L16" s="22">
        <v>7</v>
      </c>
      <c r="M16" s="93">
        <f t="shared" si="4"/>
        <v>50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3">
        <f t="shared" si="4"/>
        <v>0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442</v>
      </c>
      <c r="O18" s="305" t="s">
        <v>71</v>
      </c>
      <c r="P18" s="306"/>
      <c r="Q18" s="65" t="s">
        <v>13</v>
      </c>
      <c r="T18" s="1">
        <v>631021.06000000006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10</v>
      </c>
      <c r="O19" s="69">
        <v>1533.5</v>
      </c>
      <c r="P19" s="46" t="s">
        <v>166</v>
      </c>
      <c r="Q19" s="65" t="s">
        <v>339</v>
      </c>
      <c r="T19" s="1">
        <v>27942.55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116</v>
      </c>
      <c r="O20" s="77" t="s">
        <v>65</v>
      </c>
      <c r="P20" s="75">
        <v>80</v>
      </c>
      <c r="Q20" s="65">
        <v>5533.03</v>
      </c>
      <c r="T20" s="1">
        <f>SUM(T18:T19)</f>
        <v>658963.6100000001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" si="5">C21-B21</f>
        <v>0.29166666666665719</v>
      </c>
      <c r="E21" s="66">
        <v>206.69444444444446</v>
      </c>
      <c r="F21" s="66">
        <v>206.875</v>
      </c>
      <c r="G21" s="66">
        <f>F21-E21</f>
        <v>0.18055555555554292</v>
      </c>
      <c r="H21" s="66">
        <v>206.97916666666666</v>
      </c>
      <c r="I21" s="66">
        <v>207.20833333333334</v>
      </c>
      <c r="J21" s="71">
        <f t="shared" ref="J21:J22" si="6">I21-H21-K21</f>
        <v>0.22916666666668561</v>
      </c>
      <c r="K21" s="66"/>
      <c r="L21" s="73">
        <f>D21+G21+J21</f>
        <v>0.70138888888888573</v>
      </c>
      <c r="M21" s="154" t="s">
        <v>47</v>
      </c>
      <c r="N21" s="65">
        <f>M17+M12+M7</f>
        <v>70</v>
      </c>
      <c r="O21" s="78" t="s">
        <v>69</v>
      </c>
      <c r="P21" s="75">
        <v>216</v>
      </c>
      <c r="Q21" s="65">
        <v>6445.18</v>
      </c>
    </row>
    <row r="22" spans="1:20" ht="27" customHeight="1" x14ac:dyDescent="0.25">
      <c r="A22" s="16" t="s">
        <v>48</v>
      </c>
      <c r="B22" s="66">
        <v>206.26388888888889</v>
      </c>
      <c r="C22" s="66">
        <v>206.54166666666666</v>
      </c>
      <c r="D22" s="66">
        <f t="shared" ref="D22" si="7">C22-B22</f>
        <v>0.27777777777777146</v>
      </c>
      <c r="E22" s="66">
        <v>206.58333333333334</v>
      </c>
      <c r="F22" s="66">
        <v>206.875</v>
      </c>
      <c r="G22" s="66">
        <f t="shared" ref="G22" si="8">F22-E22</f>
        <v>0.29166666666665719</v>
      </c>
      <c r="H22" s="66">
        <v>206.94444444444446</v>
      </c>
      <c r="I22" s="66">
        <v>207.20833333333334</v>
      </c>
      <c r="J22" s="71">
        <f t="shared" si="6"/>
        <v>0.26388888888888573</v>
      </c>
      <c r="K22" s="75"/>
      <c r="L22" s="73">
        <f>D22+G22+J22</f>
        <v>0.83333333333331439</v>
      </c>
      <c r="M22" s="49" t="s">
        <v>49</v>
      </c>
      <c r="N22" s="65">
        <v>34135.93</v>
      </c>
      <c r="O22" s="80" t="s">
        <v>66</v>
      </c>
      <c r="P22" s="75">
        <v>155</v>
      </c>
      <c r="Q22" s="65">
        <v>3699.83</v>
      </c>
    </row>
    <row r="23" spans="1:20" ht="27" customHeight="1" x14ac:dyDescent="0.25">
      <c r="A23" s="157" t="s">
        <v>50</v>
      </c>
      <c r="B23" s="66">
        <v>206.26388888888889</v>
      </c>
      <c r="C23" s="66">
        <v>206.54166666666666</v>
      </c>
      <c r="D23" s="66">
        <f t="shared" ref="D23" si="9">C23-B23</f>
        <v>0.27777777777777146</v>
      </c>
      <c r="E23" s="66">
        <v>206.6875</v>
      </c>
      <c r="F23" s="66">
        <v>206.875</v>
      </c>
      <c r="G23" s="66">
        <f>F23-E23</f>
        <v>0.1875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0.75694444444445708</v>
      </c>
      <c r="M23" s="154" t="s">
        <v>64</v>
      </c>
      <c r="N23" s="85">
        <v>7</v>
      </c>
      <c r="O23" s="86" t="s">
        <v>67</v>
      </c>
      <c r="P23" s="76">
        <v>13</v>
      </c>
      <c r="Q23" s="65">
        <v>367.86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0.84722222222220012</v>
      </c>
      <c r="E24" s="68"/>
      <c r="F24" s="68"/>
      <c r="G24" s="66">
        <f>SUM(G21:G23)</f>
        <v>0.65972222222220012</v>
      </c>
      <c r="H24" s="68"/>
      <c r="I24" s="68"/>
      <c r="J24" s="71">
        <f>SUM(J21:J23)</f>
        <v>0.78472222222225696</v>
      </c>
      <c r="K24" s="75"/>
      <c r="L24" s="55">
        <v>57</v>
      </c>
      <c r="M24" s="65" t="s">
        <v>78</v>
      </c>
      <c r="N24" s="65">
        <v>25414.02</v>
      </c>
      <c r="P24" s="79" t="s">
        <v>68</v>
      </c>
      <c r="Q24" s="43">
        <v>36894.65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N24+Sheet24!O25</f>
        <v>777902.87000000023</v>
      </c>
      <c r="P25" s="154" t="s">
        <v>77</v>
      </c>
      <c r="Q25" s="87">
        <v>42727.68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87</v>
      </c>
      <c r="Q26" s="69">
        <f>Q24+Sheet24!Q26</f>
        <v>820296.4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</v>
      </c>
      <c r="M27" s="55"/>
      <c r="N27" s="88">
        <f>N22/L27</f>
        <v>598.87596491228066</v>
      </c>
      <c r="O27" s="81" t="s">
        <v>74</v>
      </c>
      <c r="P27" s="69"/>
      <c r="Q27" s="65" t="s">
        <v>340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6" workbookViewId="0">
      <selection activeCell="B24" sqref="B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855468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123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352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7</v>
      </c>
      <c r="E4" s="22">
        <v>8</v>
      </c>
      <c r="F4" s="22">
        <v>22</v>
      </c>
      <c r="G4" s="22">
        <v>26</v>
      </c>
      <c r="H4" s="22">
        <v>27</v>
      </c>
      <c r="I4" s="22">
        <v>23</v>
      </c>
      <c r="J4" s="22">
        <v>17</v>
      </c>
      <c r="K4" s="22">
        <v>65</v>
      </c>
      <c r="L4" s="22">
        <v>65</v>
      </c>
      <c r="M4" s="93">
        <f t="shared" ref="M4" si="0">K4+L4</f>
        <v>130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4</v>
      </c>
      <c r="H5" s="22">
        <v>2</v>
      </c>
      <c r="I5" s="22">
        <v>3</v>
      </c>
      <c r="J5" s="22"/>
      <c r="K5" s="22">
        <v>9</v>
      </c>
      <c r="L5" s="22">
        <v>0</v>
      </c>
      <c r="M5" s="93">
        <f t="shared" ref="M5" si="1">K5+L5</f>
        <v>9</v>
      </c>
      <c r="N5" s="104" t="s">
        <v>57</v>
      </c>
      <c r="O5" s="66">
        <v>9.3958333333333339</v>
      </c>
      <c r="P5" s="66">
        <v>2.5833333333333335</v>
      </c>
      <c r="Q5" s="66" t="s">
        <v>342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:M7" si="2">K6+L6</f>
        <v>0</v>
      </c>
      <c r="N6" s="104" t="s">
        <v>353</v>
      </c>
      <c r="O6" s="96"/>
      <c r="P6" s="65"/>
      <c r="Q6" s="309" t="s">
        <v>343</v>
      </c>
    </row>
    <row r="7" spans="1:17" ht="15" customHeight="1" x14ac:dyDescent="0.25">
      <c r="A7" s="25"/>
      <c r="B7" s="21" t="s">
        <v>19</v>
      </c>
      <c r="C7" s="22"/>
      <c r="D7" s="22">
        <v>9</v>
      </c>
      <c r="E7" s="22">
        <v>18</v>
      </c>
      <c r="F7" s="22">
        <v>15</v>
      </c>
      <c r="G7" s="22">
        <v>15</v>
      </c>
      <c r="H7" s="22">
        <v>20</v>
      </c>
      <c r="I7" s="22">
        <v>8</v>
      </c>
      <c r="J7" s="22">
        <v>7</v>
      </c>
      <c r="K7" s="22">
        <v>72</v>
      </c>
      <c r="L7" s="22">
        <v>30</v>
      </c>
      <c r="M7" s="93">
        <f t="shared" si="2"/>
        <v>102</v>
      </c>
      <c r="N7" s="104"/>
      <c r="O7" s="97"/>
      <c r="P7" s="65"/>
      <c r="Q7" s="310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5.75" customHeight="1" x14ac:dyDescent="0.25">
      <c r="A9" s="33"/>
      <c r="B9" s="34" t="s">
        <v>14</v>
      </c>
      <c r="C9" s="22"/>
      <c r="D9" s="22">
        <v>22</v>
      </c>
      <c r="E9" s="22">
        <v>23</v>
      </c>
      <c r="F9" s="22">
        <v>22</v>
      </c>
      <c r="G9" s="22"/>
      <c r="H9" s="22"/>
      <c r="I9" s="22"/>
      <c r="J9" s="22"/>
      <c r="K9" s="22">
        <v>107</v>
      </c>
      <c r="L9" s="22">
        <v>58</v>
      </c>
      <c r="M9" s="93">
        <f t="shared" ref="M9:M12" si="3">K9+L9</f>
        <v>165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3"/>
        <v>0</v>
      </c>
      <c r="N10" s="82" t="s">
        <v>260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57</v>
      </c>
      <c r="O11" s="82"/>
      <c r="P11" s="82"/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20</v>
      </c>
      <c r="E12" s="22">
        <v>10</v>
      </c>
      <c r="F12" s="22">
        <v>6</v>
      </c>
      <c r="G12" s="22"/>
      <c r="H12" s="22"/>
      <c r="I12" s="22"/>
      <c r="J12" s="22"/>
      <c r="K12" s="22">
        <v>20</v>
      </c>
      <c r="L12" s="22">
        <v>28</v>
      </c>
      <c r="M12" s="93">
        <f t="shared" si="3"/>
        <v>48</v>
      </c>
      <c r="N12" s="82"/>
      <c r="O12" s="82"/>
      <c r="P12" s="82"/>
      <c r="Q12" s="37" t="s">
        <v>13</v>
      </c>
    </row>
    <row r="13" spans="1:17" ht="31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222" t="s">
        <v>344</v>
      </c>
      <c r="P13" s="103" t="s">
        <v>346</v>
      </c>
      <c r="Q13" s="178" t="s">
        <v>345</v>
      </c>
    </row>
    <row r="14" spans="1:17" x14ac:dyDescent="0.25">
      <c r="A14" s="33"/>
      <c r="B14" s="21" t="s">
        <v>14</v>
      </c>
      <c r="C14" s="22"/>
      <c r="D14" s="22">
        <v>40</v>
      </c>
      <c r="E14" s="22">
        <v>40</v>
      </c>
      <c r="F14" s="22">
        <v>30</v>
      </c>
      <c r="G14" s="22">
        <v>43</v>
      </c>
      <c r="H14" s="22">
        <v>42</v>
      </c>
      <c r="I14" s="22">
        <v>36</v>
      </c>
      <c r="J14" s="22">
        <v>14</v>
      </c>
      <c r="K14" s="22">
        <v>150</v>
      </c>
      <c r="L14" s="22">
        <v>95</v>
      </c>
      <c r="M14" s="93">
        <f t="shared" ref="M14:M17" si="4">K14+L14</f>
        <v>245</v>
      </c>
      <c r="N14" s="103" t="s">
        <v>232</v>
      </c>
      <c r="O14" s="66">
        <v>9.5</v>
      </c>
      <c r="P14" s="66">
        <v>2.5069444444444446</v>
      </c>
      <c r="Q14" s="37" t="s">
        <v>347</v>
      </c>
    </row>
    <row r="15" spans="1:17" ht="19.5" customHeight="1" x14ac:dyDescent="0.25">
      <c r="A15" s="106" t="s">
        <v>36</v>
      </c>
      <c r="B15" s="21" t="s">
        <v>16</v>
      </c>
      <c r="C15" s="22"/>
      <c r="D15" s="22">
        <v>2</v>
      </c>
      <c r="E15" s="22"/>
      <c r="F15" s="22"/>
      <c r="G15" s="22"/>
      <c r="H15" s="22"/>
      <c r="I15" s="22">
        <v>4</v>
      </c>
      <c r="J15" s="22">
        <v>6</v>
      </c>
      <c r="K15" s="22">
        <v>12</v>
      </c>
      <c r="L15" s="22">
        <v>0</v>
      </c>
      <c r="M15" s="93">
        <f t="shared" si="4"/>
        <v>12</v>
      </c>
      <c r="N15" s="103" t="s">
        <v>57</v>
      </c>
      <c r="O15" s="102"/>
      <c r="P15" s="82"/>
      <c r="Q15" s="37" t="s">
        <v>348</v>
      </c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3</v>
      </c>
      <c r="F16" s="22"/>
      <c r="G16" s="22"/>
      <c r="H16" s="22"/>
      <c r="I16" s="22"/>
      <c r="J16" s="22"/>
      <c r="K16" s="22">
        <v>3</v>
      </c>
      <c r="L16" s="22">
        <v>0</v>
      </c>
      <c r="M16" s="93">
        <f t="shared" si="4"/>
        <v>3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>
        <v>3</v>
      </c>
      <c r="F17" s="22">
        <v>12</v>
      </c>
      <c r="G17" s="22">
        <v>13</v>
      </c>
      <c r="H17" s="22">
        <v>15</v>
      </c>
      <c r="I17" s="22">
        <v>12</v>
      </c>
      <c r="J17" s="22">
        <v>13</v>
      </c>
      <c r="K17" s="22">
        <v>20</v>
      </c>
      <c r="L17" s="22">
        <v>50</v>
      </c>
      <c r="M17" s="93">
        <f t="shared" si="4"/>
        <v>70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540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21</v>
      </c>
      <c r="O19" s="69">
        <v>1725.18</v>
      </c>
      <c r="P19" s="46" t="s">
        <v>349</v>
      </c>
      <c r="Q19" s="65" t="s">
        <v>350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3</v>
      </c>
      <c r="O20" s="77" t="s">
        <v>65</v>
      </c>
      <c r="P20" s="75">
        <v>60</v>
      </c>
      <c r="Q20" s="65">
        <v>4055.76</v>
      </c>
    </row>
    <row r="21" spans="1:20" ht="25.5" customHeight="1" x14ac:dyDescent="0.25">
      <c r="A21" s="16" t="s">
        <v>46</v>
      </c>
      <c r="B21" s="66">
        <v>206.26388888888889</v>
      </c>
      <c r="C21" s="66">
        <v>206.54166666666666</v>
      </c>
      <c r="D21" s="66">
        <f t="shared" ref="D21:D23" si="5">C21-B21</f>
        <v>0.27777777777777146</v>
      </c>
      <c r="E21" s="66">
        <v>206.61111111111111</v>
      </c>
      <c r="F21" s="66">
        <v>206.875</v>
      </c>
      <c r="G21" s="66">
        <f>F21-E21</f>
        <v>0.26388888888888573</v>
      </c>
      <c r="H21" s="66">
        <v>206.96527777777777</v>
      </c>
      <c r="I21" s="66">
        <v>207.15625</v>
      </c>
      <c r="J21" s="71">
        <f>I21-H21-K21</f>
        <v>0.19097222222222854</v>
      </c>
      <c r="K21" s="66"/>
      <c r="L21" s="73">
        <f>D21+G21+J21</f>
        <v>0.73263888888888573</v>
      </c>
      <c r="M21" s="154" t="s">
        <v>47</v>
      </c>
      <c r="N21" s="65">
        <f>M17+M12+M7</f>
        <v>220</v>
      </c>
      <c r="O21" s="78" t="s">
        <v>69</v>
      </c>
      <c r="P21" s="75">
        <v>163</v>
      </c>
      <c r="Q21" s="65">
        <v>4974.4399999999996</v>
      </c>
    </row>
    <row r="22" spans="1:20" ht="27" customHeight="1" x14ac:dyDescent="0.25">
      <c r="A22" s="16" t="s">
        <v>48</v>
      </c>
      <c r="B22" s="66">
        <v>206.26388888888889</v>
      </c>
      <c r="C22" s="66">
        <v>206.53472222222223</v>
      </c>
      <c r="D22" s="66">
        <f t="shared" si="5"/>
        <v>0.27083333333334281</v>
      </c>
      <c r="E22" s="66">
        <v>206.59375</v>
      </c>
      <c r="F22" s="66">
        <v>206.875</v>
      </c>
      <c r="G22" s="66">
        <f t="shared" ref="G22" si="6">F22-E22</f>
        <v>0.28125</v>
      </c>
      <c r="H22" s="66">
        <v>0</v>
      </c>
      <c r="I22" s="66">
        <v>0</v>
      </c>
      <c r="J22" s="71">
        <f>I22-H22-K22</f>
        <v>0</v>
      </c>
      <c r="K22" s="75"/>
      <c r="L22" s="73">
        <f>D22+G22+J22</f>
        <v>0.55208333333334281</v>
      </c>
      <c r="M22" s="49" t="s">
        <v>49</v>
      </c>
      <c r="N22" s="65">
        <v>29725.18</v>
      </c>
      <c r="O22" s="80" t="s">
        <v>66</v>
      </c>
      <c r="P22" s="75">
        <v>155</v>
      </c>
      <c r="Q22" s="65">
        <v>3801.6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si="5"/>
        <v>0.29166666666665719</v>
      </c>
      <c r="E23" s="66">
        <v>206.63194444444446</v>
      </c>
      <c r="F23" s="66">
        <v>206.875</v>
      </c>
      <c r="G23" s="66">
        <f>F23-E23</f>
        <v>0.24305555555554292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0.82638888888888573</v>
      </c>
      <c r="M23" s="154" t="s">
        <v>64</v>
      </c>
      <c r="N23" s="85">
        <v>8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0.84027777777777146</v>
      </c>
      <c r="E24" s="68"/>
      <c r="F24" s="68"/>
      <c r="G24" s="66">
        <f>SUM(G21:G23)</f>
        <v>0.78819444444442865</v>
      </c>
      <c r="H24" s="68"/>
      <c r="I24" s="68"/>
      <c r="J24" s="71">
        <f>SUM(J21:J23)</f>
        <v>0.48263888888891415</v>
      </c>
      <c r="K24" s="75"/>
      <c r="L24" s="83">
        <f>SUM(L21:L23)</f>
        <v>2.1111111111111143</v>
      </c>
      <c r="M24" s="65" t="s">
        <v>78</v>
      </c>
      <c r="N24" s="65">
        <v>28981.88</v>
      </c>
      <c r="P24" s="79" t="s">
        <v>68</v>
      </c>
      <c r="Q24" s="43">
        <v>37183.94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N24+Sheet25!O25</f>
        <v>806884.75000000023</v>
      </c>
      <c r="P25" s="154" t="s">
        <v>77</v>
      </c>
      <c r="Q25" s="87">
        <v>41239.699999999997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54000</v>
      </c>
      <c r="P26" s="51" t="s">
        <v>87</v>
      </c>
      <c r="Q26" s="69">
        <f>Q24+Sheet25!Q26</f>
        <v>857480.34000000008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50.4</v>
      </c>
      <c r="M27" s="55"/>
      <c r="N27" s="88">
        <f>N22/L27</f>
        <v>589.78531746031751</v>
      </c>
      <c r="O27" s="81" t="s">
        <v>74</v>
      </c>
      <c r="P27" s="69"/>
      <c r="Q27" s="65" t="s">
        <v>351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361</v>
      </c>
    </row>
    <row r="3" spans="1:17" ht="31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28</v>
      </c>
      <c r="E4" s="22">
        <v>36</v>
      </c>
      <c r="F4" s="22">
        <v>22</v>
      </c>
      <c r="G4" s="22">
        <v>17</v>
      </c>
      <c r="H4" s="22">
        <v>10</v>
      </c>
      <c r="I4" s="22">
        <v>21</v>
      </c>
      <c r="J4" s="22">
        <v>20</v>
      </c>
      <c r="K4" s="22">
        <v>116</v>
      </c>
      <c r="L4" s="22">
        <v>57</v>
      </c>
      <c r="M4" s="93">
        <f>K4+L4</f>
        <v>173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3</v>
      </c>
      <c r="F5" s="22">
        <v>2</v>
      </c>
      <c r="G5" s="22"/>
      <c r="H5" s="22">
        <v>3</v>
      </c>
      <c r="I5" s="22"/>
      <c r="J5" s="22"/>
      <c r="K5" s="22">
        <v>8</v>
      </c>
      <c r="L5" s="22">
        <v>0</v>
      </c>
      <c r="M5" s="93">
        <f t="shared" ref="M5:M7" si="0">K5+L5</f>
        <v>8</v>
      </c>
      <c r="N5" s="104" t="s">
        <v>57</v>
      </c>
      <c r="O5" s="66" t="s">
        <v>13</v>
      </c>
      <c r="P5" s="66" t="s">
        <v>13</v>
      </c>
      <c r="Q5" s="33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354</v>
      </c>
      <c r="O6" s="96"/>
      <c r="P6" s="65"/>
      <c r="Q6" s="309" t="s">
        <v>13</v>
      </c>
    </row>
    <row r="7" spans="1:17" ht="15" customHeight="1" x14ac:dyDescent="0.25">
      <c r="A7" s="25"/>
      <c r="B7" s="21" t="s">
        <v>19</v>
      </c>
      <c r="C7" s="22"/>
      <c r="D7" s="22">
        <v>6</v>
      </c>
      <c r="E7" s="22">
        <v>7</v>
      </c>
      <c r="F7" s="22">
        <v>9</v>
      </c>
      <c r="G7" s="22">
        <v>5</v>
      </c>
      <c r="H7" s="22">
        <v>10</v>
      </c>
      <c r="I7" s="22">
        <v>13</v>
      </c>
      <c r="J7" s="22">
        <v>13</v>
      </c>
      <c r="K7" s="22">
        <v>35</v>
      </c>
      <c r="L7" s="22">
        <v>28</v>
      </c>
      <c r="M7" s="93">
        <f t="shared" si="0"/>
        <v>63</v>
      </c>
      <c r="N7" s="104" t="s">
        <v>13</v>
      </c>
      <c r="O7" s="97"/>
      <c r="P7" s="65"/>
      <c r="Q7" s="310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 t="s">
        <v>13</v>
      </c>
    </row>
    <row r="9" spans="1:17" ht="15" customHeight="1" x14ac:dyDescent="0.25">
      <c r="A9" s="33"/>
      <c r="B9" s="34" t="s">
        <v>14</v>
      </c>
      <c r="C9" s="22"/>
      <c r="D9" s="22">
        <v>19</v>
      </c>
      <c r="E9" s="22">
        <v>20</v>
      </c>
      <c r="F9" s="22">
        <v>20</v>
      </c>
      <c r="G9" s="22">
        <v>51</v>
      </c>
      <c r="H9" s="22">
        <v>25</v>
      </c>
      <c r="I9" s="22">
        <v>30</v>
      </c>
      <c r="J9" s="22">
        <v>30</v>
      </c>
      <c r="K9" s="22">
        <v>155</v>
      </c>
      <c r="L9" s="22">
        <v>40</v>
      </c>
      <c r="M9" s="93">
        <f t="shared" ref="M9:M12" si="1">K9+L9</f>
        <v>195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355</v>
      </c>
      <c r="O10" s="303" t="s">
        <v>160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>
        <v>2</v>
      </c>
      <c r="I11" s="22">
        <v>3</v>
      </c>
      <c r="J11" s="22"/>
      <c r="K11" s="22">
        <v>5</v>
      </c>
      <c r="L11" s="22">
        <v>0</v>
      </c>
      <c r="M11" s="93">
        <f t="shared" si="1"/>
        <v>5</v>
      </c>
      <c r="N11" s="82" t="s">
        <v>57</v>
      </c>
      <c r="O11" s="82">
        <v>9.3000000000000007</v>
      </c>
      <c r="P11" s="82">
        <v>1.3</v>
      </c>
      <c r="Q11" s="33" t="s">
        <v>358</v>
      </c>
    </row>
    <row r="12" spans="1:17" ht="13.5" customHeight="1" x14ac:dyDescent="0.25">
      <c r="A12" s="36"/>
      <c r="B12" s="34" t="s">
        <v>19</v>
      </c>
      <c r="C12" s="22"/>
      <c r="D12" s="22">
        <v>12</v>
      </c>
      <c r="E12" s="22">
        <v>8</v>
      </c>
      <c r="F12" s="22">
        <v>8</v>
      </c>
      <c r="G12" s="22"/>
      <c r="H12" s="22"/>
      <c r="I12" s="22">
        <v>3</v>
      </c>
      <c r="J12" s="22" t="s">
        <v>13</v>
      </c>
      <c r="K12" s="22">
        <v>20</v>
      </c>
      <c r="L12" s="22">
        <v>11</v>
      </c>
      <c r="M12" s="93">
        <f t="shared" si="1"/>
        <v>31</v>
      </c>
      <c r="N12" s="82"/>
      <c r="O12" s="82"/>
      <c r="P12" s="82"/>
      <c r="Q12" s="37"/>
    </row>
    <row r="13" spans="1:17" ht="34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223" t="s">
        <v>201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34</v>
      </c>
      <c r="E14" s="22">
        <v>36</v>
      </c>
      <c r="F14" s="22">
        <v>40</v>
      </c>
      <c r="G14" s="22">
        <v>20</v>
      </c>
      <c r="H14" s="22">
        <v>35</v>
      </c>
      <c r="I14" s="22">
        <v>40</v>
      </c>
      <c r="J14" s="22">
        <v>42</v>
      </c>
      <c r="K14" s="22">
        <v>142</v>
      </c>
      <c r="L14" s="22">
        <v>105</v>
      </c>
      <c r="M14" s="93">
        <f t="shared" ref="M14:M17" si="2">K14+L14</f>
        <v>247</v>
      </c>
      <c r="N14" s="103" t="s">
        <v>57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>
        <v>3</v>
      </c>
      <c r="H15" s="22">
        <v>4</v>
      </c>
      <c r="I15" s="22">
        <v>3</v>
      </c>
      <c r="J15" s="22">
        <v>7</v>
      </c>
      <c r="K15" s="22">
        <v>11</v>
      </c>
      <c r="L15" s="22">
        <v>0</v>
      </c>
      <c r="M15" s="93">
        <f t="shared" si="2"/>
        <v>11</v>
      </c>
      <c r="N15" s="103" t="s">
        <v>161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2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10</v>
      </c>
      <c r="F17" s="22">
        <v>20</v>
      </c>
      <c r="G17" s="22">
        <v>12</v>
      </c>
      <c r="H17" s="22">
        <v>13</v>
      </c>
      <c r="I17" s="22">
        <v>5</v>
      </c>
      <c r="J17" s="22">
        <v>35</v>
      </c>
      <c r="K17" s="22">
        <v>25</v>
      </c>
      <c r="L17" s="22">
        <v>0</v>
      </c>
      <c r="M17" s="93">
        <f t="shared" si="2"/>
        <v>25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615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19</v>
      </c>
      <c r="O19" s="69">
        <v>2053.15</v>
      </c>
      <c r="P19" s="46" t="s">
        <v>356</v>
      </c>
      <c r="Q19" s="65" t="s">
        <v>357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5</v>
      </c>
      <c r="O20" s="77" t="s">
        <v>65</v>
      </c>
      <c r="P20" s="75">
        <v>80</v>
      </c>
      <c r="Q20" s="65">
        <v>5503.18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" si="3">C21-B21</f>
        <v>0.29166666666665719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206.95833333333334</v>
      </c>
      <c r="I21" s="66">
        <v>207.20833333333334</v>
      </c>
      <c r="J21" s="71">
        <f>I21-H21-K21</f>
        <v>0.25</v>
      </c>
      <c r="K21" s="66"/>
      <c r="L21" s="73">
        <f>D21+G21+J21</f>
        <v>0.83333333333331439</v>
      </c>
      <c r="M21" s="154" t="s">
        <v>47</v>
      </c>
      <c r="N21" s="65">
        <f>M17+M12+M7</f>
        <v>119</v>
      </c>
      <c r="O21" s="78" t="s">
        <v>69</v>
      </c>
      <c r="P21" s="75">
        <v>218</v>
      </c>
      <c r="Q21" s="65">
        <v>6575.04</v>
      </c>
    </row>
    <row r="22" spans="1:20" ht="27" customHeight="1" x14ac:dyDescent="0.25">
      <c r="A22" s="16" t="s">
        <v>48</v>
      </c>
      <c r="B22" s="66">
        <v>206.27430555555554</v>
      </c>
      <c r="C22" s="66">
        <v>206.41666666666666</v>
      </c>
      <c r="D22" s="66">
        <f t="shared" ref="D22" si="4">C22-B22</f>
        <v>0.14236111111111427</v>
      </c>
      <c r="E22" s="66">
        <v>206.58680555555554</v>
      </c>
      <c r="F22" s="66">
        <v>206.875</v>
      </c>
      <c r="G22" s="66">
        <f>F22-E22</f>
        <v>0.28819444444445708</v>
      </c>
      <c r="H22" s="66">
        <v>206.94791666666666</v>
      </c>
      <c r="I22" s="66">
        <v>207.20833333333334</v>
      </c>
      <c r="J22" s="71">
        <f>I22-H22-K22</f>
        <v>0.26041666666668561</v>
      </c>
      <c r="K22" s="75"/>
      <c r="L22" s="73">
        <f>D22+G22+J22</f>
        <v>0.69097222222225696</v>
      </c>
      <c r="M22" s="49" t="s">
        <v>49</v>
      </c>
      <c r="N22" s="65">
        <v>33053</v>
      </c>
      <c r="O22" s="80" t="s">
        <v>66</v>
      </c>
      <c r="P22" s="75">
        <v>154</v>
      </c>
      <c r="Q22" s="65">
        <v>3881.49</v>
      </c>
    </row>
    <row r="23" spans="1:20" ht="27" customHeight="1" x14ac:dyDescent="0.25">
      <c r="A23" s="157" t="s">
        <v>50</v>
      </c>
      <c r="B23" s="66">
        <v>206.27777777777777</v>
      </c>
      <c r="C23" s="66">
        <v>206.54166666666666</v>
      </c>
      <c r="D23" s="66">
        <f t="shared" ref="D23" si="5">C23-B23</f>
        <v>0.26388888888888573</v>
      </c>
      <c r="E23" s="66">
        <v>206.61458333333334</v>
      </c>
      <c r="F23" s="66">
        <v>206.875</v>
      </c>
      <c r="G23" s="66">
        <f t="shared" ref="G23" si="6">F23-E23</f>
        <v>0.26041666666665719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0.81597222222222854</v>
      </c>
      <c r="M23" s="154" t="s">
        <v>64</v>
      </c>
      <c r="N23" s="85">
        <v>8</v>
      </c>
      <c r="O23" s="86" t="s">
        <v>67</v>
      </c>
      <c r="P23" s="76">
        <v>16</v>
      </c>
      <c r="Q23" s="65">
        <v>500.94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0.69791666666665719</v>
      </c>
      <c r="E24" s="68"/>
      <c r="F24" s="68"/>
      <c r="G24" s="66">
        <f>SUM(G21:G23)</f>
        <v>0.84027777777777146</v>
      </c>
      <c r="H24" s="68"/>
      <c r="I24" s="68"/>
      <c r="J24" s="71">
        <f>SUM(J21:J23)</f>
        <v>0.80208333333337123</v>
      </c>
      <c r="K24" s="75"/>
      <c r="L24" s="83">
        <f>SUM(L21:L23)</f>
        <v>2.3402777777777999</v>
      </c>
      <c r="M24" s="65" t="s">
        <v>78</v>
      </c>
      <c r="N24" s="65">
        <v>29679.79</v>
      </c>
      <c r="P24" s="79" t="s">
        <v>68</v>
      </c>
      <c r="Q24" s="43">
        <v>40705.589999999997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N24+Sheet26!O25</f>
        <v>836564.54000000027</v>
      </c>
      <c r="P25" s="154" t="s">
        <v>77</v>
      </c>
      <c r="Q25" s="87">
        <v>46208.77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60000</v>
      </c>
      <c r="P26" s="51" t="s">
        <v>87</v>
      </c>
      <c r="Q26" s="69">
        <f>Q24+Sheet26!Q26</f>
        <v>898185.93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56.1</v>
      </c>
      <c r="M27" s="55"/>
      <c r="N27" s="88">
        <f>N22/L27</f>
        <v>589.18003565062384</v>
      </c>
      <c r="O27" s="81" t="s">
        <v>74</v>
      </c>
      <c r="P27" s="69"/>
      <c r="Q27" s="65" t="s">
        <v>359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85546875" style="1" customWidth="1"/>
    <col min="16" max="16" width="13.42578125" style="1" customWidth="1"/>
    <col min="17" max="17" width="23.42578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360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>
        <v>3</v>
      </c>
      <c r="D4" s="22">
        <v>27</v>
      </c>
      <c r="E4" s="22">
        <v>38</v>
      </c>
      <c r="F4" s="22">
        <v>40</v>
      </c>
      <c r="G4" s="22">
        <v>15</v>
      </c>
      <c r="H4" s="22">
        <v>20</v>
      </c>
      <c r="I4" s="22">
        <v>24</v>
      </c>
      <c r="J4" s="22">
        <v>16</v>
      </c>
      <c r="K4" s="22">
        <v>115</v>
      </c>
      <c r="L4" s="22">
        <v>68</v>
      </c>
      <c r="M4" s="93">
        <f t="shared" ref="M4" si="0">K4+L4</f>
        <v>183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3</v>
      </c>
      <c r="F5" s="22">
        <v>2</v>
      </c>
      <c r="G5" s="22"/>
      <c r="H5" s="22"/>
      <c r="I5" s="22"/>
      <c r="J5" s="22">
        <v>2</v>
      </c>
      <c r="K5" s="22">
        <v>7</v>
      </c>
      <c r="L5" s="22">
        <v>0</v>
      </c>
      <c r="M5" s="93">
        <f t="shared" ref="M5" si="1">K5+L5</f>
        <v>7</v>
      </c>
      <c r="N5" s="104" t="s">
        <v>232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:M7" si="2">K6+L6</f>
        <v>0</v>
      </c>
      <c r="N6" s="104" t="s">
        <v>57</v>
      </c>
      <c r="O6" s="96"/>
      <c r="P6" s="65"/>
      <c r="Q6" s="309" t="s">
        <v>13</v>
      </c>
    </row>
    <row r="7" spans="1:17" ht="15" customHeight="1" x14ac:dyDescent="0.25">
      <c r="A7" s="25"/>
      <c r="B7" s="21" t="s">
        <v>19</v>
      </c>
      <c r="C7" s="22"/>
      <c r="D7" s="22">
        <v>5</v>
      </c>
      <c r="E7" s="22">
        <v>13</v>
      </c>
      <c r="F7" s="22">
        <v>7</v>
      </c>
      <c r="G7" s="22">
        <v>20</v>
      </c>
      <c r="H7" s="22">
        <v>26</v>
      </c>
      <c r="I7" s="22">
        <v>30</v>
      </c>
      <c r="J7" s="22">
        <v>10</v>
      </c>
      <c r="K7" s="22">
        <v>88</v>
      </c>
      <c r="L7" s="22">
        <v>23</v>
      </c>
      <c r="M7" s="93">
        <f t="shared" si="2"/>
        <v>111</v>
      </c>
      <c r="N7" s="104" t="s">
        <v>382</v>
      </c>
      <c r="O7" s="97"/>
      <c r="P7" s="65"/>
      <c r="Q7" s="310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178" t="s">
        <v>13</v>
      </c>
    </row>
    <row r="9" spans="1:17" ht="14.25" customHeight="1" x14ac:dyDescent="0.25">
      <c r="A9" s="33"/>
      <c r="B9" s="34" t="s">
        <v>14</v>
      </c>
      <c r="C9" s="22"/>
      <c r="D9" s="22">
        <v>18</v>
      </c>
      <c r="E9" s="22">
        <v>20</v>
      </c>
      <c r="F9" s="22">
        <v>20</v>
      </c>
      <c r="G9" s="22">
        <v>24</v>
      </c>
      <c r="H9" s="22">
        <v>30</v>
      </c>
      <c r="I9" s="22">
        <v>32</v>
      </c>
      <c r="J9" s="22">
        <v>30</v>
      </c>
      <c r="K9" s="22">
        <v>104</v>
      </c>
      <c r="L9" s="22">
        <v>70</v>
      </c>
      <c r="M9" s="93">
        <f t="shared" ref="M9" si="3">K9+L9</f>
        <v>174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ref="M10:M12" si="4">K10+L10</f>
        <v>0</v>
      </c>
      <c r="N10" s="82" t="s">
        <v>232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4"/>
        <v>0</v>
      </c>
      <c r="N11" s="82" t="s">
        <v>57</v>
      </c>
      <c r="O11" s="248">
        <v>0.41666666666666669</v>
      </c>
      <c r="P11" s="82" t="s">
        <v>376</v>
      </c>
      <c r="Q11" s="33" t="s">
        <v>377</v>
      </c>
    </row>
    <row r="12" spans="1:17" ht="13.5" customHeight="1" x14ac:dyDescent="0.25">
      <c r="A12" s="36"/>
      <c r="B12" s="34" t="s">
        <v>19</v>
      </c>
      <c r="C12" s="22"/>
      <c r="D12" s="22">
        <v>19</v>
      </c>
      <c r="E12" s="22">
        <v>10</v>
      </c>
      <c r="F12" s="22">
        <v>10</v>
      </c>
      <c r="G12" s="22">
        <v>8</v>
      </c>
      <c r="H12" s="22"/>
      <c r="I12" s="22"/>
      <c r="J12" s="22"/>
      <c r="K12" s="22">
        <v>44</v>
      </c>
      <c r="L12" s="22">
        <v>3</v>
      </c>
      <c r="M12" s="93">
        <f t="shared" si="4"/>
        <v>47</v>
      </c>
      <c r="N12" s="82"/>
      <c r="O12" s="82"/>
      <c r="P12" s="82"/>
      <c r="Q12" s="37" t="s">
        <v>378</v>
      </c>
    </row>
    <row r="13" spans="1:17" ht="36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 t="s">
        <v>379</v>
      </c>
    </row>
    <row r="14" spans="1:17" ht="15" x14ac:dyDescent="0.25">
      <c r="A14" s="33"/>
      <c r="B14" s="21" t="s">
        <v>14</v>
      </c>
      <c r="C14" s="22"/>
      <c r="D14" s="22">
        <v>28</v>
      </c>
      <c r="E14" s="22">
        <v>32</v>
      </c>
      <c r="F14" s="22">
        <v>30</v>
      </c>
      <c r="G14" s="22">
        <v>15</v>
      </c>
      <c r="H14" s="22">
        <v>26</v>
      </c>
      <c r="I14" s="22">
        <v>34</v>
      </c>
      <c r="J14" s="22">
        <v>17</v>
      </c>
      <c r="K14" s="22">
        <v>110</v>
      </c>
      <c r="L14" s="22">
        <v>72</v>
      </c>
      <c r="M14" s="93">
        <f t="shared" ref="M14:M17" si="5">K14+L14</f>
        <v>182</v>
      </c>
      <c r="N14" s="103" t="s">
        <v>57</v>
      </c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>
        <v>3</v>
      </c>
      <c r="I15" s="22">
        <v>2</v>
      </c>
      <c r="J15" s="22">
        <v>6</v>
      </c>
      <c r="K15" s="22">
        <v>10</v>
      </c>
      <c r="L15" s="22">
        <v>0</v>
      </c>
      <c r="M15" s="93">
        <f t="shared" si="5"/>
        <v>10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5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12</v>
      </c>
      <c r="F17" s="22">
        <v>18</v>
      </c>
      <c r="G17" s="22">
        <v>15</v>
      </c>
      <c r="H17" s="22">
        <v>25</v>
      </c>
      <c r="I17" s="22">
        <v>20</v>
      </c>
      <c r="J17" s="22">
        <v>20</v>
      </c>
      <c r="K17" s="22">
        <v>64</v>
      </c>
      <c r="L17" s="22">
        <v>46</v>
      </c>
      <c r="M17" s="93">
        <f t="shared" si="5"/>
        <v>110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539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17</v>
      </c>
      <c r="O19" s="69">
        <v>1894.69</v>
      </c>
      <c r="P19" s="46" t="s">
        <v>169</v>
      </c>
      <c r="Q19" s="65" t="s">
        <v>375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0</v>
      </c>
      <c r="O20" s="77" t="s">
        <v>65</v>
      </c>
      <c r="P20" s="75">
        <v>80</v>
      </c>
      <c r="Q20" s="65">
        <v>5469.48</v>
      </c>
    </row>
    <row r="21" spans="1:20" ht="25.5" customHeight="1" x14ac:dyDescent="0.25">
      <c r="A21" s="16" t="s">
        <v>46</v>
      </c>
      <c r="B21" s="66">
        <v>206.32638888888889</v>
      </c>
      <c r="C21" s="66">
        <v>206.54166666666666</v>
      </c>
      <c r="D21" s="66">
        <f t="shared" ref="D21" si="6">C21-B21</f>
        <v>0.21527777777777146</v>
      </c>
      <c r="E21" s="66">
        <v>206.63888888888889</v>
      </c>
      <c r="F21" s="66">
        <v>206.875</v>
      </c>
      <c r="G21" s="66">
        <f>F21-E21</f>
        <v>0.23611111111111427</v>
      </c>
      <c r="H21" s="66">
        <v>206.95833333333334</v>
      </c>
      <c r="I21" s="66">
        <v>207.20833333333334</v>
      </c>
      <c r="J21" s="71">
        <f>I21-H21-K21</f>
        <v>0.25</v>
      </c>
      <c r="K21" s="66"/>
      <c r="L21" s="73">
        <f>D21+G21+J21</f>
        <v>0.70138888888888573</v>
      </c>
      <c r="M21" s="154" t="s">
        <v>47</v>
      </c>
      <c r="N21" s="65">
        <f>M17+M12+M7</f>
        <v>268</v>
      </c>
      <c r="O21" s="78" t="s">
        <v>69</v>
      </c>
      <c r="P21" s="75">
        <v>255</v>
      </c>
      <c r="Q21" s="65">
        <v>7559.64</v>
      </c>
    </row>
    <row r="22" spans="1:20" ht="27" customHeight="1" x14ac:dyDescent="0.25">
      <c r="A22" s="16" t="s">
        <v>48</v>
      </c>
      <c r="B22" s="66">
        <v>206.29166666666666</v>
      </c>
      <c r="C22" s="66">
        <v>206.54166666666666</v>
      </c>
      <c r="D22" s="66">
        <f t="shared" ref="D22" si="7">C22-B22</f>
        <v>0.25</v>
      </c>
      <c r="E22" s="66">
        <v>206.61111111111111</v>
      </c>
      <c r="F22" s="66">
        <v>206.875</v>
      </c>
      <c r="G22" s="66">
        <f t="shared" ref="G22" si="8">F22-E22</f>
        <v>0.26388888888888573</v>
      </c>
      <c r="H22" s="66">
        <v>206.95486111111111</v>
      </c>
      <c r="I22" s="66">
        <v>207.20833333333334</v>
      </c>
      <c r="J22" s="71">
        <f>I22-H22-K22</f>
        <v>0.25347222222222854</v>
      </c>
      <c r="K22" s="75"/>
      <c r="L22" s="73">
        <f>D22+G22+J22</f>
        <v>0.76736111111111427</v>
      </c>
      <c r="M22" s="49" t="s">
        <v>49</v>
      </c>
      <c r="N22" s="65">
        <v>29294.69</v>
      </c>
      <c r="O22" s="80" t="s">
        <v>66</v>
      </c>
      <c r="P22" s="75">
        <v>185</v>
      </c>
      <c r="Q22" s="65">
        <v>4706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ref="D23" si="9">C23-B23</f>
        <v>0.29166666666665719</v>
      </c>
      <c r="E23" s="66">
        <v>206.63888888888889</v>
      </c>
      <c r="F23" s="66">
        <v>206.875</v>
      </c>
      <c r="G23" s="66">
        <f>F23-E23</f>
        <v>0.23611111111111427</v>
      </c>
      <c r="H23" s="66">
        <v>206.94097222222223</v>
      </c>
      <c r="I23" s="66">
        <v>207.20833333333334</v>
      </c>
      <c r="J23" s="71">
        <f>I23-H23-K23</f>
        <v>0.26736111111111427</v>
      </c>
      <c r="K23" s="155"/>
      <c r="L23" s="156">
        <f>D23+G23+J23</f>
        <v>0.79513888888888573</v>
      </c>
      <c r="M23" s="154" t="s">
        <v>64</v>
      </c>
      <c r="N23" s="85">
        <v>9</v>
      </c>
      <c r="O23" s="86" t="s">
        <v>67</v>
      </c>
      <c r="P23" s="76">
        <v>18</v>
      </c>
      <c r="Q23" s="65">
        <v>556.38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0.75694444444442865</v>
      </c>
      <c r="E24" s="68"/>
      <c r="F24" s="68"/>
      <c r="G24" s="66">
        <f>SUM(G21:G23)</f>
        <v>0.73611111111111427</v>
      </c>
      <c r="H24" s="68"/>
      <c r="I24" s="68"/>
      <c r="J24" s="71">
        <f>SUM(J21:J23)</f>
        <v>0.77083333333334281</v>
      </c>
      <c r="K24" s="75"/>
      <c r="L24" s="83">
        <f>SUM(L21:L23)</f>
        <v>2.2638888888888857</v>
      </c>
      <c r="M24" s="65" t="s">
        <v>78</v>
      </c>
      <c r="N24" s="65">
        <v>32981.51</v>
      </c>
      <c r="P24" s="79" t="s">
        <v>68</v>
      </c>
      <c r="Q24" s="43">
        <v>43998.29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N24+Sheet27!O25</f>
        <v>869546.05000000028</v>
      </c>
      <c r="P25" s="154" t="s">
        <v>77</v>
      </c>
      <c r="Q25" s="87">
        <v>49467.77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60000</v>
      </c>
      <c r="P26" s="51" t="s">
        <v>87</v>
      </c>
      <c r="Q26" s="69">
        <f>Q24+Sheet27!Q26</f>
        <v>942184.22000000009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54.2</v>
      </c>
      <c r="M27" s="55"/>
      <c r="N27" s="88">
        <f>N22/L27</f>
        <v>540.4924354243542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387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 t="s">
        <v>13</v>
      </c>
      <c r="D4" s="22"/>
      <c r="E4" s="22"/>
      <c r="F4" s="22"/>
      <c r="G4" s="22"/>
      <c r="H4" s="22"/>
      <c r="I4" s="22"/>
      <c r="J4" s="22"/>
      <c r="K4" s="22">
        <v>140</v>
      </c>
      <c r="L4" s="22">
        <v>82</v>
      </c>
      <c r="M4" s="93">
        <f t="shared" ref="M4" si="0">K4+L4</f>
        <v>222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10</v>
      </c>
      <c r="L5" s="22">
        <v>0</v>
      </c>
      <c r="M5" s="93">
        <f t="shared" ref="M5" si="1">K5+L5</f>
        <v>10</v>
      </c>
      <c r="N5" s="104" t="s">
        <v>380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:M7" si="2">K6+L6</f>
        <v>0</v>
      </c>
      <c r="N6" s="104" t="s">
        <v>57</v>
      </c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25</v>
      </c>
      <c r="L7" s="22">
        <v>18</v>
      </c>
      <c r="M7" s="93">
        <f t="shared" si="2"/>
        <v>43</v>
      </c>
      <c r="N7" s="104" t="s">
        <v>57</v>
      </c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7</v>
      </c>
      <c r="E9" s="22">
        <v>6</v>
      </c>
      <c r="F9" s="22">
        <v>4</v>
      </c>
      <c r="G9" s="22">
        <v>10</v>
      </c>
      <c r="H9" s="22">
        <v>10</v>
      </c>
      <c r="I9" s="22">
        <v>38</v>
      </c>
      <c r="J9" s="22">
        <v>37</v>
      </c>
      <c r="K9" s="22">
        <v>64</v>
      </c>
      <c r="L9" s="22">
        <v>48</v>
      </c>
      <c r="M9" s="93">
        <f t="shared" ref="M9:M12" si="3">K9+L9</f>
        <v>112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3"/>
        <v>0</v>
      </c>
      <c r="N10" s="82" t="s">
        <v>57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381</v>
      </c>
      <c r="O11" s="66" t="s">
        <v>13</v>
      </c>
      <c r="P11" s="66" t="s">
        <v>13</v>
      </c>
      <c r="Q11" s="33" t="s">
        <v>385</v>
      </c>
    </row>
    <row r="12" spans="1:17" ht="13.5" customHeight="1" x14ac:dyDescent="0.25">
      <c r="A12" s="36"/>
      <c r="B12" s="34" t="s">
        <v>19</v>
      </c>
      <c r="C12" s="22"/>
      <c r="D12" s="22">
        <v>10</v>
      </c>
      <c r="E12" s="22">
        <v>9</v>
      </c>
      <c r="F12" s="22">
        <v>10</v>
      </c>
      <c r="G12" s="22">
        <v>10</v>
      </c>
      <c r="H12" s="22">
        <v>1</v>
      </c>
      <c r="I12" s="22">
        <v>6</v>
      </c>
      <c r="J12" s="22">
        <v>5</v>
      </c>
      <c r="K12" s="22">
        <v>20</v>
      </c>
      <c r="L12" s="22">
        <v>41</v>
      </c>
      <c r="M12" s="93">
        <f t="shared" si="3"/>
        <v>61</v>
      </c>
      <c r="N12" s="82"/>
      <c r="O12" s="82"/>
      <c r="P12" s="82"/>
      <c r="Q12" s="37" t="s">
        <v>386</v>
      </c>
    </row>
    <row r="13" spans="1:17" ht="38.25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34</v>
      </c>
      <c r="E14" s="22">
        <v>36</v>
      </c>
      <c r="F14" s="22">
        <v>30</v>
      </c>
      <c r="G14" s="22">
        <v>28</v>
      </c>
      <c r="H14" s="22">
        <v>32</v>
      </c>
      <c r="I14" s="22">
        <v>20</v>
      </c>
      <c r="J14" s="22">
        <v>35</v>
      </c>
      <c r="K14" s="22">
        <v>130</v>
      </c>
      <c r="L14" s="22">
        <v>85</v>
      </c>
      <c r="M14" s="93">
        <f t="shared" ref="M14:M17" si="4">K14+L14</f>
        <v>215</v>
      </c>
      <c r="N14" s="103" t="s">
        <v>57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3</v>
      </c>
      <c r="E16" s="22">
        <v>5</v>
      </c>
      <c r="F16" s="22">
        <v>2</v>
      </c>
      <c r="G16" s="22"/>
      <c r="H16" s="22"/>
      <c r="I16" s="22"/>
      <c r="J16" s="22"/>
      <c r="K16" s="22">
        <v>10</v>
      </c>
      <c r="L16" s="22">
        <v>0</v>
      </c>
      <c r="M16" s="93">
        <f t="shared" si="4"/>
        <v>10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15</v>
      </c>
      <c r="E17" s="22">
        <v>16</v>
      </c>
      <c r="F17" s="22">
        <v>29</v>
      </c>
      <c r="G17" s="22">
        <v>20</v>
      </c>
      <c r="H17" s="22">
        <v>16</v>
      </c>
      <c r="I17" s="22">
        <v>4</v>
      </c>
      <c r="J17" s="22">
        <v>2</v>
      </c>
      <c r="K17" s="22">
        <v>70</v>
      </c>
      <c r="L17" s="22">
        <v>32</v>
      </c>
      <c r="M17" s="93">
        <f t="shared" si="4"/>
        <v>102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549</v>
      </c>
      <c r="O18" s="305" t="s">
        <v>71</v>
      </c>
      <c r="P18" s="306"/>
      <c r="Q18" s="65" t="s">
        <v>70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10</v>
      </c>
      <c r="O19" s="69">
        <v>2491.15</v>
      </c>
      <c r="P19" s="46" t="s">
        <v>383</v>
      </c>
      <c r="Q19" s="65" t="s">
        <v>384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10</v>
      </c>
      <c r="O20" s="77" t="s">
        <v>65</v>
      </c>
      <c r="P20" s="75">
        <v>60</v>
      </c>
      <c r="Q20" s="65">
        <v>4037.63</v>
      </c>
    </row>
    <row r="21" spans="1:20" ht="25.5" customHeight="1" x14ac:dyDescent="0.25">
      <c r="A21" s="16" t="s">
        <v>46</v>
      </c>
      <c r="B21" s="66">
        <v>206.30555555555554</v>
      </c>
      <c r="C21" s="66">
        <v>206.41666666666666</v>
      </c>
      <c r="D21" s="66">
        <f t="shared" ref="D21:D22" si="5">C21-B21</f>
        <v>0.11111111111111427</v>
      </c>
      <c r="E21" s="66">
        <v>206.67361111111111</v>
      </c>
      <c r="F21" s="66">
        <v>206.875</v>
      </c>
      <c r="G21" s="66">
        <f t="shared" ref="G21" si="6">F21-E21</f>
        <v>0.20138888888888573</v>
      </c>
      <c r="H21" s="66">
        <v>206.91319444444446</v>
      </c>
      <c r="I21" s="66">
        <v>207.20833333333334</v>
      </c>
      <c r="J21" s="71">
        <f>I21-H21-K21</f>
        <v>0.29513888888888573</v>
      </c>
      <c r="K21" s="66"/>
      <c r="L21" s="73">
        <f>D21+G21+J21</f>
        <v>0.60763888888888573</v>
      </c>
      <c r="M21" s="154" t="s">
        <v>47</v>
      </c>
      <c r="N21" s="65">
        <f>M17+M12+M7</f>
        <v>206</v>
      </c>
      <c r="O21" s="78" t="s">
        <v>69</v>
      </c>
      <c r="P21" s="75">
        <v>166</v>
      </c>
      <c r="Q21" s="65">
        <v>4897.5200000000004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5"/>
        <v>0.29166666666665719</v>
      </c>
      <c r="E22" s="66">
        <v>206.58333333333334</v>
      </c>
      <c r="F22" s="66">
        <v>206.875</v>
      </c>
      <c r="G22" s="66">
        <f t="shared" ref="G22" si="7">F22-E22</f>
        <v>0.29166666666665719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0.875</v>
      </c>
      <c r="M22" s="49" t="s">
        <v>49</v>
      </c>
      <c r="N22" s="65">
        <v>30341.15</v>
      </c>
      <c r="O22" s="80" t="s">
        <v>66</v>
      </c>
      <c r="P22" s="75">
        <v>133</v>
      </c>
      <c r="Q22" s="65">
        <v>3303.77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ref="D23" si="8">C23-B23</f>
        <v>0.29166666666665719</v>
      </c>
      <c r="E23" s="66">
        <v>206.58333333333334</v>
      </c>
      <c r="F23" s="66">
        <v>206.875</v>
      </c>
      <c r="G23" s="66">
        <f t="shared" ref="G23" si="9"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0.875</v>
      </c>
      <c r="M23" s="154" t="s">
        <v>64</v>
      </c>
      <c r="N23" s="85">
        <v>8</v>
      </c>
      <c r="O23" s="86" t="s">
        <v>67</v>
      </c>
      <c r="P23" s="76">
        <v>21</v>
      </c>
      <c r="Q23" s="65">
        <v>667.97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0.69444444444442865</v>
      </c>
      <c r="E24" s="68"/>
      <c r="F24" s="68"/>
      <c r="G24" s="66">
        <f>SUM(G21:G23)</f>
        <v>0.78472222222220012</v>
      </c>
      <c r="H24" s="68"/>
      <c r="I24" s="68"/>
      <c r="J24" s="71">
        <f>SUM(J21:J23)</f>
        <v>0.87847222222225696</v>
      </c>
      <c r="K24" s="75"/>
      <c r="L24" s="83">
        <f>SUM(L21:L23)</f>
        <v>2.3576388888888857</v>
      </c>
      <c r="M24" s="65" t="s">
        <v>78</v>
      </c>
      <c r="N24" s="65">
        <v>29469.66</v>
      </c>
      <c r="P24" s="79" t="s">
        <v>68</v>
      </c>
      <c r="Q24" s="43">
        <v>37876.44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N24+Sheet28!O25</f>
        <v>899015.71000000031</v>
      </c>
      <c r="P25" s="154" t="s">
        <v>77</v>
      </c>
      <c r="Q25" s="87">
        <v>41914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60000</v>
      </c>
      <c r="P26" s="51" t="s">
        <v>87</v>
      </c>
      <c r="Q26" s="69">
        <f>Q24+Sheet28!Q26</f>
        <v>980060.66000000015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56.35</v>
      </c>
      <c r="M27" s="55"/>
      <c r="N27" s="88">
        <f>N22/L27</f>
        <v>538.44099378881992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I23" sqref="I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.5703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229</v>
      </c>
    </row>
    <row r="3" spans="1:17" ht="27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50</v>
      </c>
      <c r="E4" s="22">
        <v>60</v>
      </c>
      <c r="F4" s="22">
        <v>57</v>
      </c>
      <c r="G4" s="22"/>
      <c r="H4" s="22"/>
      <c r="I4" s="22"/>
      <c r="J4" s="22"/>
      <c r="K4" s="22">
        <v>175</v>
      </c>
      <c r="L4" s="22">
        <v>83</v>
      </c>
      <c r="M4" s="93">
        <f>K4+L4</f>
        <v>258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 t="s">
        <v>57</v>
      </c>
      <c r="O5" s="66"/>
      <c r="P5" s="66"/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4</v>
      </c>
      <c r="F6" s="22">
        <v>1</v>
      </c>
      <c r="G6" s="22"/>
      <c r="H6" s="22"/>
      <c r="I6" s="22"/>
      <c r="J6" s="22"/>
      <c r="K6" s="22">
        <v>5</v>
      </c>
      <c r="L6" s="22">
        <v>0</v>
      </c>
      <c r="M6" s="93">
        <f t="shared" si="0"/>
        <v>5</v>
      </c>
      <c r="N6" s="104" t="s">
        <v>161</v>
      </c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>
        <v>15</v>
      </c>
      <c r="E7" s="22">
        <v>30</v>
      </c>
      <c r="F7" s="22">
        <v>10</v>
      </c>
      <c r="G7" s="22"/>
      <c r="H7" s="22"/>
      <c r="I7" s="22"/>
      <c r="J7" s="22"/>
      <c r="K7" s="22">
        <v>75</v>
      </c>
      <c r="L7" s="22">
        <v>0</v>
      </c>
      <c r="M7" s="93">
        <f t="shared" si="0"/>
        <v>75</v>
      </c>
      <c r="N7" s="104"/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4.25" customHeight="1" x14ac:dyDescent="0.25">
      <c r="A9" s="33"/>
      <c r="B9" s="34" t="s">
        <v>14</v>
      </c>
      <c r="C9" s="22"/>
      <c r="D9" s="22">
        <v>22</v>
      </c>
      <c r="E9" s="22">
        <v>20</v>
      </c>
      <c r="F9" s="22">
        <v>20</v>
      </c>
      <c r="G9" s="22">
        <v>17</v>
      </c>
      <c r="H9" s="22">
        <v>20</v>
      </c>
      <c r="I9" s="22">
        <v>21</v>
      </c>
      <c r="J9" s="22">
        <v>9</v>
      </c>
      <c r="K9" s="22">
        <v>90</v>
      </c>
      <c r="L9" s="22">
        <v>57</v>
      </c>
      <c r="M9" s="93">
        <f t="shared" ref="M9:M12" si="1">K9+L9</f>
        <v>147</v>
      </c>
      <c r="N9" s="82" t="s">
        <v>161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5</v>
      </c>
      <c r="F10" s="22">
        <v>2</v>
      </c>
      <c r="G10" s="22">
        <v>4</v>
      </c>
      <c r="H10" s="22">
        <v>3</v>
      </c>
      <c r="I10" s="22">
        <v>5</v>
      </c>
      <c r="J10" s="22"/>
      <c r="K10" s="22">
        <v>12</v>
      </c>
      <c r="L10" s="22">
        <v>10</v>
      </c>
      <c r="M10" s="93">
        <f t="shared" si="1"/>
        <v>22</v>
      </c>
      <c r="N10" s="82" t="s">
        <v>57</v>
      </c>
      <c r="O10" s="303" t="s">
        <v>162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6</v>
      </c>
      <c r="F11" s="22">
        <v>4</v>
      </c>
      <c r="G11" s="22">
        <v>5</v>
      </c>
      <c r="H11" s="22">
        <v>8</v>
      </c>
      <c r="I11" s="22">
        <v>7</v>
      </c>
      <c r="J11" s="22">
        <v>6</v>
      </c>
      <c r="K11" s="22">
        <v>31</v>
      </c>
      <c r="L11" s="22">
        <v>10</v>
      </c>
      <c r="M11" s="93">
        <f t="shared" si="1"/>
        <v>41</v>
      </c>
      <c r="N11" s="82" t="s">
        <v>13</v>
      </c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5</v>
      </c>
      <c r="F12" s="22">
        <v>4</v>
      </c>
      <c r="G12" s="22">
        <v>5</v>
      </c>
      <c r="H12" s="22">
        <v>2</v>
      </c>
      <c r="I12" s="22"/>
      <c r="J12" s="22">
        <v>8</v>
      </c>
      <c r="K12" s="22">
        <v>20</v>
      </c>
      <c r="L12" s="22">
        <v>7</v>
      </c>
      <c r="M12" s="93">
        <f t="shared" si="1"/>
        <v>27</v>
      </c>
      <c r="N12" s="82"/>
      <c r="O12" s="82"/>
      <c r="P12" s="82"/>
      <c r="Q12" s="37" t="s">
        <v>13</v>
      </c>
    </row>
    <row r="13" spans="1:17" ht="33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 t="s">
        <v>13</v>
      </c>
    </row>
    <row r="14" spans="1:17" ht="15" x14ac:dyDescent="0.25">
      <c r="A14" s="33"/>
      <c r="B14" s="21" t="s">
        <v>14</v>
      </c>
      <c r="C14" s="22"/>
      <c r="D14" s="22">
        <v>24</v>
      </c>
      <c r="E14" s="22">
        <v>25</v>
      </c>
      <c r="F14" s="22">
        <v>23</v>
      </c>
      <c r="G14" s="22"/>
      <c r="H14" s="22"/>
      <c r="I14" s="22"/>
      <c r="J14" s="22"/>
      <c r="K14" s="22">
        <v>90</v>
      </c>
      <c r="L14" s="22">
        <v>40</v>
      </c>
      <c r="M14" s="93">
        <f t="shared" ref="M14:M17" si="2">K14+L14</f>
        <v>130</v>
      </c>
      <c r="N14" s="103" t="s">
        <v>57</v>
      </c>
      <c r="O14" s="101"/>
      <c r="P14" s="82"/>
      <c r="Q14" s="37"/>
    </row>
    <row r="15" spans="1:17" ht="14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3</v>
      </c>
      <c r="F16" s="22"/>
      <c r="G16" s="22"/>
      <c r="H16" s="22"/>
      <c r="I16" s="22"/>
      <c r="J16" s="22"/>
      <c r="K16" s="22">
        <v>15</v>
      </c>
      <c r="L16" s="22">
        <v>0</v>
      </c>
      <c r="M16" s="93">
        <f t="shared" si="2"/>
        <v>15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6</v>
      </c>
      <c r="F17" s="22">
        <v>2</v>
      </c>
      <c r="G17" s="22"/>
      <c r="H17" s="22"/>
      <c r="I17" s="22"/>
      <c r="J17" s="22"/>
      <c r="K17" s="22">
        <v>30</v>
      </c>
      <c r="L17" s="22">
        <v>0</v>
      </c>
      <c r="M17" s="93">
        <f t="shared" si="2"/>
        <v>30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535</v>
      </c>
      <c r="O18" s="305" t="s">
        <v>71</v>
      </c>
      <c r="P18" s="306"/>
      <c r="Q18" s="65" t="s">
        <v>70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22</v>
      </c>
      <c r="O19" s="69" t="s">
        <v>13</v>
      </c>
      <c r="P19" s="46" t="s">
        <v>230</v>
      </c>
      <c r="Q19" s="65" t="s">
        <v>231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61</v>
      </c>
      <c r="O20" s="77" t="s">
        <v>65</v>
      </c>
      <c r="P20" s="75">
        <v>60</v>
      </c>
      <c r="Q20" s="65">
        <v>3974</v>
      </c>
    </row>
    <row r="21" spans="1:20" ht="25.5" customHeight="1" x14ac:dyDescent="0.25">
      <c r="A21" s="16" t="s">
        <v>46</v>
      </c>
      <c r="B21" s="66">
        <v>206.24305555555554</v>
      </c>
      <c r="C21" s="66">
        <v>206.54166666666666</v>
      </c>
      <c r="D21" s="66">
        <f t="shared" ref="D21:D23" si="3">C21-B21</f>
        <v>0.29861111111111427</v>
      </c>
      <c r="E21" s="66">
        <v>206.65972222222223</v>
      </c>
      <c r="F21" s="66">
        <v>206.875</v>
      </c>
      <c r="G21" s="66">
        <f>F21-E21</f>
        <v>0.21527777777777146</v>
      </c>
      <c r="H21" s="66">
        <v>206.95833333333334</v>
      </c>
      <c r="I21" s="66">
        <v>207.16666666666666</v>
      </c>
      <c r="J21" s="71">
        <f>I21-H21-K21</f>
        <v>0.20833333333331439</v>
      </c>
      <c r="K21" s="66"/>
      <c r="L21" s="73">
        <f>D21+G21+J21</f>
        <v>0.72222222222220012</v>
      </c>
      <c r="M21" s="154" t="s">
        <v>47</v>
      </c>
      <c r="N21" s="65">
        <f>M17+M12+M7</f>
        <v>132</v>
      </c>
      <c r="O21" s="78" t="s">
        <v>69</v>
      </c>
      <c r="P21" s="75">
        <v>129</v>
      </c>
      <c r="Q21" s="65">
        <v>3563</v>
      </c>
    </row>
    <row r="22" spans="1:20" ht="27" customHeight="1" x14ac:dyDescent="0.25">
      <c r="A22" s="16" t="s">
        <v>48</v>
      </c>
      <c r="B22" s="66">
        <v>206.25</v>
      </c>
      <c r="C22" s="66">
        <v>206.41666666666666</v>
      </c>
      <c r="D22" s="66">
        <f t="shared" si="3"/>
        <v>0.16666666666665719</v>
      </c>
      <c r="E22" s="66">
        <v>206.65277777777777</v>
      </c>
      <c r="F22" s="66">
        <v>206.79166666666666</v>
      </c>
      <c r="G22" s="66">
        <f t="shared" ref="G22" si="4">F22-E22</f>
        <v>0.13888888888888573</v>
      </c>
      <c r="H22" s="66">
        <v>206.95833333333334</v>
      </c>
      <c r="I22" s="66">
        <v>207.16666666666666</v>
      </c>
      <c r="J22" s="71">
        <f>I22-H22-K22</f>
        <v>0.20833333333331439</v>
      </c>
      <c r="K22" s="75"/>
      <c r="L22" s="73">
        <f>D22+G22+J22</f>
        <v>0.51388888888885731</v>
      </c>
      <c r="M22" s="49" t="s">
        <v>49</v>
      </c>
      <c r="N22" s="65">
        <v>31354</v>
      </c>
      <c r="O22" s="80" t="s">
        <v>66</v>
      </c>
      <c r="P22" s="75">
        <v>178</v>
      </c>
      <c r="Q22" s="65">
        <v>4470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si="3"/>
        <v>0.27083333333331439</v>
      </c>
      <c r="E23" s="66">
        <v>206.58333333333334</v>
      </c>
      <c r="F23" s="66">
        <v>206.83333333333334</v>
      </c>
      <c r="G23" s="66">
        <f t="shared" ref="G23" si="5">F23-E23</f>
        <v>0.25</v>
      </c>
      <c r="H23" s="66">
        <v>206.95833333333334</v>
      </c>
      <c r="I23" s="66">
        <v>207.20833333333334</v>
      </c>
      <c r="J23" s="71">
        <f>I23-H23-K23</f>
        <v>0.25</v>
      </c>
      <c r="K23" s="155"/>
      <c r="L23" s="156">
        <f>D23+G23+J23</f>
        <v>0.77083333333331439</v>
      </c>
      <c r="M23" s="154" t="s">
        <v>64</v>
      </c>
      <c r="N23" s="85">
        <v>7</v>
      </c>
      <c r="O23" s="86" t="s">
        <v>67</v>
      </c>
      <c r="P23" s="76">
        <v>28</v>
      </c>
      <c r="Q23" s="65">
        <v>763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0.73611111111108585</v>
      </c>
      <c r="E24" s="68"/>
      <c r="F24" s="68"/>
      <c r="G24" s="66">
        <f>SUM(G21:G23)</f>
        <v>0.60416666666665719</v>
      </c>
      <c r="H24" s="68"/>
      <c r="I24" s="68"/>
      <c r="J24" s="71">
        <f>SUM(J21:J23)</f>
        <v>0.66666666666662877</v>
      </c>
      <c r="K24" s="75"/>
      <c r="L24" s="83">
        <f>SUM(L21:L23)</f>
        <v>2.0069444444443718</v>
      </c>
      <c r="M24" s="65" t="s">
        <v>78</v>
      </c>
      <c r="N24" s="65">
        <v>26009</v>
      </c>
      <c r="P24" s="79" t="s">
        <v>68</v>
      </c>
      <c r="Q24" s="43">
        <v>34390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N24+Sheet2!O25</f>
        <v>82497.350000000006</v>
      </c>
      <c r="P25" s="154" t="s">
        <v>77</v>
      </c>
      <c r="Q25" s="87">
        <v>38365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46000</v>
      </c>
      <c r="P26" s="51" t="s">
        <v>87</v>
      </c>
      <c r="Q26" s="69">
        <f>Q24+Sheet2!Q26</f>
        <v>114651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48.1</v>
      </c>
      <c r="M27" s="55"/>
      <c r="N27" s="88">
        <f>N22/L27</f>
        <v>651.85031185031187</v>
      </c>
      <c r="O27" s="81" t="s">
        <v>74</v>
      </c>
      <c r="P27" s="69"/>
      <c r="Q27" s="65" t="s">
        <v>13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23622047244094491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22" style="1" customWidth="1"/>
    <col min="18" max="18" width="4.140625" style="1" customWidth="1"/>
    <col min="19" max="20" width="19.28515625" style="1" customWidth="1"/>
    <col min="21" max="16384" width="9.140625" style="1"/>
  </cols>
  <sheetData>
    <row r="1" spans="1:20" ht="3" customHeight="1" x14ac:dyDescent="0.25"/>
    <row r="2" spans="1:20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388</v>
      </c>
    </row>
    <row r="3" spans="1:20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20" ht="15" customHeight="1" x14ac:dyDescent="0.25">
      <c r="A4" s="20"/>
      <c r="B4" s="21" t="s">
        <v>14</v>
      </c>
      <c r="C4" s="22">
        <v>4</v>
      </c>
      <c r="D4" s="22">
        <v>27</v>
      </c>
      <c r="E4" s="22">
        <v>35</v>
      </c>
      <c r="F4" s="22">
        <v>29</v>
      </c>
      <c r="G4" s="22">
        <v>15</v>
      </c>
      <c r="H4" s="22">
        <v>10</v>
      </c>
      <c r="I4" s="22">
        <v>12</v>
      </c>
      <c r="J4" s="22">
        <v>18</v>
      </c>
      <c r="K4" s="22">
        <v>90</v>
      </c>
      <c r="L4" s="22">
        <v>60</v>
      </c>
      <c r="M4" s="93">
        <f t="shared" ref="M4" si="0" xml:space="preserve"> K4+L4</f>
        <v>150</v>
      </c>
      <c r="N4" s="104" t="s">
        <v>57</v>
      </c>
      <c r="O4" s="95" t="s">
        <v>88</v>
      </c>
      <c r="P4" s="105" t="s">
        <v>89</v>
      </c>
      <c r="Q4" s="33"/>
    </row>
    <row r="5" spans="1:20" ht="16.5" customHeight="1" x14ac:dyDescent="0.25">
      <c r="A5" s="23" t="s">
        <v>15</v>
      </c>
      <c r="B5" s="21" t="s">
        <v>16</v>
      </c>
      <c r="C5" s="22"/>
      <c r="D5" s="22"/>
      <c r="E5" s="22">
        <v>2</v>
      </c>
      <c r="F5" s="22">
        <v>3</v>
      </c>
      <c r="G5" s="22">
        <v>2</v>
      </c>
      <c r="H5" s="22">
        <v>4</v>
      </c>
      <c r="I5" s="22">
        <v>1</v>
      </c>
      <c r="J5" s="22"/>
      <c r="K5" s="22">
        <v>12</v>
      </c>
      <c r="L5" s="22">
        <v>0</v>
      </c>
      <c r="M5" s="93">
        <f t="shared" ref="M5" si="1" xml:space="preserve"> K5+L5</f>
        <v>12</v>
      </c>
      <c r="N5" s="224" t="s">
        <v>355</v>
      </c>
      <c r="O5" s="66">
        <v>10.416666666666666</v>
      </c>
      <c r="P5" s="66">
        <v>16.701388888888889</v>
      </c>
      <c r="Q5" s="66" t="s">
        <v>391</v>
      </c>
    </row>
    <row r="6" spans="1:20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:M7" si="2" xml:space="preserve"> K6+L6</f>
        <v>0</v>
      </c>
      <c r="N6" s="104" t="s">
        <v>380</v>
      </c>
      <c r="O6" s="96"/>
      <c r="P6" s="65"/>
      <c r="Q6" s="309" t="s">
        <v>392</v>
      </c>
    </row>
    <row r="7" spans="1:20" ht="15" customHeight="1" x14ac:dyDescent="0.25">
      <c r="A7" s="25"/>
      <c r="B7" s="21" t="s">
        <v>19</v>
      </c>
      <c r="C7" s="22"/>
      <c r="D7" s="22">
        <v>9</v>
      </c>
      <c r="E7" s="22">
        <v>8</v>
      </c>
      <c r="F7" s="22">
        <v>10</v>
      </c>
      <c r="G7" s="22">
        <v>10</v>
      </c>
      <c r="H7" s="22">
        <v>15</v>
      </c>
      <c r="I7" s="22">
        <v>14</v>
      </c>
      <c r="J7" s="22">
        <v>14</v>
      </c>
      <c r="K7" s="22">
        <v>30</v>
      </c>
      <c r="L7" s="22">
        <v>50</v>
      </c>
      <c r="M7" s="93">
        <f t="shared" si="2"/>
        <v>80</v>
      </c>
      <c r="N7" s="104" t="s">
        <v>57</v>
      </c>
      <c r="O7" s="97"/>
      <c r="P7" s="65"/>
      <c r="Q7" s="310"/>
    </row>
    <row r="8" spans="1:20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20" ht="16.5" customHeight="1" x14ac:dyDescent="0.25">
      <c r="A9" s="33"/>
      <c r="B9" s="34" t="s">
        <v>14</v>
      </c>
      <c r="C9" s="22"/>
      <c r="D9" s="22">
        <v>10</v>
      </c>
      <c r="E9" s="22">
        <v>12</v>
      </c>
      <c r="F9" s="22">
        <v>14</v>
      </c>
      <c r="G9" s="22">
        <v>11</v>
      </c>
      <c r="H9" s="22">
        <v>13</v>
      </c>
      <c r="I9" s="22">
        <v>20</v>
      </c>
      <c r="J9" s="22">
        <v>15</v>
      </c>
      <c r="K9" s="22">
        <v>40</v>
      </c>
      <c r="L9" s="22">
        <v>45</v>
      </c>
      <c r="M9" s="93">
        <f t="shared" ref="M9:M12" si="3" xml:space="preserve"> K9+L9</f>
        <v>85</v>
      </c>
      <c r="N9" s="82" t="s">
        <v>57</v>
      </c>
      <c r="O9" s="99"/>
      <c r="P9" s="82"/>
      <c r="Q9" s="36"/>
    </row>
    <row r="10" spans="1:20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3"/>
        <v>0</v>
      </c>
      <c r="N10" s="82" t="s">
        <v>57</v>
      </c>
      <c r="O10" s="303" t="s">
        <v>165</v>
      </c>
      <c r="P10" s="304"/>
      <c r="Q10" s="43" t="s">
        <v>73</v>
      </c>
    </row>
    <row r="11" spans="1:20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389</v>
      </c>
      <c r="O11" s="66" t="s">
        <v>13</v>
      </c>
      <c r="P11" s="66" t="s">
        <v>13</v>
      </c>
      <c r="Q11" s="33" t="s">
        <v>13</v>
      </c>
    </row>
    <row r="12" spans="1:20" ht="13.5" customHeight="1" x14ac:dyDescent="0.25">
      <c r="A12" s="36"/>
      <c r="B12" s="34" t="s">
        <v>19</v>
      </c>
      <c r="C12" s="22"/>
      <c r="D12" s="22">
        <v>20</v>
      </c>
      <c r="E12" s="22">
        <v>18</v>
      </c>
      <c r="F12" s="22">
        <v>22</v>
      </c>
      <c r="G12" s="22">
        <v>30</v>
      </c>
      <c r="H12" s="22">
        <v>21</v>
      </c>
      <c r="I12" s="22">
        <v>20</v>
      </c>
      <c r="J12" s="22"/>
      <c r="K12" s="22">
        <v>65</v>
      </c>
      <c r="L12" s="22">
        <v>66</v>
      </c>
      <c r="M12" s="93">
        <f t="shared" si="3"/>
        <v>131</v>
      </c>
      <c r="N12" s="82"/>
      <c r="O12" s="82"/>
      <c r="P12" s="82"/>
      <c r="Q12" s="37" t="s">
        <v>13</v>
      </c>
    </row>
    <row r="13" spans="1:20" ht="38.25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20" ht="15" x14ac:dyDescent="0.25">
      <c r="A14" s="33"/>
      <c r="B14" s="21" t="s">
        <v>14</v>
      </c>
      <c r="C14" s="22"/>
      <c r="D14" s="22">
        <v>34</v>
      </c>
      <c r="E14" s="22">
        <v>36</v>
      </c>
      <c r="F14" s="22">
        <v>32</v>
      </c>
      <c r="G14" s="22">
        <v>28</v>
      </c>
      <c r="H14" s="22">
        <v>34</v>
      </c>
      <c r="I14" s="22">
        <v>36</v>
      </c>
      <c r="J14" s="22">
        <v>15</v>
      </c>
      <c r="K14" s="22">
        <v>160</v>
      </c>
      <c r="L14" s="22">
        <v>95</v>
      </c>
      <c r="M14" s="93">
        <f t="shared" ref="M14:M17" si="4" xml:space="preserve"> K14+L14</f>
        <v>255</v>
      </c>
      <c r="N14" s="103" t="s">
        <v>57</v>
      </c>
      <c r="O14" s="101"/>
      <c r="P14" s="82"/>
      <c r="Q14" s="37"/>
      <c r="T14" s="1">
        <v>3587.41</v>
      </c>
    </row>
    <row r="15" spans="1:20" ht="17.25" customHeight="1" x14ac:dyDescent="0.25">
      <c r="A15" s="106" t="s">
        <v>36</v>
      </c>
      <c r="B15" s="21" t="s">
        <v>16</v>
      </c>
      <c r="C15" s="22"/>
      <c r="D15" s="22">
        <v>4</v>
      </c>
      <c r="E15" s="22"/>
      <c r="F15" s="22"/>
      <c r="G15" s="22">
        <v>3</v>
      </c>
      <c r="H15" s="22">
        <v>2</v>
      </c>
      <c r="I15" s="22">
        <v>3</v>
      </c>
      <c r="J15" s="22">
        <v>4</v>
      </c>
      <c r="K15" s="22">
        <v>16</v>
      </c>
      <c r="L15" s="22">
        <v>0</v>
      </c>
      <c r="M15" s="93">
        <f t="shared" si="4"/>
        <v>16</v>
      </c>
      <c r="N15" s="103" t="s">
        <v>13</v>
      </c>
      <c r="O15" s="102"/>
      <c r="P15" s="82"/>
      <c r="Q15" s="37"/>
      <c r="T15" s="1">
        <v>4052.2</v>
      </c>
    </row>
    <row r="16" spans="1:20" ht="15.75" customHeight="1" x14ac:dyDescent="0.25">
      <c r="A16" s="107" t="s">
        <v>17</v>
      </c>
      <c r="B16" s="21" t="s">
        <v>18</v>
      </c>
      <c r="C16" s="22"/>
      <c r="D16" s="22">
        <v>3</v>
      </c>
      <c r="E16" s="22">
        <v>2</v>
      </c>
      <c r="F16" s="22"/>
      <c r="G16" s="22"/>
      <c r="H16" s="22"/>
      <c r="I16" s="22"/>
      <c r="J16" s="22"/>
      <c r="K16" s="22">
        <v>5</v>
      </c>
      <c r="L16" s="22">
        <v>0</v>
      </c>
      <c r="M16" s="93">
        <f t="shared" si="4"/>
        <v>5</v>
      </c>
      <c r="N16" s="103" t="s">
        <v>13</v>
      </c>
      <c r="O16" s="103"/>
      <c r="P16" s="82"/>
      <c r="Q16" s="37"/>
      <c r="T16" s="1">
        <v>3161.71</v>
      </c>
    </row>
    <row r="17" spans="1:20" ht="17.25" customHeight="1" x14ac:dyDescent="0.25">
      <c r="A17" s="37"/>
      <c r="B17" s="21" t="s">
        <v>19</v>
      </c>
      <c r="C17" s="22"/>
      <c r="D17" s="22"/>
      <c r="E17" s="22">
        <v>8</v>
      </c>
      <c r="F17" s="22">
        <v>12</v>
      </c>
      <c r="G17" s="22">
        <v>10</v>
      </c>
      <c r="H17" s="22">
        <v>15</v>
      </c>
      <c r="I17" s="22">
        <v>10</v>
      </c>
      <c r="J17" s="22">
        <v>7</v>
      </c>
      <c r="K17" s="22">
        <v>20</v>
      </c>
      <c r="L17" s="22">
        <v>42</v>
      </c>
      <c r="M17" s="93">
        <f t="shared" si="4"/>
        <v>62</v>
      </c>
      <c r="N17" s="103"/>
      <c r="O17" s="103"/>
      <c r="P17" s="82"/>
      <c r="Q17" s="36"/>
      <c r="T17" s="1">
        <v>4008.8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490</v>
      </c>
      <c r="O18" s="305" t="s">
        <v>71</v>
      </c>
      <c r="P18" s="306"/>
      <c r="Q18" s="65" t="s">
        <v>70</v>
      </c>
      <c r="T18" s="1">
        <v>3610.61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28</v>
      </c>
      <c r="O19" s="69">
        <v>2074.9</v>
      </c>
      <c r="P19" s="46" t="s">
        <v>196</v>
      </c>
      <c r="Q19" s="65" t="s">
        <v>390</v>
      </c>
      <c r="T19" s="1">
        <v>4079.84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5</v>
      </c>
      <c r="O20" s="77" t="s">
        <v>65</v>
      </c>
      <c r="P20" s="75">
        <v>60</v>
      </c>
      <c r="Q20" s="65">
        <v>3968.92</v>
      </c>
      <c r="T20" s="1">
        <v>3613.11</v>
      </c>
    </row>
    <row r="21" spans="1:20" ht="25.5" customHeight="1" x14ac:dyDescent="0.25">
      <c r="A21" s="16" t="s">
        <v>46</v>
      </c>
      <c r="B21" s="66">
        <v>206.3125</v>
      </c>
      <c r="C21" s="66">
        <v>206.41666666666666</v>
      </c>
      <c r="D21" s="66">
        <f t="shared" ref="D21:D23" si="5">C21-B21</f>
        <v>0.10416666666665719</v>
      </c>
      <c r="E21" s="66">
        <v>206.70833333333334</v>
      </c>
      <c r="F21" s="66">
        <v>206.875</v>
      </c>
      <c r="G21" s="66">
        <f t="shared" ref="G21:G23" si="6">F21-E21</f>
        <v>0.16666666666665719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0.5625</v>
      </c>
      <c r="M21" s="154" t="s">
        <v>47</v>
      </c>
      <c r="N21" s="65">
        <f>M17+M12+M7</f>
        <v>273</v>
      </c>
      <c r="O21" s="78" t="s">
        <v>69</v>
      </c>
      <c r="P21" s="75">
        <v>152</v>
      </c>
      <c r="Q21" s="65">
        <v>4394.42</v>
      </c>
      <c r="T21" s="1">
        <v>3983.96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5"/>
        <v>0.29166666666665719</v>
      </c>
      <c r="E22" s="66">
        <v>206.625</v>
      </c>
      <c r="F22" s="66">
        <v>206.875</v>
      </c>
      <c r="G22" s="66">
        <f t="shared" si="6"/>
        <v>0.25</v>
      </c>
      <c r="H22" s="66">
        <v>206.9375</v>
      </c>
      <c r="I22" s="66">
        <v>207.20833333333334</v>
      </c>
      <c r="J22" s="71">
        <f>I22-H22-K22</f>
        <v>0.27083333333334281</v>
      </c>
      <c r="K22" s="75"/>
      <c r="L22" s="73">
        <f>D22+G22+J22</f>
        <v>0.8125</v>
      </c>
      <c r="M22" s="49" t="s">
        <v>49</v>
      </c>
      <c r="N22" s="65">
        <v>26824.9</v>
      </c>
      <c r="O22" s="80" t="s">
        <v>66</v>
      </c>
      <c r="P22" s="75">
        <v>116</v>
      </c>
      <c r="Q22" s="65">
        <v>2787.28</v>
      </c>
      <c r="T22" s="1">
        <v>3591.41</v>
      </c>
    </row>
    <row r="23" spans="1:20" ht="27" customHeight="1" x14ac:dyDescent="0.25">
      <c r="A23" s="157" t="s">
        <v>50</v>
      </c>
      <c r="B23" s="66">
        <v>206.27083333333334</v>
      </c>
      <c r="C23" s="66">
        <v>206.5</v>
      </c>
      <c r="D23" s="66">
        <f t="shared" si="5"/>
        <v>0.22916666666665719</v>
      </c>
      <c r="E23" s="66">
        <v>206.69791666666666</v>
      </c>
      <c r="F23" s="66">
        <v>206.875</v>
      </c>
      <c r="G23" s="66">
        <f t="shared" si="6"/>
        <v>0.17708333333334281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0.69791666666668561</v>
      </c>
      <c r="M23" s="154" t="s">
        <v>64</v>
      </c>
      <c r="N23" s="85">
        <v>8</v>
      </c>
      <c r="O23" s="86" t="s">
        <v>67</v>
      </c>
      <c r="P23" s="76">
        <v>21</v>
      </c>
      <c r="Q23" s="65">
        <v>675.47</v>
      </c>
      <c r="S23" s="1">
        <v>791518.81</v>
      </c>
      <c r="T23" s="1">
        <f>SUM(T14:T22)</f>
        <v>33689.050000000003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0.62499999999997158</v>
      </c>
      <c r="E24" s="68"/>
      <c r="F24" s="68"/>
      <c r="G24" s="66">
        <f>SUM(G21:G23)</f>
        <v>0.59375</v>
      </c>
      <c r="H24" s="68"/>
      <c r="I24" s="68"/>
      <c r="J24" s="71">
        <f>SUM(J21:J23)</f>
        <v>0.85416666666671404</v>
      </c>
      <c r="K24" s="75"/>
      <c r="L24" s="83">
        <f>SUM(L21:L23)</f>
        <v>2.0729166666666856</v>
      </c>
      <c r="M24" s="65" t="s">
        <v>78</v>
      </c>
      <c r="N24" s="65">
        <v>30147.55</v>
      </c>
      <c r="P24" s="79" t="s">
        <v>68</v>
      </c>
      <c r="Q24" s="43">
        <v>38430.120000000003</v>
      </c>
      <c r="S24" s="1">
        <v>33689.050000000003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v>929100.47</v>
      </c>
      <c r="P25" s="154" t="s">
        <v>77</v>
      </c>
      <c r="Q25" s="87">
        <v>42399.040000000001</v>
      </c>
      <c r="S25" s="1">
        <f>SUM(S23:S24)</f>
        <v>825207.8600000001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60000</v>
      </c>
      <c r="P26" s="51" t="s">
        <v>87</v>
      </c>
      <c r="Q26" s="69">
        <f>Q24+Sheet28!Q26</f>
        <v>980614.34000000008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49.45</v>
      </c>
      <c r="M27" s="55"/>
      <c r="N27" s="88">
        <f>N22/L27</f>
        <v>542.46511627906978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317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180" verticalDpi="18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S11" sqref="S1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22" style="1" customWidth="1"/>
    <col min="18" max="18" width="4.140625" style="1" customWidth="1"/>
    <col min="19" max="20" width="19.28515625" style="1" customWidth="1"/>
    <col min="21" max="16384" width="9.140625" style="1"/>
  </cols>
  <sheetData>
    <row r="1" spans="1:20" ht="3" customHeight="1" x14ac:dyDescent="0.25"/>
    <row r="2" spans="1:20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202</v>
      </c>
    </row>
    <row r="3" spans="1:20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20" ht="15" customHeight="1" x14ac:dyDescent="0.25">
      <c r="A4" s="20"/>
      <c r="B4" s="21" t="s">
        <v>14</v>
      </c>
      <c r="C4" s="22" t="s">
        <v>13</v>
      </c>
      <c r="D4" s="22">
        <v>46</v>
      </c>
      <c r="E4" s="22">
        <v>47</v>
      </c>
      <c r="F4" s="22">
        <v>40</v>
      </c>
      <c r="G4" s="22">
        <v>43</v>
      </c>
      <c r="H4" s="22">
        <v>14</v>
      </c>
      <c r="I4" s="22">
        <v>25</v>
      </c>
      <c r="J4" s="22">
        <v>25</v>
      </c>
      <c r="K4" s="22">
        <v>178</v>
      </c>
      <c r="L4" s="22">
        <v>70</v>
      </c>
      <c r="M4" s="93">
        <f xml:space="preserve"> K4+L4</f>
        <v>248</v>
      </c>
      <c r="N4" s="104" t="s">
        <v>205</v>
      </c>
      <c r="O4" s="95" t="s">
        <v>88</v>
      </c>
      <c r="P4" s="105" t="s">
        <v>89</v>
      </c>
      <c r="Q4" s="33"/>
    </row>
    <row r="5" spans="1:20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 xml:space="preserve"> K5+L5</f>
        <v>0</v>
      </c>
      <c r="N5" s="224" t="s">
        <v>57</v>
      </c>
      <c r="O5" s="66" t="s">
        <v>13</v>
      </c>
      <c r="P5" s="66" t="s">
        <v>13</v>
      </c>
      <c r="Q5" s="66" t="s">
        <v>13</v>
      </c>
    </row>
    <row r="6" spans="1:20" ht="15.75" customHeight="1" x14ac:dyDescent="0.25">
      <c r="A6" s="23" t="s">
        <v>17</v>
      </c>
      <c r="B6" s="21" t="s">
        <v>18</v>
      </c>
      <c r="C6" s="22"/>
      <c r="D6" s="22"/>
      <c r="E6" s="22"/>
      <c r="F6" s="22">
        <v>5</v>
      </c>
      <c r="G6" s="22"/>
      <c r="H6" s="22"/>
      <c r="I6" s="22">
        <v>2</v>
      </c>
      <c r="J6" s="22">
        <v>3</v>
      </c>
      <c r="K6" s="22">
        <v>5</v>
      </c>
      <c r="L6" s="22">
        <v>0</v>
      </c>
      <c r="M6" s="93">
        <f t="shared" si="0"/>
        <v>5</v>
      </c>
      <c r="N6" s="104" t="s">
        <v>161</v>
      </c>
      <c r="O6" s="96"/>
      <c r="P6" s="65"/>
      <c r="Q6" s="301"/>
    </row>
    <row r="7" spans="1:20" ht="15" customHeight="1" x14ac:dyDescent="0.25">
      <c r="A7" s="25"/>
      <c r="B7" s="21" t="s">
        <v>19</v>
      </c>
      <c r="C7" s="22"/>
      <c r="D7" s="22">
        <v>10</v>
      </c>
      <c r="E7" s="22">
        <v>12</v>
      </c>
      <c r="F7" s="22">
        <v>2</v>
      </c>
      <c r="G7" s="22">
        <v>10</v>
      </c>
      <c r="H7" s="22">
        <v>6</v>
      </c>
      <c r="I7" s="22">
        <v>5</v>
      </c>
      <c r="J7" s="22">
        <v>4</v>
      </c>
      <c r="K7" s="22">
        <v>26</v>
      </c>
      <c r="L7" s="22">
        <v>23</v>
      </c>
      <c r="M7" s="93">
        <f t="shared" si="0"/>
        <v>49</v>
      </c>
      <c r="N7" s="104" t="s">
        <v>57</v>
      </c>
      <c r="O7" s="97"/>
      <c r="P7" s="65"/>
      <c r="Q7" s="302"/>
    </row>
    <row r="8" spans="1:20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20" ht="16.5" customHeight="1" x14ac:dyDescent="0.25">
      <c r="A9" s="33"/>
      <c r="B9" s="34" t="s">
        <v>14</v>
      </c>
      <c r="C9" s="22"/>
      <c r="D9" s="22">
        <v>20</v>
      </c>
      <c r="E9" s="22">
        <v>24</v>
      </c>
      <c r="F9" s="22">
        <v>19</v>
      </c>
      <c r="G9" s="22">
        <v>22</v>
      </c>
      <c r="H9" s="22">
        <v>40</v>
      </c>
      <c r="I9" s="22">
        <v>38</v>
      </c>
      <c r="J9" s="22">
        <v>30</v>
      </c>
      <c r="K9" s="22">
        <v>125</v>
      </c>
      <c r="L9" s="22">
        <v>68</v>
      </c>
      <c r="M9" s="93">
        <f t="shared" ref="M9:M12" si="1" xml:space="preserve"> K9+L9</f>
        <v>193</v>
      </c>
      <c r="N9" s="82" t="s">
        <v>161</v>
      </c>
      <c r="O9" s="99"/>
      <c r="P9" s="82"/>
      <c r="Q9" s="36"/>
    </row>
    <row r="10" spans="1:20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193</v>
      </c>
      <c r="O10" s="303" t="s">
        <v>165</v>
      </c>
      <c r="P10" s="304"/>
      <c r="Q10" s="43" t="s">
        <v>73</v>
      </c>
    </row>
    <row r="11" spans="1:20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 t="s">
        <v>13</v>
      </c>
      <c r="K11" s="22">
        <v>0</v>
      </c>
      <c r="L11" s="22">
        <v>0</v>
      </c>
      <c r="M11" s="93">
        <f t="shared" si="1"/>
        <v>0</v>
      </c>
      <c r="N11" s="82" t="s">
        <v>57</v>
      </c>
      <c r="O11" s="66" t="s">
        <v>13</v>
      </c>
      <c r="P11" s="66" t="s">
        <v>13</v>
      </c>
      <c r="Q11" s="33" t="s">
        <v>13</v>
      </c>
    </row>
    <row r="12" spans="1:20" ht="13.5" customHeight="1" x14ac:dyDescent="0.25">
      <c r="A12" s="36"/>
      <c r="B12" s="34" t="s">
        <v>19</v>
      </c>
      <c r="C12" s="22"/>
      <c r="D12" s="22">
        <v>5</v>
      </c>
      <c r="E12" s="22">
        <v>9</v>
      </c>
      <c r="F12" s="22">
        <v>8</v>
      </c>
      <c r="G12" s="22">
        <v>10</v>
      </c>
      <c r="H12" s="22">
        <v>7</v>
      </c>
      <c r="I12" s="22">
        <v>2</v>
      </c>
      <c r="J12" s="22">
        <v>3</v>
      </c>
      <c r="K12" s="22">
        <v>33</v>
      </c>
      <c r="L12" s="22">
        <v>4</v>
      </c>
      <c r="M12" s="93">
        <f t="shared" si="1"/>
        <v>37</v>
      </c>
      <c r="N12" s="82"/>
      <c r="O12" s="82"/>
      <c r="P12" s="82"/>
      <c r="Q12" s="37" t="s">
        <v>13</v>
      </c>
    </row>
    <row r="13" spans="1:20" ht="38.25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 t="s">
        <v>203</v>
      </c>
      <c r="P13" s="82"/>
      <c r="Q13" s="37"/>
    </row>
    <row r="14" spans="1:20" ht="15" x14ac:dyDescent="0.25">
      <c r="A14" s="33"/>
      <c r="B14" s="21" t="s">
        <v>14</v>
      </c>
      <c r="C14" s="22"/>
      <c r="D14" s="22">
        <v>40</v>
      </c>
      <c r="E14" s="22">
        <v>42</v>
      </c>
      <c r="F14" s="22">
        <v>41</v>
      </c>
      <c r="G14" s="22">
        <v>28</v>
      </c>
      <c r="H14" s="22">
        <v>30</v>
      </c>
      <c r="I14" s="22">
        <v>32</v>
      </c>
      <c r="J14" s="22">
        <v>30</v>
      </c>
      <c r="K14" s="22">
        <v>141</v>
      </c>
      <c r="L14" s="22">
        <v>102</v>
      </c>
      <c r="M14" s="93">
        <f t="shared" ref="M14:M17" si="2" xml:space="preserve"> K14+L14</f>
        <v>243</v>
      </c>
      <c r="N14" s="103" t="s">
        <v>57</v>
      </c>
      <c r="O14" s="101"/>
      <c r="P14" s="82"/>
      <c r="Q14" s="37"/>
      <c r="T14" s="1">
        <v>3587.41</v>
      </c>
    </row>
    <row r="15" spans="1:20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193</v>
      </c>
      <c r="O15" s="102"/>
      <c r="P15" s="82"/>
      <c r="Q15" s="37"/>
      <c r="T15" s="1">
        <v>4052.2</v>
      </c>
    </row>
    <row r="16" spans="1:20" ht="15.75" customHeight="1" x14ac:dyDescent="0.25">
      <c r="A16" s="107" t="s">
        <v>17</v>
      </c>
      <c r="B16" s="21" t="s">
        <v>18</v>
      </c>
      <c r="C16" s="22"/>
      <c r="D16" s="22"/>
      <c r="E16" s="22">
        <v>5</v>
      </c>
      <c r="F16" s="22"/>
      <c r="G16" s="22"/>
      <c r="H16" s="22"/>
      <c r="I16" s="22"/>
      <c r="J16" s="22"/>
      <c r="K16" s="22">
        <v>5</v>
      </c>
      <c r="L16" s="22">
        <v>0</v>
      </c>
      <c r="M16" s="93">
        <f t="shared" si="2"/>
        <v>5</v>
      </c>
      <c r="N16" s="103"/>
      <c r="O16" s="103"/>
      <c r="P16" s="82"/>
      <c r="Q16" s="37"/>
      <c r="T16" s="1">
        <v>3161.71</v>
      </c>
    </row>
    <row r="17" spans="1:20" ht="17.25" customHeight="1" x14ac:dyDescent="0.25">
      <c r="A17" s="37"/>
      <c r="B17" s="21" t="s">
        <v>19</v>
      </c>
      <c r="C17" s="22"/>
      <c r="D17" s="22">
        <v>8</v>
      </c>
      <c r="E17" s="22">
        <v>7</v>
      </c>
      <c r="F17" s="22">
        <v>3</v>
      </c>
      <c r="G17" s="22">
        <v>1</v>
      </c>
      <c r="H17" s="22"/>
      <c r="I17" s="22"/>
      <c r="J17" s="22"/>
      <c r="K17" s="22">
        <v>35</v>
      </c>
      <c r="L17" s="22">
        <v>10</v>
      </c>
      <c r="M17" s="93">
        <f t="shared" si="2"/>
        <v>45</v>
      </c>
      <c r="N17" s="103"/>
      <c r="O17" s="103"/>
      <c r="P17" s="82"/>
      <c r="Q17" s="36"/>
      <c r="T17" s="1">
        <v>4008.8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684</v>
      </c>
      <c r="O18" s="305" t="s">
        <v>71</v>
      </c>
      <c r="P18" s="306"/>
      <c r="Q18" s="65" t="s">
        <v>70</v>
      </c>
      <c r="T18" s="1">
        <v>3610.61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0</v>
      </c>
      <c r="O19" s="69" t="s">
        <v>13</v>
      </c>
      <c r="P19" s="46" t="s">
        <v>163</v>
      </c>
      <c r="Q19" s="65" t="s">
        <v>204</v>
      </c>
      <c r="T19" s="1">
        <v>4079.84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10</v>
      </c>
      <c r="O20" s="77" t="s">
        <v>65</v>
      </c>
      <c r="P20" s="75">
        <v>80</v>
      </c>
      <c r="Q20" s="65">
        <v>5239</v>
      </c>
      <c r="T20" s="1">
        <v>3613.11</v>
      </c>
    </row>
    <row r="21" spans="1:20" ht="25.5" customHeight="1" x14ac:dyDescent="0.25">
      <c r="A21" s="16" t="s">
        <v>46</v>
      </c>
      <c r="B21" s="66">
        <v>206.24305555555554</v>
      </c>
      <c r="C21" s="66">
        <v>206.54166666666666</v>
      </c>
      <c r="D21" s="66">
        <f t="shared" ref="D21:D23" si="3">C21-B21</f>
        <v>0.29861111111111427</v>
      </c>
      <c r="E21" s="66">
        <v>206.58333333333334</v>
      </c>
      <c r="F21" s="66">
        <v>206.78125</v>
      </c>
      <c r="G21" s="66">
        <f t="shared" ref="G21:G23" si="4">F21-E21</f>
        <v>0.19791666666665719</v>
      </c>
      <c r="H21" s="66">
        <v>206.9375</v>
      </c>
      <c r="I21" s="66">
        <v>207.20833333333334</v>
      </c>
      <c r="J21" s="71">
        <f>I21-H21-K21</f>
        <v>0.27083333333334281</v>
      </c>
      <c r="K21" s="66"/>
      <c r="L21" s="73">
        <f>D21+G21+J21</f>
        <v>0.76736111111111427</v>
      </c>
      <c r="M21" s="154" t="s">
        <v>47</v>
      </c>
      <c r="N21" s="65">
        <f>M17+M12+M7</f>
        <v>131</v>
      </c>
      <c r="O21" s="78" t="s">
        <v>69</v>
      </c>
      <c r="P21" s="75">
        <v>296</v>
      </c>
      <c r="Q21" s="65">
        <v>7690</v>
      </c>
      <c r="S21" s="1">
        <v>34954.559999999998</v>
      </c>
      <c r="T21" s="1">
        <v>3983.96</v>
      </c>
    </row>
    <row r="22" spans="1:20" ht="27" customHeight="1" x14ac:dyDescent="0.25">
      <c r="A22" s="16" t="s">
        <v>48</v>
      </c>
      <c r="B22" s="66">
        <v>206.29166666666666</v>
      </c>
      <c r="C22" s="66">
        <v>206.54166666666666</v>
      </c>
      <c r="D22" s="66">
        <f t="shared" si="3"/>
        <v>0.25</v>
      </c>
      <c r="E22" s="66">
        <v>206.57638888888889</v>
      </c>
      <c r="F22" s="66">
        <v>206.875</v>
      </c>
      <c r="G22" s="66">
        <f t="shared" si="4"/>
        <v>0.29861111111111427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0.84027777777779988</v>
      </c>
      <c r="M22" s="49" t="s">
        <v>49</v>
      </c>
      <c r="N22" s="65">
        <v>37091</v>
      </c>
      <c r="O22" s="80" t="s">
        <v>66</v>
      </c>
      <c r="P22" s="75">
        <v>122</v>
      </c>
      <c r="Q22" s="65">
        <v>8085</v>
      </c>
      <c r="T22" s="1">
        <v>3591.41</v>
      </c>
    </row>
    <row r="23" spans="1:20" ht="27" customHeight="1" x14ac:dyDescent="0.25">
      <c r="A23" s="157" t="s">
        <v>50</v>
      </c>
      <c r="B23" s="66">
        <v>206.26736111111111</v>
      </c>
      <c r="C23" s="66">
        <v>206.54166666666666</v>
      </c>
      <c r="D23" s="66">
        <f t="shared" si="3"/>
        <v>0.27430555555554292</v>
      </c>
      <c r="E23" s="66">
        <v>206.58333333333334</v>
      </c>
      <c r="F23" s="66">
        <v>206.875</v>
      </c>
      <c r="G23" s="66">
        <f t="shared" si="4"/>
        <v>0.29166666666665719</v>
      </c>
      <c r="H23" s="66">
        <v>206.91319444444446</v>
      </c>
      <c r="I23" s="66">
        <v>207.20833333333334</v>
      </c>
      <c r="J23" s="71">
        <f>I23-H23-K23</f>
        <v>0.29513888888888573</v>
      </c>
      <c r="K23" s="155"/>
      <c r="L23" s="156">
        <f>D23+G23+J23</f>
        <v>0.86111111111108585</v>
      </c>
      <c r="M23" s="154" t="s">
        <v>64</v>
      </c>
      <c r="N23" s="85">
        <v>9</v>
      </c>
      <c r="O23" s="86" t="s">
        <v>67</v>
      </c>
      <c r="P23" s="76" t="s">
        <v>13</v>
      </c>
      <c r="Q23" s="65" t="s">
        <v>13</v>
      </c>
      <c r="S23" s="1" t="s">
        <v>13</v>
      </c>
      <c r="T23" s="1">
        <f>SUM(T14:T22)</f>
        <v>33689.050000000003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0.82291666666665719</v>
      </c>
      <c r="E24" s="68"/>
      <c r="F24" s="68"/>
      <c r="G24" s="66">
        <f>SUM(G21:G23)</f>
        <v>0.78819444444442865</v>
      </c>
      <c r="H24" s="68"/>
      <c r="I24" s="68"/>
      <c r="J24" s="71">
        <f>SUM(J21:J23)</f>
        <v>0.85763888888891415</v>
      </c>
      <c r="K24" s="75"/>
      <c r="L24" s="83">
        <f>SUM(L21:L23)</f>
        <v>2.46875</v>
      </c>
      <c r="M24" s="65" t="s">
        <v>78</v>
      </c>
      <c r="N24" s="65">
        <v>34954.559999999998</v>
      </c>
      <c r="P24" s="79" t="s">
        <v>68</v>
      </c>
      <c r="Q24" s="43">
        <v>45041</v>
      </c>
      <c r="S24" s="1" t="s">
        <v>13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v>860562.42</v>
      </c>
      <c r="P25" s="154" t="s">
        <v>77</v>
      </c>
      <c r="Q25" s="87">
        <v>50281</v>
      </c>
      <c r="S25" s="1">
        <f>SUM(S23:S24)</f>
        <v>0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80000</v>
      </c>
      <c r="P26" s="51" t="s">
        <v>87</v>
      </c>
      <c r="Q26" s="69">
        <f>Q24+Sheet28!Q26</f>
        <v>987225.22000000009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59.15</v>
      </c>
      <c r="M27" s="55"/>
      <c r="N27" s="88">
        <f>N22/L27</f>
        <v>627.06677937447171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U44"/>
  <sheetViews>
    <sheetView tabSelected="1" topLeftCell="C21" workbookViewId="0">
      <selection activeCell="A4" sqref="A4:S44"/>
    </sheetView>
  </sheetViews>
  <sheetFormatPr defaultRowHeight="15" x14ac:dyDescent="0.25"/>
  <cols>
    <col min="1" max="1" width="12.140625" customWidth="1"/>
    <col min="2" max="2" width="10.5703125" customWidth="1"/>
    <col min="4" max="4" width="12.28515625" customWidth="1"/>
    <col min="5" max="5" width="10.85546875" customWidth="1"/>
    <col min="6" max="6" width="10.140625" customWidth="1"/>
    <col min="7" max="7" width="8.85546875" customWidth="1"/>
    <col min="8" max="9" width="10" customWidth="1"/>
    <col min="10" max="10" width="8.5703125" customWidth="1"/>
    <col min="14" max="14" width="12" customWidth="1"/>
    <col min="15" max="15" width="10.85546875" customWidth="1"/>
    <col min="16" max="16" width="12.7109375" customWidth="1"/>
    <col min="17" max="17" width="6.140625" style="149" bestFit="1" customWidth="1"/>
    <col min="18" max="18" width="10.7109375" customWidth="1"/>
    <col min="19" max="19" width="14.28515625" customWidth="1"/>
  </cols>
  <sheetData>
    <row r="4" spans="1:19" ht="15.75" x14ac:dyDescent="0.25">
      <c r="A4" s="188" t="s">
        <v>397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90"/>
      <c r="R4" s="189"/>
      <c r="S4" s="189"/>
    </row>
    <row r="5" spans="1:19" ht="15.75" x14ac:dyDescent="0.25">
      <c r="A5" s="188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89"/>
      <c r="Q5" s="190"/>
      <c r="R5" s="189"/>
      <c r="S5" s="189"/>
    </row>
    <row r="6" spans="1:19" ht="15.75" x14ac:dyDescent="0.25">
      <c r="A6" s="192"/>
      <c r="B6" s="315" t="s">
        <v>81</v>
      </c>
      <c r="C6" s="315"/>
      <c r="D6" s="315"/>
      <c r="E6" s="315"/>
      <c r="F6" s="316" t="s">
        <v>459</v>
      </c>
      <c r="G6" s="317"/>
      <c r="H6" s="317"/>
      <c r="I6" s="308"/>
      <c r="J6" s="316" t="s">
        <v>460</v>
      </c>
      <c r="K6" s="317"/>
      <c r="L6" s="317"/>
      <c r="M6" s="308"/>
      <c r="N6" s="194" t="s">
        <v>459</v>
      </c>
      <c r="O6" s="194" t="s">
        <v>460</v>
      </c>
      <c r="P6" s="193" t="s">
        <v>117</v>
      </c>
      <c r="Q6" s="316" t="s">
        <v>116</v>
      </c>
      <c r="R6" s="317"/>
      <c r="S6" s="318"/>
    </row>
    <row r="7" spans="1:19" ht="15.75" x14ac:dyDescent="0.25">
      <c r="A7" s="192" t="s">
        <v>80</v>
      </c>
      <c r="B7" s="192" t="s">
        <v>82</v>
      </c>
      <c r="C7" s="192" t="s">
        <v>83</v>
      </c>
      <c r="D7" s="192" t="s">
        <v>84</v>
      </c>
      <c r="E7" s="192" t="s">
        <v>44</v>
      </c>
      <c r="F7" s="194" t="s">
        <v>14</v>
      </c>
      <c r="G7" s="194" t="s">
        <v>16</v>
      </c>
      <c r="H7" s="194" t="s">
        <v>85</v>
      </c>
      <c r="I7" s="194" t="s">
        <v>461</v>
      </c>
      <c r="J7" s="194" t="s">
        <v>14</v>
      </c>
      <c r="K7" s="194" t="s">
        <v>16</v>
      </c>
      <c r="L7" s="194" t="s">
        <v>85</v>
      </c>
      <c r="M7" s="194" t="s">
        <v>461</v>
      </c>
      <c r="N7" s="194" t="s">
        <v>462</v>
      </c>
      <c r="O7" s="194" t="s">
        <v>462</v>
      </c>
      <c r="P7" s="194" t="s">
        <v>91</v>
      </c>
      <c r="Q7" s="194" t="s">
        <v>92</v>
      </c>
      <c r="R7" s="194" t="s">
        <v>93</v>
      </c>
      <c r="S7" s="194" t="s">
        <v>94</v>
      </c>
    </row>
    <row r="8" spans="1:19" ht="15.75" x14ac:dyDescent="0.25">
      <c r="A8" s="195">
        <v>43922</v>
      </c>
      <c r="B8" s="196">
        <f>'Feb stream I '!I5</f>
        <v>0.80208333333337123</v>
      </c>
      <c r="C8" s="196">
        <f>'Feb stream II  '!I5</f>
        <v>0.86458333333334281</v>
      </c>
      <c r="D8" s="196">
        <f>'Feb stream III '!I5</f>
        <v>0.87152777777779988</v>
      </c>
      <c r="E8" s="163">
        <f>B8+C8+D8</f>
        <v>2.5381944444445139</v>
      </c>
      <c r="F8" s="300">
        <f>Sheet1!$K$4+Sheet1!$K$9+Sheet1!$K$14</f>
        <v>397</v>
      </c>
      <c r="G8" s="300">
        <f>Sheet1!$K$5+Sheet1!$K$10+Sheet1!$K$15</f>
        <v>34</v>
      </c>
      <c r="H8" s="300">
        <f>Sheet1!$K$6+Sheet1!$K$11+Sheet1!$K$16</f>
        <v>68</v>
      </c>
      <c r="I8" s="300">
        <f>Sheet1!$K$7+Sheet1!$K$12+Sheet1!$K$17</f>
        <v>67</v>
      </c>
      <c r="J8" s="300">
        <f>Sheet1!$L$4+Sheet1!$L$9+Sheet1!$L$14</f>
        <v>224</v>
      </c>
      <c r="K8" s="300">
        <f>Sheet1!$L$5+Sheet1!$L$10+Sheet1!$L$15</f>
        <v>0</v>
      </c>
      <c r="L8" s="300">
        <f>Sheet1!$L$6+Sheet1!$L$11+Sheet1!$L$16</f>
        <v>5</v>
      </c>
      <c r="M8" s="300">
        <f>Sheet1!$L$7+Sheet1!$L$12+Sheet1!$M$17</f>
        <v>68</v>
      </c>
      <c r="N8" s="198">
        <f>P8-O8</f>
        <v>25251</v>
      </c>
      <c r="O8" s="198">
        <f>J8*50+K8*27+L8*50</f>
        <v>11450</v>
      </c>
      <c r="P8" s="198">
        <f>Sheet1!N22</f>
        <v>36701</v>
      </c>
      <c r="Q8" s="199">
        <f>Sheet1!N23</f>
        <v>10</v>
      </c>
      <c r="R8" s="198">
        <v>38419.089999999997</v>
      </c>
      <c r="S8" s="198">
        <f>R8</f>
        <v>38419.089999999997</v>
      </c>
    </row>
    <row r="9" spans="1:19" ht="15.75" x14ac:dyDescent="0.25">
      <c r="A9" s="195">
        <v>43923</v>
      </c>
      <c r="B9" s="196">
        <f>'Feb stream I '!I6</f>
        <v>0.79166666666665719</v>
      </c>
      <c r="C9" s="196">
        <f>'Feb stream II  '!I6</f>
        <v>0.79861111111114269</v>
      </c>
      <c r="D9" s="196">
        <f>'Feb stream III '!I6</f>
        <v>0.77430555555554292</v>
      </c>
      <c r="E9" s="163">
        <f>SUM(B9:D9)</f>
        <v>2.3645833333333428</v>
      </c>
      <c r="F9" s="300">
        <f>Sheet2!$K$4+Sheet2!$K$9+Sheet2!$K$14</f>
        <v>439</v>
      </c>
      <c r="G9" s="300">
        <f>Sheet2!$K$5+Sheet2!$K$10+Sheet2!$K$15</f>
        <v>22</v>
      </c>
      <c r="H9" s="300">
        <f>Sheet2!$K$6+Sheet2!$K$11+Sheet2!$K$16</f>
        <v>67</v>
      </c>
      <c r="I9" s="300">
        <f>Sheet2!$K$7+Sheet2!$K$12+Sheet2!$K$17</f>
        <v>68</v>
      </c>
      <c r="J9" s="300">
        <f>Sheet2!$L$4+Sheet2!$L$9+Sheet2!$L$14</f>
        <v>208</v>
      </c>
      <c r="K9" s="300">
        <f>Sheet2!$L$5+Sheet2!$L$10+Sheet2!$L$15</f>
        <v>0</v>
      </c>
      <c r="L9" s="300">
        <f>Sheet2!$L$6+Sheet2!$L$11+Sheet3!$L$16</f>
        <v>10</v>
      </c>
      <c r="M9" s="300">
        <f>Sheet2!$L$7+Sheet2!$L$12+Sheet2!$M$17</f>
        <v>49</v>
      </c>
      <c r="N9" s="198">
        <f t="shared" ref="N9:N37" si="0">P9-O9</f>
        <v>26818</v>
      </c>
      <c r="O9" s="198">
        <f t="shared" ref="O9:O37" si="1">J9*50+K9*27+L9*50</f>
        <v>10900</v>
      </c>
      <c r="P9" s="198">
        <f>Sheet2!N22</f>
        <v>37718</v>
      </c>
      <c r="Q9" s="199">
        <f>Sheet2!N23</f>
        <v>6</v>
      </c>
      <c r="R9" s="198">
        <f>Sheet2!N24</f>
        <v>22104</v>
      </c>
      <c r="S9" s="198">
        <f>S8+R9</f>
        <v>60523.09</v>
      </c>
    </row>
    <row r="10" spans="1:19" ht="15.75" x14ac:dyDescent="0.25">
      <c r="A10" s="195">
        <v>43924</v>
      </c>
      <c r="B10" s="196">
        <f>'Feb stream I '!I7</f>
        <v>0.72222222222220012</v>
      </c>
      <c r="C10" s="196">
        <f>'Feb stream II  '!I7</f>
        <v>0.51388888888885731</v>
      </c>
      <c r="D10" s="196">
        <f>'Feb stream III '!I7</f>
        <v>0.77083333333331439</v>
      </c>
      <c r="E10" s="163">
        <f t="shared" ref="E10:E36" si="2">SUM(B10:D10)</f>
        <v>2.0069444444443718</v>
      </c>
      <c r="F10" s="300">
        <f>Sheet3!$K$4+Sheet3!$K$9+Sheet3!$K$14</f>
        <v>355</v>
      </c>
      <c r="G10" s="300">
        <f>Sheet3!$K$5+Sheet3!$K$10+Sheet3!$K$15</f>
        <v>12</v>
      </c>
      <c r="H10" s="300">
        <f>Sheet3!$K$6+Sheet3!$K$11+Sheet3!$K$16</f>
        <v>51</v>
      </c>
      <c r="I10" s="300">
        <f>Sheet3!$K$7+Sheet3!$K$12+Sheet3!$K$17</f>
        <v>125</v>
      </c>
      <c r="J10" s="300">
        <f>Sheet3!$L$4+Sheet3!$L$9+Sheet3!$L$14</f>
        <v>180</v>
      </c>
      <c r="K10" s="300">
        <f>Sheet3!$L$5+Sheet3!$L$10+Sheet3!$L$15</f>
        <v>10</v>
      </c>
      <c r="L10" s="300">
        <f>Sheet3!$L$6+Sheet3!$L$11+Sheet3!$L$16</f>
        <v>10</v>
      </c>
      <c r="M10" s="300">
        <f>Sheet3!$L$7+Sheet3!$L$12+Sheet3!$M$17</f>
        <v>37</v>
      </c>
      <c r="N10" s="198">
        <f t="shared" si="0"/>
        <v>21584</v>
      </c>
      <c r="O10" s="198">
        <f t="shared" si="1"/>
        <v>9770</v>
      </c>
      <c r="P10" s="198">
        <f>Sheet3!N22</f>
        <v>31354</v>
      </c>
      <c r="Q10" s="199">
        <f>Sheet3!N23</f>
        <v>7</v>
      </c>
      <c r="R10" s="198">
        <f>Sheet3!N24</f>
        <v>26009</v>
      </c>
      <c r="S10" s="198">
        <f t="shared" ref="S10:S36" si="3">S9+R10</f>
        <v>86532.09</v>
      </c>
    </row>
    <row r="11" spans="1:19" ht="15.75" x14ac:dyDescent="0.25">
      <c r="A11" s="195">
        <v>43925</v>
      </c>
      <c r="B11" s="196">
        <f>'Feb stream I '!I8</f>
        <v>0.69791666666662877</v>
      </c>
      <c r="C11" s="196">
        <f>'Feb stream II  '!I8</f>
        <v>0.7569444444444855</v>
      </c>
      <c r="D11" s="196">
        <f>'Feb stream III '!I8</f>
        <v>0.87152777777779988</v>
      </c>
      <c r="E11" s="163">
        <f t="shared" si="2"/>
        <v>2.3263888888889142</v>
      </c>
      <c r="F11" s="300">
        <f>Sheet4!$K$4+Sheet4!$K$9+Sheet4!$K$14</f>
        <v>355</v>
      </c>
      <c r="G11" s="300">
        <f>Sheet4!$K$5+Sheet4!$K$10+Sheet4!$K$15</f>
        <v>16</v>
      </c>
      <c r="H11" s="300">
        <f>Sheet4!$K$6+Sheet4!$K$11+Sheet4!$K$16</f>
        <v>50</v>
      </c>
      <c r="I11" s="300">
        <f>Sheet4!$K$7+Sheet4!$K$12+Sheet4!$K$17</f>
        <v>66</v>
      </c>
      <c r="J11" s="300">
        <f>Sheet4!$L$4+Sheet4!$L$9+Sheet4!$L$14</f>
        <v>106</v>
      </c>
      <c r="K11" s="300">
        <f>Sheet4!$L$5+Sheet4!$L$10+Sheet4!$L$15</f>
        <v>0</v>
      </c>
      <c r="L11" s="300">
        <f>Sheet4!$L$6+Sheet4!$L$11+Sheet4!$L$16</f>
        <v>20</v>
      </c>
      <c r="M11" s="300">
        <f>Sheet4!$L$7+Sheet4!$L$12+Sheet4!$M$17</f>
        <v>8</v>
      </c>
      <c r="N11" s="198">
        <f t="shared" si="0"/>
        <v>21395.759999999998</v>
      </c>
      <c r="O11" s="198">
        <f t="shared" si="1"/>
        <v>6300</v>
      </c>
      <c r="P11" s="198">
        <f>Sheet4!N22</f>
        <v>27695.759999999998</v>
      </c>
      <c r="Q11" s="199">
        <f>Sheet4!N23</f>
        <v>8</v>
      </c>
      <c r="R11" s="198">
        <f>Sheet4!N24</f>
        <v>29632.97</v>
      </c>
      <c r="S11" s="198">
        <f t="shared" si="3"/>
        <v>116165.06</v>
      </c>
    </row>
    <row r="12" spans="1:19" ht="15.75" x14ac:dyDescent="0.25">
      <c r="A12" s="195">
        <v>43926</v>
      </c>
      <c r="B12" s="196">
        <f>'Feb stream I '!I9</f>
        <v>0.74305555555554292</v>
      </c>
      <c r="C12" s="196">
        <f>'Feb stream II  '!I9</f>
        <v>0.73611111111108585</v>
      </c>
      <c r="D12" s="196">
        <f>'Feb stream III '!I9</f>
        <v>0.79166666666665719</v>
      </c>
      <c r="E12" s="163">
        <f t="shared" si="2"/>
        <v>2.270833333333286</v>
      </c>
      <c r="F12" s="300">
        <f>Sheet5!$K$4+Sheet5!$K$9+Sheet5!$K$14</f>
        <v>459</v>
      </c>
      <c r="G12" s="300">
        <f>Sheet5!$K$5+Sheet5!$K$10+Sheet5!$K$15</f>
        <v>0</v>
      </c>
      <c r="H12" s="300">
        <f>Sheet5!$K$6+Sheet5!$K$11+Sheet5!$K$16</f>
        <v>5</v>
      </c>
      <c r="I12" s="300">
        <f>Sheet5!$K$7+Sheet5!$K$12+Sheet5!$K$17</f>
        <v>19</v>
      </c>
      <c r="J12" s="300">
        <f>Sheet5!$L$4+Sheet5!$L$9+Sheet5!$L$14</f>
        <v>216</v>
      </c>
      <c r="K12" s="300">
        <f>Sheet5!$L$5+Sheet5!$L$10+Sheet5!$L$15</f>
        <v>10</v>
      </c>
      <c r="L12" s="300">
        <f>Sheet5!$L$6+Sheet5!$L$11+Sheet5!$L$16</f>
        <v>0</v>
      </c>
      <c r="M12" s="300">
        <f>Sheet5!$L$7+Sheet5!$L$12+Sheet5!$M$17</f>
        <v>7</v>
      </c>
      <c r="N12" s="198">
        <f t="shared" si="0"/>
        <v>23791.54</v>
      </c>
      <c r="O12" s="198">
        <f t="shared" si="1"/>
        <v>11070</v>
      </c>
      <c r="P12" s="198">
        <f>Sheet5!N22</f>
        <v>34861.54</v>
      </c>
      <c r="Q12" s="199">
        <f>Sheet5!N23</f>
        <v>8</v>
      </c>
      <c r="R12" s="198">
        <f>Sheet5!N24</f>
        <v>29687.41</v>
      </c>
      <c r="S12" s="198">
        <f t="shared" si="3"/>
        <v>145852.47</v>
      </c>
    </row>
    <row r="13" spans="1:19" ht="15.75" x14ac:dyDescent="0.25">
      <c r="A13" s="195">
        <v>43927</v>
      </c>
      <c r="B13" s="196">
        <f>'Feb stream I '!I10</f>
        <v>0.44444444444445708</v>
      </c>
      <c r="C13" s="196">
        <f>'Feb stream II  '!I10</f>
        <v>0.88194444444442865</v>
      </c>
      <c r="D13" s="196">
        <f>'Feb stream III '!I10</f>
        <v>0.89583333333334281</v>
      </c>
      <c r="E13" s="163">
        <f t="shared" si="2"/>
        <v>2.2222222222222285</v>
      </c>
      <c r="F13" s="300">
        <f>Sheet6!$K$4+Sheet6!$K$9+Sheet6!$K$14</f>
        <v>364</v>
      </c>
      <c r="G13" s="300">
        <f>Sheet6!$K$5+Sheet6!$K$10+Sheet6!$K$15</f>
        <v>4</v>
      </c>
      <c r="H13" s="300">
        <f>Sheet6!$K$6+Sheet6!$K$11+Sheet6!$K$16</f>
        <v>33</v>
      </c>
      <c r="I13" s="300">
        <f>Sheet6!$K$7+Sheet6!$K$12+Sheet6!$K$17</f>
        <v>30</v>
      </c>
      <c r="J13" s="300">
        <f>Sheet6!$L$4+Sheet6!$L$9+Sheet6!$L$14</f>
        <v>223</v>
      </c>
      <c r="K13" s="300">
        <f>Sheet6!$L$5+Sheet6!$L$10+Sheet6!$L$15</f>
        <v>0</v>
      </c>
      <c r="L13" s="300">
        <f>Sheet6!$L$6+Sheet6!$L$11+Sheet6!$L$16</f>
        <v>13</v>
      </c>
      <c r="M13" s="300">
        <f>Sheet6!$L$7+Sheet6!$L$12+Sheet6!$M$17</f>
        <v>19</v>
      </c>
      <c r="N13" s="198">
        <f t="shared" si="0"/>
        <v>19540.560000000001</v>
      </c>
      <c r="O13" s="198">
        <f t="shared" si="1"/>
        <v>11800</v>
      </c>
      <c r="P13" s="198">
        <f>Sheet6!N22</f>
        <v>31340.560000000001</v>
      </c>
      <c r="Q13" s="199">
        <f>Sheet6!N23</f>
        <v>9</v>
      </c>
      <c r="R13" s="198">
        <f>Sheet6!N24</f>
        <v>33299.050000000003</v>
      </c>
      <c r="S13" s="198">
        <f t="shared" si="3"/>
        <v>179151.52000000002</v>
      </c>
    </row>
    <row r="14" spans="1:19" ht="15.75" x14ac:dyDescent="0.25">
      <c r="A14" s="195">
        <v>43928</v>
      </c>
      <c r="B14" s="196">
        <f>'Feb stream I '!I11</f>
        <v>0.88541666666665719</v>
      </c>
      <c r="C14" s="196">
        <f>'Feb stream II  '!I11</f>
        <v>0.79861111111114269</v>
      </c>
      <c r="D14" s="196">
        <f>'Feb stream III '!I11</f>
        <v>0.85069444444442865</v>
      </c>
      <c r="E14" s="163">
        <f t="shared" si="2"/>
        <v>2.5347222222222285</v>
      </c>
      <c r="F14" s="300">
        <f>Sheet7!$K$4+Sheet7!$K$9+Sheet7!$K$14</f>
        <v>448</v>
      </c>
      <c r="G14" s="300">
        <f>Sheet7!$K$5+Sheet7!$K$10+Sheet7!$K$15</f>
        <v>5</v>
      </c>
      <c r="H14" s="300">
        <f>Sheet7!$K$6+Sheet7!$K$11+Sheet7!$K$16</f>
        <v>5</v>
      </c>
      <c r="I14" s="300">
        <f>Sheet7!$K$7+Sheet7!$K$12+Sheet7!$K$17</f>
        <v>43</v>
      </c>
      <c r="J14" s="300">
        <f>Sheet7!$L$4+Sheet7!$L$9+Sheet7!$L$14</f>
        <v>115</v>
      </c>
      <c r="K14" s="300">
        <f>Sheet7!$L$5+Sheet7!$L$10+Sheet7!$L$15</f>
        <v>0</v>
      </c>
      <c r="L14" s="300">
        <f>Sheet7!$L$6+Sheet7!$L$11+Sheet7!$L$16</f>
        <v>0</v>
      </c>
      <c r="M14" s="300">
        <f>Sheet7!$L$7+Sheet7!$L$12+Sheet7!$M$17</f>
        <v>26</v>
      </c>
      <c r="N14" s="198">
        <f t="shared" si="0"/>
        <v>23667.55</v>
      </c>
      <c r="O14" s="198">
        <f t="shared" si="1"/>
        <v>5750</v>
      </c>
      <c r="P14" s="198">
        <f>Sheet7!N22</f>
        <v>29417.55</v>
      </c>
      <c r="Q14" s="199">
        <f>Sheet7!N23</f>
        <v>9</v>
      </c>
      <c r="R14" s="198">
        <f>Sheet7!N24</f>
        <v>33388.6</v>
      </c>
      <c r="S14" s="198">
        <f t="shared" si="3"/>
        <v>212540.12000000002</v>
      </c>
    </row>
    <row r="15" spans="1:19" ht="15.75" x14ac:dyDescent="0.25">
      <c r="A15" s="195">
        <v>43929</v>
      </c>
      <c r="B15" s="196">
        <f>'Feb stream I '!I12</f>
        <v>0.70833333333334281</v>
      </c>
      <c r="C15" s="196">
        <f>'Feb stream II  '!I12</f>
        <v>0.52083333333334281</v>
      </c>
      <c r="D15" s="196">
        <f>'Feb stream III '!I12</f>
        <v>0.67708333333334281</v>
      </c>
      <c r="E15" s="163">
        <f t="shared" si="2"/>
        <v>1.9062500000000284</v>
      </c>
      <c r="F15" s="300">
        <f>Sheet8!$K$4+Sheet8!$K$9+Sheet8!$K$14</f>
        <v>409</v>
      </c>
      <c r="G15" s="300">
        <f>Sheet8!$K$5+Sheet8!$K$10+Sheet8!$K$15</f>
        <v>0</v>
      </c>
      <c r="H15" s="300">
        <f>Sheet8!$K$6+Sheet8!$K$11+Sheet8!$K$16</f>
        <v>15</v>
      </c>
      <c r="I15" s="300">
        <f>Sheet8!$K$7+Sheet8!$K$12+Sheet8!$K$17</f>
        <v>103</v>
      </c>
      <c r="J15" s="300">
        <f>Sheet8!$L$4+Sheet8!$L$9+Sheet8!$L$14</f>
        <v>79</v>
      </c>
      <c r="K15" s="300">
        <f>Sheet8!$L$5+Sheet8!$L$10+Sheet8!$L$15</f>
        <v>0</v>
      </c>
      <c r="L15" s="300">
        <f>Sheet8!$L$6+Sheet8!$L$11+Sheet8!$L$16</f>
        <v>0</v>
      </c>
      <c r="M15" s="300">
        <f>Sheet8!$L$7+Sheet8!$L$12+Sheet8!$M$17</f>
        <v>25</v>
      </c>
      <c r="N15" s="198">
        <f t="shared" si="0"/>
        <v>22417.7</v>
      </c>
      <c r="O15" s="198">
        <f t="shared" si="1"/>
        <v>3950</v>
      </c>
      <c r="P15" s="198">
        <f>Sheet8!N22</f>
        <v>26367.7</v>
      </c>
      <c r="Q15" s="199">
        <f>Sheet8!N23</f>
        <v>7</v>
      </c>
      <c r="R15" s="198">
        <f>Sheet8!N24</f>
        <v>25926.41</v>
      </c>
      <c r="S15" s="198">
        <f t="shared" si="3"/>
        <v>238466.53000000003</v>
      </c>
    </row>
    <row r="16" spans="1:19" ht="15.75" x14ac:dyDescent="0.25">
      <c r="A16" s="195">
        <v>43930</v>
      </c>
      <c r="B16" s="196">
        <f>'Feb stream I '!I13</f>
        <v>0.40624999999997158</v>
      </c>
      <c r="C16" s="196">
        <f>'Feb stream II  '!I13</f>
        <v>0.72916666666665719</v>
      </c>
      <c r="D16" s="196">
        <f>'Feb stream III '!I13</f>
        <v>0.83333333333334281</v>
      </c>
      <c r="E16" s="163">
        <f t="shared" si="2"/>
        <v>1.9687499999999716</v>
      </c>
      <c r="F16" s="300">
        <f>Sheet9!$K$4+Sheet9!$K$9+Sheet9!$K$14</f>
        <v>376</v>
      </c>
      <c r="G16" s="300">
        <f>Sheet9!$K$5+Sheet9!$K$10+Sheet9!$K$15</f>
        <v>10</v>
      </c>
      <c r="H16" s="300">
        <f>Sheet9!$K$6+Sheet9!$K$11+Sheet9!$K$16</f>
        <v>20</v>
      </c>
      <c r="I16" s="300">
        <f>Sheet9!$K$7+Sheet9!$K$12+Sheet9!$K$17</f>
        <v>130</v>
      </c>
      <c r="J16" s="300">
        <f>Sheet9!$L$4+Sheet9!$L$9+Sheet9!$L$14</f>
        <v>164</v>
      </c>
      <c r="K16" s="300">
        <f>Sheet9!$L$5+Sheet9!$L$10+Sheet9!$L$15</f>
        <v>10</v>
      </c>
      <c r="L16" s="300">
        <f>Sheet9!$L$6+Sheet9!$L$11+Sheet9!$L$16</f>
        <v>15</v>
      </c>
      <c r="M16" s="300">
        <f>Sheet9!$L$7+Sheet9!$L$12+Sheet9!$M$17</f>
        <v>109</v>
      </c>
      <c r="N16" s="198">
        <f t="shared" si="0"/>
        <v>21664.26</v>
      </c>
      <c r="O16" s="198">
        <f t="shared" si="1"/>
        <v>9220</v>
      </c>
      <c r="P16" s="198">
        <f>Sheet9!N22</f>
        <v>30884.26</v>
      </c>
      <c r="Q16" s="199">
        <f>Sheet9!N23</f>
        <v>6</v>
      </c>
      <c r="R16" s="198">
        <v>22295.4</v>
      </c>
      <c r="S16" s="198">
        <f t="shared" si="3"/>
        <v>260761.93000000002</v>
      </c>
    </row>
    <row r="17" spans="1:19" ht="15.75" x14ac:dyDescent="0.25">
      <c r="A17" s="195">
        <v>43931</v>
      </c>
      <c r="B17" s="196">
        <f>'Feb stream I '!I14</f>
        <v>0.82986111111114269</v>
      </c>
      <c r="C17" s="196">
        <f>'Feb stream II  '!I14</f>
        <v>0.69097222222222854</v>
      </c>
      <c r="D17" s="196">
        <f>'Feb stream III '!I14</f>
        <v>0.74652777777779988</v>
      </c>
      <c r="E17" s="163">
        <f t="shared" si="2"/>
        <v>2.2673611111111711</v>
      </c>
      <c r="F17" s="300">
        <f>Sheet10!$K$4+Sheet10!$K$9+Sheet10!$K$14</f>
        <v>378</v>
      </c>
      <c r="G17" s="300">
        <f>Sheet10!$K$5+Sheet10!$K$10+Sheet10!$K$15</f>
        <v>5</v>
      </c>
      <c r="H17" s="300">
        <f>Sheet10!$K$6+Sheet10!$K$11+Sheet10!$K$16</f>
        <v>15</v>
      </c>
      <c r="I17" s="300">
        <f>Sheet10!$K$7+Sheet10!$K$12+Sheet10!$K$17</f>
        <v>93</v>
      </c>
      <c r="J17" s="300">
        <f>Sheet10!$L$4+Sheet10!$L$9+Sheet10!$L$14</f>
        <v>169</v>
      </c>
      <c r="K17" s="300">
        <f>Sheet10!$L$5+Sheet10!$L$10+Sheet10!$L$15</f>
        <v>0</v>
      </c>
      <c r="L17" s="300">
        <f>Sheet10!$L$6+Sheet10!$L$11+Sheet10!$L$16</f>
        <v>10</v>
      </c>
      <c r="M17" s="300">
        <f>Sheet10!$L$7+Sheet10!$L$12+Sheet10!$M$17</f>
        <v>43</v>
      </c>
      <c r="N17" s="198">
        <f t="shared" si="0"/>
        <v>20592.189999999999</v>
      </c>
      <c r="O17" s="198">
        <f t="shared" si="1"/>
        <v>8950</v>
      </c>
      <c r="P17" s="198">
        <f>Sheet10!N22</f>
        <v>29542.19</v>
      </c>
      <c r="Q17" s="199">
        <f>Sheet10!N23</f>
        <v>8</v>
      </c>
      <c r="R17" s="198">
        <v>29324.63</v>
      </c>
      <c r="S17" s="198">
        <f t="shared" si="3"/>
        <v>290086.56</v>
      </c>
    </row>
    <row r="18" spans="1:19" ht="15.75" x14ac:dyDescent="0.25">
      <c r="A18" s="195">
        <v>43932</v>
      </c>
      <c r="B18" s="196">
        <f>'Feb stream I '!I15</f>
        <v>0.86458333333334281</v>
      </c>
      <c r="C18" s="196">
        <f>'Feb stream II  '!I15</f>
        <v>0.85069444444445708</v>
      </c>
      <c r="D18" s="196">
        <f>'Feb stream III '!I15</f>
        <v>0.85069444444445708</v>
      </c>
      <c r="E18" s="163">
        <f t="shared" si="2"/>
        <v>2.565972222222257</v>
      </c>
      <c r="F18" s="300">
        <f>Sheet11!$K$4+Sheet11!$K$9+Sheet11!$K$14</f>
        <v>425</v>
      </c>
      <c r="G18" s="300">
        <f>Sheet11!$K$5+Sheet11!$K$10+Sheet11!$K$15</f>
        <v>3</v>
      </c>
      <c r="H18" s="300">
        <f>Sheet11!$K$6+Sheet11!$K$11+Sheet11!$K$16</f>
        <v>25</v>
      </c>
      <c r="I18" s="300">
        <f>Sheet11!$K$7+Sheet11!$K$12+Sheet11!$K$17</f>
        <v>27</v>
      </c>
      <c r="J18" s="300">
        <f>Sheet11!$L$4+Sheet11!$L$9+Sheet11!$L$14</f>
        <v>203</v>
      </c>
      <c r="K18" s="300">
        <f>Sheet11!$L$5+Sheet11!$L$10+Sheet11!$L$15</f>
        <v>8</v>
      </c>
      <c r="L18" s="300">
        <f>Sheet11!$L$6+Sheet11!$L$11+Sheet11!$L$16</f>
        <v>11</v>
      </c>
      <c r="M18" s="300">
        <f>Sheet11!$L$7+Sheet11!$L$12+Sheet11!$M$17</f>
        <v>12</v>
      </c>
      <c r="N18" s="198">
        <f t="shared" si="0"/>
        <v>24180</v>
      </c>
      <c r="O18" s="198">
        <f t="shared" si="1"/>
        <v>10916</v>
      </c>
      <c r="P18" s="198">
        <f>Sheet11!N22</f>
        <v>35096</v>
      </c>
      <c r="Q18" s="199">
        <f>Sheet11!N23</f>
        <v>8</v>
      </c>
      <c r="R18" s="198">
        <v>33484.269999999997</v>
      </c>
      <c r="S18" s="198">
        <f t="shared" si="3"/>
        <v>323570.83</v>
      </c>
    </row>
    <row r="19" spans="1:19" ht="15.75" x14ac:dyDescent="0.25">
      <c r="A19" s="195">
        <v>43933</v>
      </c>
      <c r="B19" s="196">
        <f>'Feb stream I '!I16</f>
        <v>0.70138888888885731</v>
      </c>
      <c r="C19" s="196">
        <f>'Feb stream II  '!I16</f>
        <v>0.84027777777779988</v>
      </c>
      <c r="D19" s="196">
        <f>'Feb stream III '!I16</f>
        <v>0.81249999999997158</v>
      </c>
      <c r="E19" s="163">
        <f t="shared" si="2"/>
        <v>2.3541666666666288</v>
      </c>
      <c r="F19" s="300">
        <f>Sheet12!$K$4+Sheet12!$K$9+Sheet12!$K$14</f>
        <v>439</v>
      </c>
      <c r="G19" s="300">
        <f>Sheet12!$K$5+Sheet12!$K$10+Sheet12!$K$15</f>
        <v>5</v>
      </c>
      <c r="H19" s="300">
        <f>Sheet12!$K$6+Sheet12!$K$11+Sheet12!$K$16</f>
        <v>10</v>
      </c>
      <c r="I19" s="300">
        <f>Sheet12!$K$7+Sheet12!$K$12+Sheet12!$K$17</f>
        <v>134</v>
      </c>
      <c r="J19" s="300">
        <f>Sheet12!$L$4+Sheet12!$L$9+Sheet12!$L$14</f>
        <v>158</v>
      </c>
      <c r="K19" s="300">
        <f>Sheet12!$L$5+Sheet12!$L$10+Sheet12!$L$15</f>
        <v>0</v>
      </c>
      <c r="L19" s="300">
        <f>Sheet12!$L$6+Sheet12!$L$11+Sheet12!$L$16</f>
        <v>15</v>
      </c>
      <c r="M19" s="300">
        <f>Sheet12!$L$7+Sheet12!$L$12+Sheet12!$M$17</f>
        <v>106</v>
      </c>
      <c r="N19" s="198">
        <f t="shared" si="0"/>
        <v>23568.560000000001</v>
      </c>
      <c r="O19" s="198">
        <f t="shared" si="1"/>
        <v>8650</v>
      </c>
      <c r="P19" s="198">
        <f>Sheet12!N22</f>
        <v>32218.560000000001</v>
      </c>
      <c r="Q19" s="199">
        <f>Sheet12!N23</f>
        <v>8</v>
      </c>
      <c r="R19" s="198">
        <v>30044.47</v>
      </c>
      <c r="S19" s="198">
        <f t="shared" si="3"/>
        <v>353615.30000000005</v>
      </c>
    </row>
    <row r="20" spans="1:19" ht="15.75" x14ac:dyDescent="0.25">
      <c r="A20" s="195">
        <v>43934</v>
      </c>
      <c r="B20" s="196">
        <f>'Feb stream I '!I17</f>
        <v>0.47222222222222854</v>
      </c>
      <c r="C20" s="196">
        <f>'Feb stream II  '!I17</f>
        <v>0.71180555555554292</v>
      </c>
      <c r="D20" s="196">
        <f>'Feb stream III '!I17</f>
        <v>0.82291666666665719</v>
      </c>
      <c r="E20" s="163">
        <f t="shared" si="2"/>
        <v>2.0069444444444287</v>
      </c>
      <c r="F20" s="300">
        <f>Sheet13!$K$4+Sheet13!$K$9+Sheet13!$K$14</f>
        <v>426</v>
      </c>
      <c r="G20" s="300">
        <f>Sheet13!$K$5+Sheet13!$K$10+Sheet13!$K$15</f>
        <v>54</v>
      </c>
      <c r="H20" s="300">
        <f>Sheet13!$K$6+Sheet13!$K$11+Sheet13!$K$16</f>
        <v>0</v>
      </c>
      <c r="I20" s="300">
        <f>Sheet13!$K$7+Sheet13!$K$12+Sheet13!$K$17</f>
        <v>168</v>
      </c>
      <c r="J20" s="300">
        <f>Sheet13!$L$4+Sheet13!$L$9+Sheet13!$L$14</f>
        <v>70</v>
      </c>
      <c r="K20" s="300">
        <f>Sheet13!$L$5+Sheet13!$L$10+Sheet13!$L$15</f>
        <v>0</v>
      </c>
      <c r="L20" s="300">
        <f>Sheet13!$L$6+Sheet13!$L$11+Sheet13!$L$16</f>
        <v>0</v>
      </c>
      <c r="M20" s="300">
        <f>Sheet13!$L$7+Sheet13!$L$12+Sheet13!$M$17</f>
        <v>94</v>
      </c>
      <c r="N20" s="198">
        <f t="shared" si="0"/>
        <v>22957.03</v>
      </c>
      <c r="O20" s="198">
        <f t="shared" si="1"/>
        <v>3500</v>
      </c>
      <c r="P20" s="198">
        <f>Sheet13!N22</f>
        <v>26457.03</v>
      </c>
      <c r="Q20" s="199">
        <f>Sheet13!N23</f>
        <v>6</v>
      </c>
      <c r="R20" s="198">
        <f>Sheet13!N24</f>
        <v>22138.86</v>
      </c>
      <c r="S20" s="198">
        <f t="shared" si="3"/>
        <v>375754.16000000003</v>
      </c>
    </row>
    <row r="21" spans="1:19" ht="15.75" x14ac:dyDescent="0.25">
      <c r="A21" s="195">
        <v>43935</v>
      </c>
      <c r="B21" s="196">
        <f>'Feb stream I '!I18</f>
        <v>0.75347222222222854</v>
      </c>
      <c r="C21" s="196">
        <f>'Feb stream II  '!I18</f>
        <v>0.49652777777777146</v>
      </c>
      <c r="D21" s="196">
        <f>'Feb stream III '!I18</f>
        <v>0.81944444444445708</v>
      </c>
      <c r="E21" s="163">
        <f t="shared" si="2"/>
        <v>2.0694444444444571</v>
      </c>
      <c r="F21" s="300">
        <f>Sheet14!$K$4+Sheet14!$K$9+Sheet14!$K$14</f>
        <v>326</v>
      </c>
      <c r="G21" s="300">
        <f>Sheet14!$K$5+Sheet14!$K$10+Sheet14!$K$15</f>
        <v>5</v>
      </c>
      <c r="H21" s="300">
        <f>Sheet14!$K$6+Sheet14!$K$11+Sheet14!$K$16</f>
        <v>40</v>
      </c>
      <c r="I21" s="300">
        <f>Sheet14!$K$7+Sheet14!$K$12+Sheet14!$K$17</f>
        <v>160</v>
      </c>
      <c r="J21" s="300">
        <f>Sheet14!$L$4+Sheet14!$L$9+Sheet14!$L$14</f>
        <v>190</v>
      </c>
      <c r="K21" s="300">
        <f>Sheet14!$L$5+Sheet14!$L$10+Sheet14!$L$15</f>
        <v>0</v>
      </c>
      <c r="L21" s="300">
        <f>Sheet14!$L$6+Sheet14!$L$11+Sheet14!$L$16</f>
        <v>5</v>
      </c>
      <c r="M21" s="300">
        <f>Sheet14!$L$7+Sheet14!$L$12+Sheet14!$M$17</f>
        <v>23</v>
      </c>
      <c r="N21" s="198">
        <f t="shared" si="0"/>
        <v>19840.650000000001</v>
      </c>
      <c r="O21" s="198">
        <f t="shared" si="1"/>
        <v>9750</v>
      </c>
      <c r="P21" s="198">
        <f>Sheet14!N22</f>
        <v>29590.65</v>
      </c>
      <c r="Q21" s="199">
        <f>Sheet14!N23</f>
        <v>9</v>
      </c>
      <c r="R21" s="198">
        <f>Sheet14!N24</f>
        <v>33361.54</v>
      </c>
      <c r="S21" s="198">
        <f t="shared" si="3"/>
        <v>409115.7</v>
      </c>
    </row>
    <row r="22" spans="1:19" ht="15.75" x14ac:dyDescent="0.25">
      <c r="A22" s="195">
        <v>43936</v>
      </c>
      <c r="B22" s="196">
        <f>'Feb stream I '!I19</f>
        <v>0.67708333333334281</v>
      </c>
      <c r="C22" s="196">
        <f>'Feb stream II  '!I19</f>
        <v>0.88194444444442865</v>
      </c>
      <c r="D22" s="196">
        <f>'Feb stream III '!I19</f>
        <v>0.81944444444445708</v>
      </c>
      <c r="E22" s="163">
        <f t="shared" si="2"/>
        <v>2.3784722222222285</v>
      </c>
      <c r="F22" s="300">
        <f>Sheet15!$K$4+Sheet15!$K$9+Sheet15!$K$14</f>
        <v>396</v>
      </c>
      <c r="G22" s="300">
        <f>Sheet15!$K$5+Sheet15!$K$10+Sheet15!$K$15</f>
        <v>62</v>
      </c>
      <c r="H22" s="300">
        <f>Sheet15!$K$6+Sheet15!$K$11+Sheet15!$K$16</f>
        <v>10</v>
      </c>
      <c r="I22" s="300">
        <f>Sheet15!$K$7+Sheet15!$K$12+Sheet15!$K$17</f>
        <v>76</v>
      </c>
      <c r="J22" s="300">
        <f>Sheet15!$L$4+Sheet15!$L$9+Sheet15!$L$14</f>
        <v>153</v>
      </c>
      <c r="K22" s="300">
        <f>Sheet15!$L$5+Sheet15!$L$10+Sheet15!$L$15</f>
        <v>0</v>
      </c>
      <c r="L22" s="300">
        <f>Sheet15!$L$6+Sheet15!$L$11+Sheet15!$L$16</f>
        <v>0</v>
      </c>
      <c r="M22" s="300">
        <f>Sheet15!$L$7+Sheet15!$L$12+Sheet15!$M$17</f>
        <v>24</v>
      </c>
      <c r="N22" s="198">
        <f t="shared" si="0"/>
        <v>21795.26</v>
      </c>
      <c r="O22" s="198">
        <f t="shared" si="1"/>
        <v>7650</v>
      </c>
      <c r="P22" s="198">
        <f>Sheet15!N22</f>
        <v>29445.26</v>
      </c>
      <c r="Q22" s="199">
        <f>Sheet15!N23</f>
        <v>10</v>
      </c>
      <c r="R22" s="198">
        <f>Sheet15!N24</f>
        <v>36514.47</v>
      </c>
      <c r="S22" s="198">
        <f t="shared" si="3"/>
        <v>445630.17000000004</v>
      </c>
    </row>
    <row r="23" spans="1:19" ht="15.75" x14ac:dyDescent="0.25">
      <c r="A23" s="195">
        <v>43937</v>
      </c>
      <c r="B23" s="196">
        <f>'Feb stream I '!I20</f>
        <v>0.58333333333334281</v>
      </c>
      <c r="C23" s="196">
        <f>'Feb stream II  '!I20</f>
        <v>0.85416666666665719</v>
      </c>
      <c r="D23" s="196">
        <f>'Feb stream III '!I20</f>
        <v>0.77083333333334281</v>
      </c>
      <c r="E23" s="163">
        <f t="shared" si="2"/>
        <v>2.2083333333333428</v>
      </c>
      <c r="F23" s="300">
        <f>Sheet16!$K$4+Sheet16!$K$9+Sheet16!$K$14</f>
        <v>373</v>
      </c>
      <c r="G23" s="300">
        <f>Sheet16!$K$5+Sheet16!$K$10+Sheet16!$K$15</f>
        <v>8</v>
      </c>
      <c r="H23" s="300">
        <f>Sheet16!$K$6+Sheet16!$K$11+Sheet16!$K$16</f>
        <v>41</v>
      </c>
      <c r="I23" s="300">
        <f>Sheet16!$K$7+Sheet16!$K$12+Sheet16!$K$17</f>
        <v>165</v>
      </c>
      <c r="J23" s="300">
        <f>Sheet16!$L$4+Sheet16!$L$9+Sheet16!$L$14</f>
        <v>181</v>
      </c>
      <c r="K23" s="300">
        <f>Sheet16!$L$5+Sheet16!$L$10+Sheet16!$L$15</f>
        <v>6</v>
      </c>
      <c r="L23" s="300">
        <f>Sheet16!$L$6+Sheet16!$L$11+Sheet16!$L$16</f>
        <v>0</v>
      </c>
      <c r="M23" s="300">
        <f>Sheet16!$L$7+Sheet16!$L$12+Sheet16!$M$17</f>
        <v>36</v>
      </c>
      <c r="N23" s="198">
        <f t="shared" si="0"/>
        <v>22033.13</v>
      </c>
      <c r="O23" s="198">
        <f t="shared" si="1"/>
        <v>9212</v>
      </c>
      <c r="P23" s="198">
        <f>Sheet16!N22</f>
        <v>31245.13</v>
      </c>
      <c r="Q23" s="199">
        <f>Sheet16!N23</f>
        <v>9</v>
      </c>
      <c r="R23" s="198">
        <v>32633.82</v>
      </c>
      <c r="S23" s="198">
        <f t="shared" si="3"/>
        <v>478263.99000000005</v>
      </c>
    </row>
    <row r="24" spans="1:19" ht="15.75" x14ac:dyDescent="0.25">
      <c r="A24" s="195">
        <v>43938</v>
      </c>
      <c r="B24" s="196">
        <f>'Feb stream I '!I21</f>
        <v>0.78819444444445708</v>
      </c>
      <c r="C24" s="196">
        <f>'Feb stream II  '!I21</f>
        <v>0.78124999999997158</v>
      </c>
      <c r="D24" s="196">
        <f>'Feb stream III '!I21</f>
        <v>0.82638888888885731</v>
      </c>
      <c r="E24" s="163">
        <f t="shared" si="2"/>
        <v>2.395833333333286</v>
      </c>
      <c r="F24" s="300">
        <f>Sheet17!$K$4+Sheet17!$K$9+Sheet17!$K$14</f>
        <v>420</v>
      </c>
      <c r="G24" s="300">
        <f>Sheet17!$K$5+Sheet17!$K$10+Sheet17!$K$15</f>
        <v>5</v>
      </c>
      <c r="H24" s="300">
        <f>Sheet17!$K$6+Sheet17!$K$11+Sheet17!$K$16</f>
        <v>32</v>
      </c>
      <c r="I24" s="300">
        <f>Sheet17!$K$7+Sheet17!$K$12+Sheet17!$K$17</f>
        <v>84</v>
      </c>
      <c r="J24" s="300">
        <f>Sheet17!$L$4+Sheet17!$L$9+Sheet17!$L$14</f>
        <v>233</v>
      </c>
      <c r="K24" s="300">
        <f>Sheet17!$L$5+Sheet17!$L$10+Sheet17!$L$15</f>
        <v>0</v>
      </c>
      <c r="L24" s="300">
        <f>Sheet17!$L$6+Sheet17!$L$11+Sheet17!$L$16</f>
        <v>10</v>
      </c>
      <c r="M24" s="300">
        <f>Sheet17!$L$7+Sheet17!$L$12+Sheet17!$M$17</f>
        <v>48</v>
      </c>
      <c r="N24" s="198">
        <f t="shared" si="0"/>
        <v>18202</v>
      </c>
      <c r="O24" s="198">
        <f t="shared" si="1"/>
        <v>12150</v>
      </c>
      <c r="P24" s="198">
        <f>Sheet17!N22</f>
        <v>30352</v>
      </c>
      <c r="Q24" s="199">
        <f>Sheet17!N23</f>
        <v>10</v>
      </c>
      <c r="R24" s="198">
        <f>Sheet17!N24</f>
        <v>32753.57</v>
      </c>
      <c r="S24" s="198">
        <f t="shared" si="3"/>
        <v>511017.56000000006</v>
      </c>
    </row>
    <row r="25" spans="1:19" ht="15.75" x14ac:dyDescent="0.25">
      <c r="A25" s="195">
        <v>43939</v>
      </c>
      <c r="B25" s="196">
        <f>'Feb stream I '!I22</f>
        <v>0.85763888888888573</v>
      </c>
      <c r="C25" s="196">
        <f>'Feb stream II  '!I22</f>
        <v>0.85763888888888573</v>
      </c>
      <c r="D25" s="196">
        <f>'Feb stream III '!I22</f>
        <v>0.75347222222222854</v>
      </c>
      <c r="E25" s="163">
        <f t="shared" si="2"/>
        <v>2.46875</v>
      </c>
      <c r="F25" s="300">
        <f>Sheet18!$K$4+Sheet18!$K$9+Sheet18!$K$14</f>
        <v>439</v>
      </c>
      <c r="G25" s="300">
        <f>Sheet18!$K$5+Sheet18!$K$10+Sheet18!$K$15</f>
        <v>10</v>
      </c>
      <c r="H25" s="300">
        <f>Sheet18!$K$6+Sheet18!$K$11+Sheet18!$K$16</f>
        <v>0</v>
      </c>
      <c r="I25" s="300">
        <f>Sheet18!$K$7+Sheet18!$K$12+Sheet18!$K$17</f>
        <v>43</v>
      </c>
      <c r="J25" s="300">
        <f>Sheet18!$L$4+Sheet18!$L$9+Sheet18!$L$14</f>
        <v>187</v>
      </c>
      <c r="K25" s="300">
        <f>Sheet18!$L$5+Sheet18!$L$10+Sheet18!$L$15</f>
        <v>0</v>
      </c>
      <c r="L25" s="300">
        <f>Sheet18!$L$6+Sheet18!$L$11+Sheet18!$L$16</f>
        <v>0</v>
      </c>
      <c r="M25" s="300">
        <f>Sheet18!$L$7+Sheet18!$L$12+Sheet18!$M$17</f>
        <v>70</v>
      </c>
      <c r="N25" s="198">
        <f t="shared" si="0"/>
        <v>23409</v>
      </c>
      <c r="O25" s="198">
        <f t="shared" si="1"/>
        <v>9350</v>
      </c>
      <c r="P25" s="198">
        <f>Sheet18!N22</f>
        <v>32759</v>
      </c>
      <c r="Q25" s="199">
        <f>Sheet18!N23</f>
        <v>10</v>
      </c>
      <c r="R25" s="198">
        <v>36309.550000000003</v>
      </c>
      <c r="S25" s="198">
        <f t="shared" si="3"/>
        <v>547327.1100000001</v>
      </c>
    </row>
    <row r="26" spans="1:19" ht="15.75" x14ac:dyDescent="0.25">
      <c r="A26" s="195">
        <v>43940</v>
      </c>
      <c r="B26" s="196">
        <f>'Feb stream I '!I23</f>
        <v>0.79861111111111427</v>
      </c>
      <c r="C26" s="196">
        <f>'Feb stream II  '!I23</f>
        <v>0.875</v>
      </c>
      <c r="D26" s="196">
        <f>'Feb stream III '!I23</f>
        <v>0.75347222222222854</v>
      </c>
      <c r="E26" s="163">
        <f t="shared" si="2"/>
        <v>2.4270833333333428</v>
      </c>
      <c r="F26" s="300">
        <f>Sheet19!$K$4+Sheet19!$K$9+Sheet19!$K$14</f>
        <v>543</v>
      </c>
      <c r="G26" s="300">
        <f>Sheet19!$K$5+Sheet19!$K$10+Sheet19!$K$15</f>
        <v>50</v>
      </c>
      <c r="H26" s="300">
        <f>Sheet19!$K$6+Sheet19!$K$11+Sheet19!$K$16</f>
        <v>0</v>
      </c>
      <c r="I26" s="300">
        <f>Sheet19!$K$7+Sheet19!$K$12+Sheet19!$K$17</f>
        <v>113</v>
      </c>
      <c r="J26" s="300">
        <f>Sheet19!$L$4+Sheet19!$L$9+Sheet19!$L$14</f>
        <v>198</v>
      </c>
      <c r="K26" s="300">
        <f>Sheet19!$L$5+Sheet19!$L$10+Sheet19!$L$15</f>
        <v>13</v>
      </c>
      <c r="L26" s="300">
        <f>Sheet19!$L$6+Sheet19!$L$11+Sheet19!$L$16</f>
        <v>0</v>
      </c>
      <c r="M26" s="300">
        <f>Sheet19!$L$7+Sheet19!$L$12+Sheet19!$M$17</f>
        <v>50</v>
      </c>
      <c r="N26" s="198">
        <f t="shared" si="0"/>
        <v>28678</v>
      </c>
      <c r="O26" s="198">
        <f t="shared" si="1"/>
        <v>10251</v>
      </c>
      <c r="P26" s="198">
        <f>Sheet19!N22</f>
        <v>38929</v>
      </c>
      <c r="Q26" s="199">
        <f>Sheet19!N23</f>
        <v>10</v>
      </c>
      <c r="R26" s="198">
        <v>36912.949999999997</v>
      </c>
      <c r="S26" s="198">
        <f t="shared" si="3"/>
        <v>584240.06000000006</v>
      </c>
    </row>
    <row r="27" spans="1:19" ht="15.75" x14ac:dyDescent="0.25">
      <c r="A27" s="195">
        <v>43941</v>
      </c>
      <c r="B27" s="196">
        <f>'Feb stream I '!I24</f>
        <v>0.875</v>
      </c>
      <c r="C27" s="196">
        <f>'Feb stream II  '!I24</f>
        <v>0.69444444444445708</v>
      </c>
      <c r="D27" s="196">
        <f>'Feb stream III '!I24</f>
        <v>0.85763888888885731</v>
      </c>
      <c r="E27" s="163">
        <f t="shared" si="2"/>
        <v>2.4270833333333144</v>
      </c>
      <c r="F27" s="300">
        <f>Sheet20!$K$4+Sheet20!$K$9+Sheet20!$K$14</f>
        <v>446</v>
      </c>
      <c r="G27" s="300">
        <f>Sheet20!$K$5+Sheet20!$K$10+Sheet20!$K$15</f>
        <v>62</v>
      </c>
      <c r="H27" s="300">
        <f>Sheet20!$K$6+Sheet20!$K$11+Sheet20!$K$16</f>
        <v>0</v>
      </c>
      <c r="I27" s="300">
        <f>Sheet20!$K$7+Sheet20!$K$12+Sheet20!$K$17</f>
        <v>78</v>
      </c>
      <c r="J27" s="300">
        <f>Sheet20!$L$4+Sheet20!$L$9+Sheet20!$L$14</f>
        <v>201</v>
      </c>
      <c r="K27" s="300">
        <f>Sheet20!$L$5+Sheet20!$L$10+Sheet20!$L$15</f>
        <v>0</v>
      </c>
      <c r="L27" s="300">
        <f>Sheet20!$L$6+Sheet20!$L$11+Sheet20!$L$16</f>
        <v>0</v>
      </c>
      <c r="M27" s="300">
        <f>Sheet20!$L$7+Sheet20!$L$12+Sheet20!$M$17</f>
        <v>29</v>
      </c>
      <c r="N27" s="198">
        <f t="shared" si="0"/>
        <v>23835</v>
      </c>
      <c r="O27" s="198">
        <f t="shared" si="1"/>
        <v>10050</v>
      </c>
      <c r="P27" s="198">
        <f>Sheet20!N22</f>
        <v>33885</v>
      </c>
      <c r="Q27" s="199">
        <f>Sheet20!N23</f>
        <v>10</v>
      </c>
      <c r="R27" s="198">
        <f>Sheet20!N24</f>
        <v>36871</v>
      </c>
      <c r="S27" s="198">
        <f t="shared" si="3"/>
        <v>621111.06000000006</v>
      </c>
    </row>
    <row r="28" spans="1:19" ht="15.75" x14ac:dyDescent="0.25">
      <c r="A28" s="195">
        <v>43942</v>
      </c>
      <c r="B28" s="196">
        <f>'Feb stream I '!I25</f>
        <v>0.79166666666665719</v>
      </c>
      <c r="C28" s="196">
        <f>'Feb stream II  '!I25</f>
        <v>0.84375</v>
      </c>
      <c r="D28" s="196">
        <f>'Feb stream III '!I25</f>
        <v>0.54166666666668561</v>
      </c>
      <c r="E28" s="163">
        <f t="shared" si="2"/>
        <v>2.1770833333333428</v>
      </c>
      <c r="F28" s="300">
        <f>Sheet21!$K$4+Sheet21!$K$9+Sheet21!$K$14</f>
        <v>478</v>
      </c>
      <c r="G28" s="300">
        <f>Sheet21!$K$5+Sheet21!$K$10+Sheet21!$K$15</f>
        <v>103</v>
      </c>
      <c r="H28" s="300">
        <f>Sheet21!$K$6+Sheet21!$K$11+Sheet21!$K$16</f>
        <v>0</v>
      </c>
      <c r="I28" s="300">
        <f>Sheet21!$K$7+Sheet21!$K$12+Sheet21!$K$17</f>
        <v>93</v>
      </c>
      <c r="J28" s="300">
        <f>Sheet21!$L$4+Sheet21!$L$9+Sheet21!$L$14</f>
        <v>111</v>
      </c>
      <c r="K28" s="300">
        <f>Sheet21!$L$5+Sheet21!$L$10+Sheet21!$L$15</f>
        <v>0</v>
      </c>
      <c r="L28" s="300">
        <f>Sheet21!$L$6+Sheet21!$L$11+Sheet21!$L$16</f>
        <v>0</v>
      </c>
      <c r="M28" s="300">
        <f>Sheet21!$L$7+Sheet21!$L$12+Sheet21!$M$17</f>
        <v>40</v>
      </c>
      <c r="N28" s="198">
        <f t="shared" si="0"/>
        <v>26668.04</v>
      </c>
      <c r="O28" s="198">
        <f t="shared" si="1"/>
        <v>5550</v>
      </c>
      <c r="P28" s="198">
        <f>Sheet21!N22</f>
        <v>32218.04</v>
      </c>
      <c r="Q28" s="199">
        <f>Sheet21!N23</f>
        <v>9</v>
      </c>
      <c r="R28" s="198">
        <f>Sheet21!N24</f>
        <v>32967.800000000003</v>
      </c>
      <c r="S28" s="198">
        <f t="shared" si="3"/>
        <v>654078.8600000001</v>
      </c>
    </row>
    <row r="29" spans="1:19" ht="15.75" x14ac:dyDescent="0.25">
      <c r="A29" s="195">
        <v>43943</v>
      </c>
      <c r="B29" s="196">
        <f>'Feb stream I '!I26</f>
        <v>0.88888888888891415</v>
      </c>
      <c r="C29" s="196">
        <f>'Feb stream II  '!I26</f>
        <v>0.73611111111111427</v>
      </c>
      <c r="D29" s="196">
        <f>'Feb stream III '!I26</f>
        <v>0.74305555555554292</v>
      </c>
      <c r="E29" s="163">
        <f t="shared" si="2"/>
        <v>2.3680555555555713</v>
      </c>
      <c r="F29" s="300">
        <f>Sheet22!$K$4+Sheet22!$K$9+Sheet22!$K$14</f>
        <v>469</v>
      </c>
      <c r="G29" s="300">
        <f>Sheet22!$K$5+Sheet22!$K$10+Sheet22!$K$15</f>
        <v>87</v>
      </c>
      <c r="H29" s="300">
        <f>Sheet22!$K$6+Sheet22!$K$11+Sheet22!$K$16</f>
        <v>0</v>
      </c>
      <c r="I29" s="300">
        <f>Sheet22!$K$7+Sheet22!$K$12+Sheet22!$K$17</f>
        <v>104</v>
      </c>
      <c r="J29" s="300">
        <f>Sheet22!$L$4+Sheet22!$L$9+Sheet22!$L$14</f>
        <v>160</v>
      </c>
      <c r="K29" s="300">
        <f>Sheet22!$L$5+Sheet22!$L$10+Sheet22!$L$15</f>
        <v>0</v>
      </c>
      <c r="L29" s="300">
        <f>Sheet22!$L$6+Sheet22!$L$11+Sheet22!$L$16</f>
        <v>0</v>
      </c>
      <c r="M29" s="300">
        <f>Sheet22!$L$7+Sheet22!$L$12+Sheet22!$M$17</f>
        <v>4</v>
      </c>
      <c r="N29" s="198">
        <f t="shared" si="0"/>
        <v>26065</v>
      </c>
      <c r="O29" s="198">
        <f t="shared" si="1"/>
        <v>8000</v>
      </c>
      <c r="P29" s="198">
        <f>Sheet22!N22</f>
        <v>34065</v>
      </c>
      <c r="Q29" s="199">
        <f>Sheet22!N23</f>
        <v>9</v>
      </c>
      <c r="R29" s="198">
        <v>33190.93</v>
      </c>
      <c r="S29" s="198">
        <f t="shared" si="3"/>
        <v>687269.79000000015</v>
      </c>
    </row>
    <row r="30" spans="1:19" ht="15.75" x14ac:dyDescent="0.25">
      <c r="A30" s="195">
        <v>43944</v>
      </c>
      <c r="B30" s="196">
        <f>'Feb stream I '!I27</f>
        <v>0.67361111111111427</v>
      </c>
      <c r="C30" s="196">
        <f>'Feb stream II  '!I27</f>
        <v>0.82291666666665719</v>
      </c>
      <c r="D30" s="196">
        <f>'Feb stream III '!I27</f>
        <v>0.85416666666665719</v>
      </c>
      <c r="E30" s="163">
        <f t="shared" si="2"/>
        <v>2.3506944444444287</v>
      </c>
      <c r="F30" s="300">
        <f>Sheet23!$K$4+Sheet23!$K$9+Sheet23!$K$14</f>
        <v>370</v>
      </c>
      <c r="G30" s="300">
        <f>Sheet23!$K$5+Sheet23!$K$10+Sheet23!$K$15</f>
        <v>22</v>
      </c>
      <c r="H30" s="300">
        <f>Sheet23!$K$6+Sheet23!$K$11+Sheet23!$K$16</f>
        <v>46</v>
      </c>
      <c r="I30" s="300">
        <f>Sheet23!$K$7+Sheet23!$K$12+Sheet23!$K$17</f>
        <v>101</v>
      </c>
      <c r="J30" s="300">
        <f>Sheet23!$L$4+Sheet23!$L$9+Sheet23!$L$14</f>
        <v>218</v>
      </c>
      <c r="K30" s="300">
        <f>Sheet23!$L$5+Sheet23!$L$10+Sheet23!$L$15</f>
        <v>28</v>
      </c>
      <c r="L30" s="300">
        <f>Sheet23!$L$6+Sheet23!$L$11+Sheet23!$L$16</f>
        <v>5</v>
      </c>
      <c r="M30" s="300">
        <f>Sheet23!$L$7+Sheet23!$L$12+Sheet23!$M$17</f>
        <v>47</v>
      </c>
      <c r="N30" s="198">
        <f t="shared" si="0"/>
        <v>22857</v>
      </c>
      <c r="O30" s="198">
        <f t="shared" si="1"/>
        <v>11906</v>
      </c>
      <c r="P30" s="198">
        <f>Sheet23!N22</f>
        <v>34763</v>
      </c>
      <c r="Q30" s="199">
        <f>Sheet23!N23</f>
        <v>9</v>
      </c>
      <c r="R30" s="198">
        <f>Sheet23!N24</f>
        <v>32782.870000000003</v>
      </c>
      <c r="S30" s="198">
        <f t="shared" si="3"/>
        <v>720052.66000000015</v>
      </c>
    </row>
    <row r="31" spans="1:19" ht="15.75" x14ac:dyDescent="0.25">
      <c r="A31" s="195">
        <v>43945</v>
      </c>
      <c r="B31" s="196">
        <f>'Feb stream I '!I28</f>
        <v>0.51041666666668561</v>
      </c>
      <c r="C31" s="196">
        <f>'Feb stream II  '!I28</f>
        <v>0.86458333333334281</v>
      </c>
      <c r="D31" s="196">
        <f>'Feb stream III '!I28</f>
        <v>0.82638888888891415</v>
      </c>
      <c r="E31" s="163">
        <f t="shared" si="2"/>
        <v>2.2013888888889426</v>
      </c>
      <c r="F31" s="300">
        <f>Sheet24!$K$4+Sheet24!$K$9+Sheet24!$K$14</f>
        <v>379</v>
      </c>
      <c r="G31" s="300">
        <f>Sheet24!$K$5+Sheet24!$K$10+Sheet24!$K$15</f>
        <v>34</v>
      </c>
      <c r="H31" s="300">
        <f>Sheet24!$K$6+Sheet24!$K$11+Sheet24!$K$16</f>
        <v>33</v>
      </c>
      <c r="I31" s="300">
        <f>Sheet24!$K$7+Sheet24!$K$12+Sheet24!$K$17</f>
        <v>99</v>
      </c>
      <c r="J31" s="300">
        <f>Sheet24!$L$4+Sheet24!$L$9+Sheet24!$L$14</f>
        <v>215</v>
      </c>
      <c r="K31" s="300">
        <f>Sheet24!$L$5+Sheet24!$L$10+Sheet24!$L$15</f>
        <v>0</v>
      </c>
      <c r="L31" s="300">
        <f>Sheet24!$L$6+Sheet24!$L$11+Sheet24!$L$16</f>
        <v>13</v>
      </c>
      <c r="M31" s="300">
        <f>Sheet24!$L$7+Sheet24!$L$12+Sheet24!$M$17</f>
        <v>79</v>
      </c>
      <c r="N31" s="198">
        <f t="shared" si="0"/>
        <v>22092</v>
      </c>
      <c r="O31" s="198">
        <f t="shared" si="1"/>
        <v>11400</v>
      </c>
      <c r="P31" s="198">
        <f>Sheet24!N22</f>
        <v>33492</v>
      </c>
      <c r="Q31" s="199">
        <f>Sheet24!N23</f>
        <v>9</v>
      </c>
      <c r="R31" s="198">
        <v>32049.25</v>
      </c>
      <c r="S31" s="198">
        <f t="shared" si="3"/>
        <v>752101.91000000015</v>
      </c>
    </row>
    <row r="32" spans="1:19" ht="15.75" x14ac:dyDescent="0.25">
      <c r="A32" s="195">
        <v>43946</v>
      </c>
      <c r="B32" s="196">
        <f>'Feb stream I '!I29</f>
        <v>0.70138888888888573</v>
      </c>
      <c r="C32" s="196">
        <f>'Feb stream II  '!I29</f>
        <v>0.83333333333331439</v>
      </c>
      <c r="D32" s="196">
        <f>'Feb stream III '!I29</f>
        <v>0.75694444444445708</v>
      </c>
      <c r="E32" s="163">
        <f t="shared" si="2"/>
        <v>2.2916666666666572</v>
      </c>
      <c r="F32" s="300">
        <f>Sheet25!$K$4+Sheet25!$K$9+Sheet25!$K$14</f>
        <v>285</v>
      </c>
      <c r="G32" s="300">
        <f>Sheet25!$K$5+Sheet25!$K$10+Sheet25!$K$15</f>
        <v>10</v>
      </c>
      <c r="H32" s="300">
        <f>Sheet25!$K$6+Sheet25!$K$11+Sheet25!$K$16</f>
        <v>78</v>
      </c>
      <c r="I32" s="300">
        <f>Sheet25!$K$7+Sheet25!$K$12+Sheet25!$K$17</f>
        <v>60</v>
      </c>
      <c r="J32" s="300">
        <f>Sheet25!$L$4+Sheet25!$L$9+Sheet25!$L$14</f>
        <v>157</v>
      </c>
      <c r="K32" s="300">
        <f>Sheet25!$L$5+Sheet25!$L$10+Sheet25!$L$15</f>
        <v>0</v>
      </c>
      <c r="L32" s="300">
        <f>Sheet25!$L$6+Sheet25!$L$11+Sheet25!$L$16</f>
        <v>38</v>
      </c>
      <c r="M32" s="300">
        <f>Sheet25!$L$7+Sheet25!$L$12+Sheet25!$M$17</f>
        <v>10</v>
      </c>
      <c r="N32" s="198">
        <f t="shared" si="0"/>
        <v>24385.93</v>
      </c>
      <c r="O32" s="198">
        <f t="shared" si="1"/>
        <v>9750</v>
      </c>
      <c r="P32" s="198">
        <f>Sheet25!N22</f>
        <v>34135.93</v>
      </c>
      <c r="Q32" s="199">
        <f>Sheet25!N23</f>
        <v>7</v>
      </c>
      <c r="R32" s="198">
        <f>Sheet25!N24</f>
        <v>25414.02</v>
      </c>
      <c r="S32" s="198">
        <f t="shared" si="3"/>
        <v>777515.93000000017</v>
      </c>
    </row>
    <row r="33" spans="1:21" ht="15.75" x14ac:dyDescent="0.25">
      <c r="A33" s="195">
        <v>43947</v>
      </c>
      <c r="B33" s="196">
        <f>'Feb stream I '!I30</f>
        <v>0.73263888888888573</v>
      </c>
      <c r="C33" s="196">
        <f>'Feb stream II  '!I30</f>
        <v>0.55208333333334281</v>
      </c>
      <c r="D33" s="196">
        <f>'Feb stream III '!I30</f>
        <v>0.82638888888888573</v>
      </c>
      <c r="E33" s="163">
        <f t="shared" si="2"/>
        <v>2.1111111111111143</v>
      </c>
      <c r="F33" s="300">
        <f>Sheet26!$K$4+Sheet26!$K$9+Sheet26!$K$14</f>
        <v>322</v>
      </c>
      <c r="G33" s="300">
        <f>Sheet26!$K$5+Sheet26!$K$10+Sheet26!$K$15</f>
        <v>21</v>
      </c>
      <c r="H33" s="300">
        <f>Sheet26!$K$6+Sheet26!$K$11+Sheet26!$K$16</f>
        <v>3</v>
      </c>
      <c r="I33" s="300">
        <f>Sheet26!$K$7+Sheet26!$K$12+Sheet26!$K$17</f>
        <v>112</v>
      </c>
      <c r="J33" s="300">
        <f>Sheet26!$L$4+Sheet26!$L$9+Sheet26!$L$14</f>
        <v>218</v>
      </c>
      <c r="K33" s="300">
        <f>Sheet26!$L$5+Sheet26!$L$10+Sheet26!$L$15</f>
        <v>0</v>
      </c>
      <c r="L33" s="300">
        <f>Sheet26!$L$6+Sheet26!$L$11+Sheet26!$L$16</f>
        <v>0</v>
      </c>
      <c r="M33" s="300">
        <f>Sheet26!$L$7+Sheet26!$L$12+Sheet26!$M$17</f>
        <v>128</v>
      </c>
      <c r="N33" s="198">
        <f t="shared" si="0"/>
        <v>18825.18</v>
      </c>
      <c r="O33" s="198">
        <f t="shared" si="1"/>
        <v>10900</v>
      </c>
      <c r="P33" s="198">
        <f>Sheet26!N22</f>
        <v>29725.18</v>
      </c>
      <c r="Q33" s="199">
        <f>Sheet26!N23</f>
        <v>8</v>
      </c>
      <c r="R33" s="198">
        <f>Sheet26!N24</f>
        <v>28981.88</v>
      </c>
      <c r="S33" s="198">
        <f t="shared" si="3"/>
        <v>806497.81000000017</v>
      </c>
    </row>
    <row r="34" spans="1:21" ht="15.75" x14ac:dyDescent="0.25">
      <c r="A34" s="195">
        <v>43948</v>
      </c>
      <c r="B34" s="196">
        <f>'Feb stream I '!I31</f>
        <v>0.83333333333331439</v>
      </c>
      <c r="C34" s="196">
        <f>'Feb stream II  '!I31</f>
        <v>0.69097222222225696</v>
      </c>
      <c r="D34" s="196">
        <f>'Feb stream III '!I31</f>
        <v>0.81597222222222854</v>
      </c>
      <c r="E34" s="163">
        <f t="shared" si="2"/>
        <v>2.3402777777777999</v>
      </c>
      <c r="F34" s="300">
        <f>Sheet27!$K$4+Sheet27!$K$9+Sheet27!$K$14</f>
        <v>413</v>
      </c>
      <c r="G34" s="300">
        <f>Sheet27!$K$5+Sheet27!$K$10+Sheet27!$K$15</f>
        <v>19</v>
      </c>
      <c r="H34" s="300">
        <f>Sheet27!$K$6+Sheet27!$K$11+Sheet27!$K$16</f>
        <v>5</v>
      </c>
      <c r="I34" s="300">
        <f>Sheet27!$K$7+Sheet27!$K$12+Sheet27!$K$17</f>
        <v>80</v>
      </c>
      <c r="J34" s="300">
        <f>Sheet27!$L$4+Sheet27!$L$9+Sheet27!$L$14</f>
        <v>202</v>
      </c>
      <c r="K34" s="300">
        <f>Sheet27!$L$5+Sheet27!$L$10+Sheet27!$L$15</f>
        <v>0</v>
      </c>
      <c r="L34" s="300">
        <f>Sheet27!$L$6+Sheet27!$L$11+Sheet27!$L$16</f>
        <v>0</v>
      </c>
      <c r="M34" s="300">
        <f>Sheet27!$L$7+Sheet27!$L$12+Sheet27!$M$17</f>
        <v>64</v>
      </c>
      <c r="N34" s="198">
        <f t="shared" si="0"/>
        <v>22953</v>
      </c>
      <c r="O34" s="198">
        <f t="shared" si="1"/>
        <v>10100</v>
      </c>
      <c r="P34" s="198">
        <f>Sheet27!N22</f>
        <v>33053</v>
      </c>
      <c r="Q34" s="199">
        <f>Sheet27!N23</f>
        <v>8</v>
      </c>
      <c r="R34" s="198">
        <v>29617</v>
      </c>
      <c r="S34" s="198">
        <f t="shared" si="3"/>
        <v>836114.81000000017</v>
      </c>
    </row>
    <row r="35" spans="1:21" ht="15.75" x14ac:dyDescent="0.25">
      <c r="A35" s="195">
        <v>43949</v>
      </c>
      <c r="B35" s="196">
        <f>'Feb stream I '!I32</f>
        <v>0.70138888888888573</v>
      </c>
      <c r="C35" s="196">
        <f>'Feb stream II  '!I32</f>
        <v>0.76736111111111427</v>
      </c>
      <c r="D35" s="196">
        <f>'Feb stream III '!I32</f>
        <v>0.79513888888888573</v>
      </c>
      <c r="E35" s="163">
        <f t="shared" si="2"/>
        <v>2.2638888888888857</v>
      </c>
      <c r="F35" s="300">
        <f>Sheet28!$K$4+Sheet28!$K$9+Sheet28!$K$14</f>
        <v>329</v>
      </c>
      <c r="G35" s="300">
        <f>Sheet28!$K$5+Sheet28!$K$10+Sheet28!$K$15</f>
        <v>17</v>
      </c>
      <c r="H35" s="300">
        <f>Sheet28!$K$6+Sheet28!$K$11+Sheet28!$K$16</f>
        <v>0</v>
      </c>
      <c r="I35" s="300">
        <f>Sheet28!$K$7+Sheet28!$K$12+Sheet28!$K$17</f>
        <v>196</v>
      </c>
      <c r="J35" s="300">
        <f>Sheet28!$L$4+Sheet28!$L$9+Sheet28!$L$14</f>
        <v>210</v>
      </c>
      <c r="K35" s="300">
        <f>Sheet28!$L$5+Sheet28!$L$10+Sheet28!$L$15</f>
        <v>0</v>
      </c>
      <c r="L35" s="300">
        <f>Sheet28!$L$6+Sheet28!$L$11+Sheet28!$L$16</f>
        <v>0</v>
      </c>
      <c r="M35" s="300">
        <f>Sheet28!$L$7+Sheet28!$L$12+Sheet28!$M$17</f>
        <v>136</v>
      </c>
      <c r="N35" s="198">
        <f t="shared" si="0"/>
        <v>18794.689999999999</v>
      </c>
      <c r="O35" s="198">
        <f t="shared" si="1"/>
        <v>10500</v>
      </c>
      <c r="P35" s="198">
        <f>Sheet28!N22</f>
        <v>29294.69</v>
      </c>
      <c r="Q35" s="199">
        <f>Sheet28!N23</f>
        <v>9</v>
      </c>
      <c r="R35" s="198">
        <f>Sheet28!N24</f>
        <v>32981.51</v>
      </c>
      <c r="S35" s="198">
        <f t="shared" si="3"/>
        <v>869096.32000000018</v>
      </c>
    </row>
    <row r="36" spans="1:21" ht="15.75" x14ac:dyDescent="0.25">
      <c r="A36" s="195">
        <v>43950</v>
      </c>
      <c r="B36" s="196">
        <f>'Feb stream I '!I33</f>
        <v>0.60763888888888573</v>
      </c>
      <c r="C36" s="196">
        <f>'Feb stream II  '!I33</f>
        <v>0.875</v>
      </c>
      <c r="D36" s="196">
        <f>'Feb stream III '!I33</f>
        <v>0.875</v>
      </c>
      <c r="E36" s="163">
        <f t="shared" si="2"/>
        <v>2.3576388888888857</v>
      </c>
      <c r="F36" s="300">
        <f>Sheet29!$K$4+Sheet29!$K$9+Sheet29!$K$14</f>
        <v>334</v>
      </c>
      <c r="G36" s="300">
        <f>Sheet29!$K$5+Sheet29!$K$10+Sheet29!$K$15</f>
        <v>10</v>
      </c>
      <c r="H36" s="300">
        <f>Sheet29!$K$6+Sheet29!$K$11+Sheet29!$K$16</f>
        <v>10</v>
      </c>
      <c r="I36" s="300">
        <f>Sheet29!$K$7+Sheet29!$K$12+Sheet29!$K$17</f>
        <v>115</v>
      </c>
      <c r="J36" s="300">
        <f>Sheet29!$L$4+Sheet29!$L$9+Sheet29!$L$14</f>
        <v>215</v>
      </c>
      <c r="K36" s="300">
        <f>Sheet29!$L$5+Sheet29!$L$10+Sheet29!$L$15</f>
        <v>0</v>
      </c>
      <c r="L36" s="300">
        <f>Sheet29!$L$6+Sheet29!$L$11+Sheet29!$L$16</f>
        <v>0</v>
      </c>
      <c r="M36" s="300">
        <f>Sheet29!$L$7+Sheet29!$L$12+Sheet29!$M$17</f>
        <v>161</v>
      </c>
      <c r="N36" s="198">
        <f t="shared" si="0"/>
        <v>19591.150000000001</v>
      </c>
      <c r="O36" s="198">
        <f t="shared" si="1"/>
        <v>10750</v>
      </c>
      <c r="P36" s="198">
        <f>Sheet29!N22</f>
        <v>30341.15</v>
      </c>
      <c r="Q36" s="199">
        <f>Sheet29!N23</f>
        <v>8</v>
      </c>
      <c r="R36" s="198">
        <f>Sheet29!N24</f>
        <v>29469.66</v>
      </c>
      <c r="S36" s="198">
        <f t="shared" si="3"/>
        <v>898565.98000000021</v>
      </c>
    </row>
    <row r="37" spans="1:21" ht="15.75" x14ac:dyDescent="0.25">
      <c r="A37" s="195">
        <v>43951</v>
      </c>
      <c r="B37" s="196">
        <f>'Feb stream I '!I34</f>
        <v>0.5625</v>
      </c>
      <c r="C37" s="196">
        <f>'Feb stream II  '!I34</f>
        <v>0.8125</v>
      </c>
      <c r="D37" s="196">
        <f>'Feb stream III '!I34</f>
        <v>0.69791666666668561</v>
      </c>
      <c r="E37" s="163">
        <f t="shared" ref="E37" si="4">SUM(B37:D37)</f>
        <v>2.0729166666666856</v>
      </c>
      <c r="F37" s="300">
        <f>'Sheet 30'!K4+'Sheet 30'!K14+'Sheet 30'!K14</f>
        <v>410</v>
      </c>
      <c r="G37" s="300">
        <f>'Sheet 30'!K5+'Sheet 30'!K10+'Sheet 30'!K15</f>
        <v>28</v>
      </c>
      <c r="H37" s="300">
        <f>'Sheet 30'!K6+'Sheet 30'!K11+'Sheet 30'!K16</f>
        <v>5</v>
      </c>
      <c r="I37" s="300">
        <f>'Sheet 30'!K7+'Sheet 30'!K12+'Sheet 30'!K17</f>
        <v>115</v>
      </c>
      <c r="J37" s="300">
        <f>'Sheet 30'!L4+'Sheet 30'!L9+'Sheet 30'!L14</f>
        <v>200</v>
      </c>
      <c r="K37" s="300">
        <f>'Sheet 30'!L5+'Sheet 30'!L10+'Sheet 30'!L15</f>
        <v>0</v>
      </c>
      <c r="L37" s="300">
        <f>'Sheet 30'!L6+'Sheet 30'!L11+'Sheet 30'!L16</f>
        <v>0</v>
      </c>
      <c r="M37" s="198">
        <f>'Sheet 30'!L7+'Sheet 30'!L12+'Sheet 30'!L17</f>
        <v>158</v>
      </c>
      <c r="N37" s="198">
        <f t="shared" si="0"/>
        <v>16824.900000000001</v>
      </c>
      <c r="O37" s="198">
        <f t="shared" si="1"/>
        <v>10000</v>
      </c>
      <c r="P37" s="198">
        <f>'Sheet 30'!N22</f>
        <v>26824.9</v>
      </c>
      <c r="Q37" s="199">
        <f>'Sheet 30'!N23</f>
        <v>8</v>
      </c>
      <c r="R37" s="198">
        <v>30534.49</v>
      </c>
      <c r="S37" s="198">
        <f t="shared" ref="S37" si="5">S36+R37</f>
        <v>929100.4700000002</v>
      </c>
    </row>
    <row r="38" spans="1:21" ht="15.75" x14ac:dyDescent="0.25">
      <c r="A38" s="197" t="s">
        <v>11</v>
      </c>
      <c r="B38" s="200">
        <f>SUM(B8:B37)</f>
        <v>21.40625</v>
      </c>
      <c r="C38" s="200">
        <f>SUM(C8:C37)</f>
        <v>22.934027777777828</v>
      </c>
      <c r="D38" s="200">
        <f>SUM(D8:D37)</f>
        <v>23.902777777777828</v>
      </c>
      <c r="E38" s="200">
        <f>SUM(E8:E37)</f>
        <v>68.243055555555657</v>
      </c>
      <c r="F38" s="198">
        <f t="shared" ref="F38:O38" si="6">SUM(F8:F37)</f>
        <v>12002</v>
      </c>
      <c r="G38" s="198">
        <f t="shared" si="6"/>
        <v>723</v>
      </c>
      <c r="H38" s="198">
        <f t="shared" si="6"/>
        <v>667</v>
      </c>
      <c r="I38" s="198">
        <f t="shared" si="6"/>
        <v>2867</v>
      </c>
      <c r="J38" s="198">
        <f t="shared" si="6"/>
        <v>5364</v>
      </c>
      <c r="K38" s="198">
        <f t="shared" si="6"/>
        <v>85</v>
      </c>
      <c r="L38" s="198">
        <f t="shared" si="6"/>
        <v>180</v>
      </c>
      <c r="M38" s="198">
        <f t="shared" si="6"/>
        <v>1710</v>
      </c>
      <c r="N38" s="198">
        <f t="shared" si="6"/>
        <v>674278.08000000007</v>
      </c>
      <c r="O38" s="198">
        <f t="shared" si="6"/>
        <v>279495</v>
      </c>
      <c r="P38" s="198">
        <f>SUM(P8:P37)</f>
        <v>953773.08000000019</v>
      </c>
      <c r="Q38" s="199">
        <f>SUM(Q8:Q37)</f>
        <v>252</v>
      </c>
      <c r="R38" s="198">
        <f>SUM(R8:R37)</f>
        <v>929100.4700000002</v>
      </c>
      <c r="S38" s="198">
        <f>R38</f>
        <v>929100.4700000002</v>
      </c>
    </row>
    <row r="39" spans="1:21" ht="15.75" x14ac:dyDescent="0.25">
      <c r="A39" s="189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90"/>
      <c r="R39" s="189"/>
      <c r="S39" s="189"/>
    </row>
    <row r="40" spans="1:21" ht="15.75" x14ac:dyDescent="0.25">
      <c r="A40" s="189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201">
        <f>O38+N38</f>
        <v>953773.08000000007</v>
      </c>
      <c r="P40" s="189"/>
      <c r="Q40" s="190"/>
      <c r="R40" s="189"/>
      <c r="S40" s="189"/>
      <c r="U40" s="138"/>
    </row>
    <row r="41" spans="1:21" ht="15.75" x14ac:dyDescent="0.25">
      <c r="A41" s="189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90"/>
      <c r="R41" s="189"/>
      <c r="S41" s="201"/>
    </row>
    <row r="42" spans="1:21" ht="15.75" x14ac:dyDescent="0.25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90"/>
      <c r="R42" s="189"/>
      <c r="S42" s="189"/>
    </row>
    <row r="43" spans="1:21" ht="15.75" x14ac:dyDescent="0.25">
      <c r="A43" s="189"/>
      <c r="B43" s="136"/>
      <c r="C43" s="136"/>
      <c r="D43" s="136" t="s">
        <v>206</v>
      </c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89"/>
    </row>
    <row r="44" spans="1:21" ht="15.75" x14ac:dyDescent="0.25">
      <c r="A44" s="189"/>
      <c r="B44" s="136"/>
      <c r="C44" s="136"/>
      <c r="D44" s="201" t="s">
        <v>110</v>
      </c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2"/>
      <c r="R44" s="136"/>
      <c r="S44" s="189"/>
    </row>
  </sheetData>
  <mergeCells count="4">
    <mergeCell ref="B6:E6"/>
    <mergeCell ref="F6:I6"/>
    <mergeCell ref="Q6:S6"/>
    <mergeCell ref="J6:M6"/>
  </mergeCells>
  <printOptions horizontalCentered="1"/>
  <pageMargins left="0.31496062992125984" right="0.31496062992125984" top="0.35433070866141736" bottom="0.35433070866141736" header="0.31496062992125984" footer="0.31496062992125984"/>
  <pageSetup paperSize="39" scale="87" orientation="portrait" horizontalDpi="180" verticalDpi="18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opLeftCell="A7" workbookViewId="0">
      <selection activeCell="V20" sqref="V20"/>
    </sheetView>
  </sheetViews>
  <sheetFormatPr defaultRowHeight="15" x14ac:dyDescent="0.25"/>
  <cols>
    <col min="1" max="1" width="10.5703125" customWidth="1"/>
    <col min="2" max="2" width="6" customWidth="1"/>
    <col min="3" max="4" width="9.140625" hidden="1" customWidth="1"/>
    <col min="5" max="5" width="6" customWidth="1"/>
    <col min="6" max="7" width="9.140625" hidden="1" customWidth="1"/>
    <col min="8" max="8" width="8" customWidth="1"/>
    <col min="9" max="9" width="10.7109375" customWidth="1"/>
    <col min="10" max="10" width="7" customWidth="1"/>
    <col min="11" max="11" width="7.5703125" customWidth="1"/>
    <col min="12" max="12" width="11.5703125" bestFit="1" customWidth="1"/>
    <col min="21" max="21" width="10.28515625" customWidth="1"/>
    <col min="22" max="22" width="35" customWidth="1"/>
  </cols>
  <sheetData>
    <row r="1" spans="1:22" ht="22.5" x14ac:dyDescent="0.3">
      <c r="A1" s="108" t="s">
        <v>399</v>
      </c>
    </row>
    <row r="2" spans="1:22" ht="21" thickBot="1" x14ac:dyDescent="0.35">
      <c r="A2" s="109" t="s">
        <v>115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spans="1:22" ht="15.75" x14ac:dyDescent="0.25">
      <c r="A3" s="111" t="s">
        <v>80</v>
      </c>
      <c r="B3" s="112" t="s">
        <v>95</v>
      </c>
      <c r="C3" s="116"/>
      <c r="D3" s="116"/>
      <c r="E3" s="116"/>
      <c r="F3" s="116"/>
      <c r="G3" s="116"/>
      <c r="H3" s="113"/>
      <c r="I3" s="114" t="s">
        <v>13</v>
      </c>
      <c r="J3" s="115" t="s">
        <v>96</v>
      </c>
      <c r="K3" s="116" t="s">
        <v>97</v>
      </c>
      <c r="L3" s="113"/>
      <c r="M3" s="113"/>
      <c r="N3" s="113"/>
      <c r="O3" s="117" t="s">
        <v>13</v>
      </c>
      <c r="P3" s="112" t="s">
        <v>98</v>
      </c>
      <c r="Q3" s="113"/>
      <c r="R3" s="118"/>
      <c r="S3" s="119"/>
      <c r="T3" s="120"/>
      <c r="U3" s="145"/>
      <c r="V3" s="121" t="s">
        <v>99</v>
      </c>
    </row>
    <row r="4" spans="1:22" ht="16.5" thickBot="1" x14ac:dyDescent="0.3">
      <c r="A4" s="122"/>
      <c r="B4" s="123" t="s">
        <v>100</v>
      </c>
      <c r="C4" s="123"/>
      <c r="D4" s="123"/>
      <c r="E4" s="123" t="s">
        <v>101</v>
      </c>
      <c r="F4" s="123"/>
      <c r="G4" s="123"/>
      <c r="H4" s="123" t="s">
        <v>102</v>
      </c>
      <c r="I4" s="124" t="s">
        <v>103</v>
      </c>
      <c r="J4" s="125"/>
      <c r="K4" s="126" t="s">
        <v>104</v>
      </c>
      <c r="L4" s="127" t="s">
        <v>105</v>
      </c>
      <c r="M4" s="127" t="s">
        <v>106</v>
      </c>
      <c r="N4" s="127" t="s">
        <v>107</v>
      </c>
      <c r="O4" s="128" t="s">
        <v>44</v>
      </c>
      <c r="P4" s="127" t="s">
        <v>104</v>
      </c>
      <c r="Q4" s="127" t="s">
        <v>105</v>
      </c>
      <c r="R4" s="127" t="s">
        <v>106</v>
      </c>
      <c r="S4" s="127" t="s">
        <v>107</v>
      </c>
      <c r="T4" s="128" t="s">
        <v>44</v>
      </c>
      <c r="U4" s="146"/>
      <c r="V4" s="129"/>
    </row>
    <row r="5" spans="1:22" ht="15.75" x14ac:dyDescent="0.25">
      <c r="A5" s="142">
        <v>43922</v>
      </c>
      <c r="B5" s="143">
        <f>Sheet1!D21</f>
        <v>0.26388888888891415</v>
      </c>
      <c r="C5" s="143">
        <f>Sheet1!E21</f>
        <v>206.60763888888889</v>
      </c>
      <c r="D5" s="143">
        <f>Sheet1!F21</f>
        <v>206.875</v>
      </c>
      <c r="E5" s="143">
        <f>Sheet1!G21</f>
        <v>0.26736111111111427</v>
      </c>
      <c r="F5" s="143">
        <f>Sheet1!H21</f>
        <v>206.9375</v>
      </c>
      <c r="G5" s="143">
        <f>Sheet1!I21</f>
        <v>207.20833333333334</v>
      </c>
      <c r="H5" s="143">
        <f>Sheet1!J21</f>
        <v>0.27083333333334281</v>
      </c>
      <c r="I5" s="144">
        <f>B5+E5+H5</f>
        <v>0.80208333333337123</v>
      </c>
      <c r="J5" s="143">
        <v>0.18055555555555555</v>
      </c>
      <c r="K5" s="143">
        <v>0</v>
      </c>
      <c r="L5" s="143">
        <v>1.7361111111111112E-2</v>
      </c>
      <c r="M5" s="143">
        <v>0</v>
      </c>
      <c r="N5" s="143">
        <v>0</v>
      </c>
      <c r="O5" s="144">
        <f>SUM(K5:N5)</f>
        <v>1.7361111111111112E-2</v>
      </c>
      <c r="P5" s="143">
        <v>0</v>
      </c>
      <c r="Q5" s="143">
        <v>0</v>
      </c>
      <c r="R5" s="143">
        <v>0</v>
      </c>
      <c r="S5" s="143">
        <v>0</v>
      </c>
      <c r="T5" s="144">
        <f>SUM(P5:S5)</f>
        <v>0</v>
      </c>
      <c r="U5" s="147">
        <f>I5+O5+J5+T5</f>
        <v>1.000000000000038</v>
      </c>
      <c r="V5" s="131"/>
    </row>
    <row r="6" spans="1:22" ht="15.75" x14ac:dyDescent="0.25">
      <c r="A6" s="142">
        <v>43923</v>
      </c>
      <c r="B6" s="143">
        <f>Sheet2!D21</f>
        <v>0.25</v>
      </c>
      <c r="C6" s="143">
        <f>Sheet2!E21</f>
        <v>206.58333333333334</v>
      </c>
      <c r="D6" s="143">
        <f>Sheet2!F21</f>
        <v>206.875</v>
      </c>
      <c r="E6" s="143">
        <f>Sheet2!G21</f>
        <v>0.29166666666665719</v>
      </c>
      <c r="F6" s="143">
        <f>Sheet2!H21</f>
        <v>206.95833333333334</v>
      </c>
      <c r="G6" s="143">
        <f>Sheet2!I21</f>
        <v>207.20833333333334</v>
      </c>
      <c r="H6" s="143">
        <f>Sheet2!J21</f>
        <v>0.25</v>
      </c>
      <c r="I6" s="144">
        <f t="shared" ref="I6:I33" si="0">B6+E6+H6</f>
        <v>0.79166666666665719</v>
      </c>
      <c r="J6" s="143">
        <v>0.20833333333333334</v>
      </c>
      <c r="K6" s="143">
        <v>0</v>
      </c>
      <c r="L6" s="143">
        <v>0</v>
      </c>
      <c r="M6" s="143">
        <v>0</v>
      </c>
      <c r="N6" s="143">
        <v>0</v>
      </c>
      <c r="O6" s="144">
        <f t="shared" ref="O6:O34" si="1">SUM(K6:N6)</f>
        <v>0</v>
      </c>
      <c r="P6" s="143">
        <v>0</v>
      </c>
      <c r="Q6" s="143">
        <v>0</v>
      </c>
      <c r="R6" s="143">
        <v>0</v>
      </c>
      <c r="S6" s="143">
        <v>0</v>
      </c>
      <c r="T6" s="144">
        <f t="shared" ref="T6:T34" si="2">SUM(P6:S6)</f>
        <v>0</v>
      </c>
      <c r="U6" s="147">
        <f t="shared" ref="U6:U33" si="3">I6+O6+J6+T6</f>
        <v>0.99999999999999056</v>
      </c>
      <c r="V6" s="131"/>
    </row>
    <row r="7" spans="1:22" ht="15.75" x14ac:dyDescent="0.25">
      <c r="A7" s="142">
        <v>43924</v>
      </c>
      <c r="B7" s="143">
        <f>Sheet3!D21</f>
        <v>0.29861111111111427</v>
      </c>
      <c r="C7" s="143">
        <f>Sheet3!E21</f>
        <v>206.65972222222223</v>
      </c>
      <c r="D7" s="143">
        <f>Sheet3!F21</f>
        <v>206.875</v>
      </c>
      <c r="E7" s="143">
        <f>Sheet3!G21</f>
        <v>0.21527777777777146</v>
      </c>
      <c r="F7" s="143">
        <f>Sheet3!H21</f>
        <v>206.95833333333334</v>
      </c>
      <c r="G7" s="143">
        <f>Sheet3!I21</f>
        <v>207.16666666666666</v>
      </c>
      <c r="H7" s="143">
        <f>Sheet3!J21</f>
        <v>0.20833333333331439</v>
      </c>
      <c r="I7" s="144">
        <f t="shared" si="0"/>
        <v>0.72222222222220012</v>
      </c>
      <c r="J7" s="143">
        <v>0.16666666666666666</v>
      </c>
      <c r="K7" s="143">
        <v>0</v>
      </c>
      <c r="L7" s="143">
        <v>0</v>
      </c>
      <c r="M7" s="143">
        <v>0.1111111111111111</v>
      </c>
      <c r="N7" s="143">
        <v>0</v>
      </c>
      <c r="O7" s="144">
        <f t="shared" si="1"/>
        <v>0.1111111111111111</v>
      </c>
      <c r="P7" s="143">
        <v>0</v>
      </c>
      <c r="Q7" s="143">
        <v>0</v>
      </c>
      <c r="R7" s="143">
        <v>0</v>
      </c>
      <c r="S7" s="143">
        <v>0</v>
      </c>
      <c r="T7" s="144">
        <f t="shared" si="2"/>
        <v>0</v>
      </c>
      <c r="U7" s="147">
        <f t="shared" si="3"/>
        <v>0.99999999999997791</v>
      </c>
      <c r="V7" s="131" t="s">
        <v>170</v>
      </c>
    </row>
    <row r="8" spans="1:22" ht="15.75" x14ac:dyDescent="0.25">
      <c r="A8" s="142">
        <v>43925</v>
      </c>
      <c r="B8" s="143">
        <f>Sheet4!D21</f>
        <v>0.26041666666665719</v>
      </c>
      <c r="C8" s="143">
        <f>Sheet4!E21</f>
        <v>206.58333333333334</v>
      </c>
      <c r="D8" s="143">
        <f>Sheet4!F21</f>
        <v>206.875</v>
      </c>
      <c r="E8" s="143">
        <f>Sheet4!G21</f>
        <v>0.29166666666665719</v>
      </c>
      <c r="F8" s="143">
        <f>Sheet4!H21</f>
        <v>206.95833333333334</v>
      </c>
      <c r="G8" s="143">
        <f>Sheet4!I21</f>
        <v>207.10416666666666</v>
      </c>
      <c r="H8" s="143">
        <f>Sheet4!J21</f>
        <v>0.14583333333331439</v>
      </c>
      <c r="I8" s="144">
        <f t="shared" si="0"/>
        <v>0.69791666666662877</v>
      </c>
      <c r="J8" s="143">
        <v>0.13541666666666666</v>
      </c>
      <c r="K8" s="143">
        <v>0</v>
      </c>
      <c r="L8" s="143">
        <v>0</v>
      </c>
      <c r="M8" s="143">
        <v>0</v>
      </c>
      <c r="N8" s="143">
        <v>0</v>
      </c>
      <c r="O8" s="144">
        <f t="shared" si="1"/>
        <v>0</v>
      </c>
      <c r="P8" s="143">
        <v>0.16666666666666666</v>
      </c>
      <c r="Q8" s="143">
        <v>0</v>
      </c>
      <c r="R8" s="143">
        <v>0</v>
      </c>
      <c r="S8" s="143">
        <v>0</v>
      </c>
      <c r="T8" s="144">
        <f t="shared" si="2"/>
        <v>0.16666666666666666</v>
      </c>
      <c r="U8" s="147">
        <f t="shared" si="3"/>
        <v>0.99999999999996203</v>
      </c>
      <c r="V8" s="131"/>
    </row>
    <row r="9" spans="1:22" ht="15.75" x14ac:dyDescent="0.25">
      <c r="A9" s="142">
        <v>43926</v>
      </c>
      <c r="B9" s="143">
        <f>Sheet5!D21</f>
        <v>0.26041666666665719</v>
      </c>
      <c r="C9" s="143">
        <f>Sheet5!E21</f>
        <v>206.64236111111111</v>
      </c>
      <c r="D9" s="143">
        <f>Sheet5!F21</f>
        <v>206.875</v>
      </c>
      <c r="E9" s="143">
        <f>Sheet5!G21</f>
        <v>0.23263888888888573</v>
      </c>
      <c r="F9" s="143">
        <f>Sheet5!H21</f>
        <v>206.95833333333334</v>
      </c>
      <c r="G9" s="143">
        <f>Sheet5!I21</f>
        <v>207.20833333333334</v>
      </c>
      <c r="H9" s="143">
        <f>Sheet5!J21</f>
        <v>0.25</v>
      </c>
      <c r="I9" s="144">
        <f t="shared" si="0"/>
        <v>0.74305555555554292</v>
      </c>
      <c r="J9" s="143">
        <v>0.17361111111111113</v>
      </c>
      <c r="K9" s="143">
        <v>8.3333333333333329E-2</v>
      </c>
      <c r="L9" s="143">
        <v>0</v>
      </c>
      <c r="M9" s="143">
        <v>0</v>
      </c>
      <c r="N9" s="143">
        <v>0</v>
      </c>
      <c r="O9" s="144">
        <f t="shared" si="1"/>
        <v>8.3333333333333329E-2</v>
      </c>
      <c r="P9" s="143">
        <v>0</v>
      </c>
      <c r="Q9" s="143">
        <v>0</v>
      </c>
      <c r="R9" s="143">
        <v>0</v>
      </c>
      <c r="S9" s="143">
        <v>0</v>
      </c>
      <c r="T9" s="144">
        <f t="shared" si="2"/>
        <v>0</v>
      </c>
      <c r="U9" s="147">
        <f t="shared" si="3"/>
        <v>0.99999999999998745</v>
      </c>
      <c r="V9" s="131"/>
    </row>
    <row r="10" spans="1:22" ht="30" x14ac:dyDescent="0.25">
      <c r="A10" s="142">
        <v>43927</v>
      </c>
      <c r="B10" s="143">
        <f>Sheet6!D21</f>
        <v>0</v>
      </c>
      <c r="C10" s="143">
        <f>Sheet6!E21</f>
        <v>206.65277777777777</v>
      </c>
      <c r="D10" s="143">
        <f>Sheet6!F21</f>
        <v>206.83333333333334</v>
      </c>
      <c r="E10" s="143">
        <f>Sheet6!G21</f>
        <v>0.18055555555557135</v>
      </c>
      <c r="F10" s="143">
        <f>Sheet6!H21</f>
        <v>206.94444444444446</v>
      </c>
      <c r="G10" s="143">
        <f>Sheet6!I21</f>
        <v>207.20833333333334</v>
      </c>
      <c r="H10" s="143">
        <f>Sheet6!J21</f>
        <v>0.26388888888888573</v>
      </c>
      <c r="I10" s="144">
        <f t="shared" si="0"/>
        <v>0.44444444444445708</v>
      </c>
      <c r="J10" s="143">
        <v>0.1388888888888889</v>
      </c>
      <c r="K10" s="143">
        <v>0</v>
      </c>
      <c r="L10" s="143">
        <v>0</v>
      </c>
      <c r="M10" s="143">
        <v>0</v>
      </c>
      <c r="N10" s="143">
        <v>0</v>
      </c>
      <c r="O10" s="144">
        <f t="shared" si="1"/>
        <v>0</v>
      </c>
      <c r="P10" s="143">
        <v>0</v>
      </c>
      <c r="Q10" s="143">
        <v>0.41666666666666669</v>
      </c>
      <c r="R10" s="143">
        <v>0</v>
      </c>
      <c r="S10" s="143">
        <v>0</v>
      </c>
      <c r="T10" s="144">
        <f t="shared" si="2"/>
        <v>0.41666666666666669</v>
      </c>
      <c r="U10" s="147">
        <f t="shared" si="3"/>
        <v>1.0000000000000127</v>
      </c>
      <c r="V10" s="131" t="s">
        <v>362</v>
      </c>
    </row>
    <row r="11" spans="1:22" ht="15.75" x14ac:dyDescent="0.25">
      <c r="A11" s="142">
        <v>43928</v>
      </c>
      <c r="B11" s="143">
        <f>Sheet7!D21</f>
        <v>0.30208333333331439</v>
      </c>
      <c r="C11" s="143">
        <f>Sheet7!E21</f>
        <v>206.58333333333334</v>
      </c>
      <c r="D11" s="143">
        <f>Sheet7!F21</f>
        <v>206.875</v>
      </c>
      <c r="E11" s="143">
        <f>Sheet7!G21</f>
        <v>0.29166666666665719</v>
      </c>
      <c r="F11" s="143">
        <f>Sheet7!H21</f>
        <v>206.91666666666666</v>
      </c>
      <c r="G11" s="143">
        <f>Sheet7!I21</f>
        <v>207.20833333333334</v>
      </c>
      <c r="H11" s="143">
        <f>Sheet7!J21</f>
        <v>0.29166666666668561</v>
      </c>
      <c r="I11" s="144">
        <f t="shared" si="0"/>
        <v>0.88541666666665719</v>
      </c>
      <c r="J11" s="143">
        <v>0.11458333333333333</v>
      </c>
      <c r="K11" s="143">
        <v>0</v>
      </c>
      <c r="L11" s="143">
        <v>0</v>
      </c>
      <c r="M11" s="143">
        <v>0</v>
      </c>
      <c r="N11" s="143">
        <v>0</v>
      </c>
      <c r="O11" s="144">
        <f t="shared" si="1"/>
        <v>0</v>
      </c>
      <c r="P11" s="143">
        <v>0</v>
      </c>
      <c r="Q11" s="143">
        <v>0</v>
      </c>
      <c r="R11" s="143">
        <v>0</v>
      </c>
      <c r="S11" s="143">
        <v>0</v>
      </c>
      <c r="T11" s="144">
        <f t="shared" si="2"/>
        <v>0</v>
      </c>
      <c r="U11" s="147">
        <f t="shared" si="3"/>
        <v>0.99999999999999056</v>
      </c>
      <c r="V11" s="131"/>
    </row>
    <row r="12" spans="1:22" ht="15.75" x14ac:dyDescent="0.25">
      <c r="A12" s="142">
        <v>43929</v>
      </c>
      <c r="B12" s="143">
        <f>Sheet8!D21</f>
        <v>0.16666666666665719</v>
      </c>
      <c r="C12" s="143">
        <f>Sheet8!E21</f>
        <v>206.625</v>
      </c>
      <c r="D12" s="143">
        <f>Sheet8!F21</f>
        <v>206.875</v>
      </c>
      <c r="E12" s="143">
        <f>Sheet8!G21</f>
        <v>0.25</v>
      </c>
      <c r="F12" s="143">
        <f>Sheet8!H21</f>
        <v>206.91666666666666</v>
      </c>
      <c r="G12" s="143">
        <f>Sheet8!I21</f>
        <v>207.20833333333334</v>
      </c>
      <c r="H12" s="143">
        <f>Sheet8!J21</f>
        <v>0.29166666666668561</v>
      </c>
      <c r="I12" s="144">
        <f t="shared" si="0"/>
        <v>0.70833333333334281</v>
      </c>
      <c r="J12" s="143">
        <v>0.16666666666666666</v>
      </c>
      <c r="K12" s="143">
        <v>0</v>
      </c>
      <c r="L12" s="143">
        <v>0</v>
      </c>
      <c r="M12" s="143">
        <v>0.125</v>
      </c>
      <c r="N12" s="143">
        <v>0</v>
      </c>
      <c r="O12" s="144">
        <f t="shared" si="1"/>
        <v>0.125</v>
      </c>
      <c r="P12" s="143">
        <v>0</v>
      </c>
      <c r="Q12" s="143">
        <v>0</v>
      </c>
      <c r="R12" s="143">
        <v>0</v>
      </c>
      <c r="S12" s="143">
        <v>0</v>
      </c>
      <c r="T12" s="144">
        <f t="shared" si="2"/>
        <v>0</v>
      </c>
      <c r="U12" s="147">
        <f t="shared" si="3"/>
        <v>1.0000000000000095</v>
      </c>
      <c r="V12" s="131" t="s">
        <v>363</v>
      </c>
    </row>
    <row r="13" spans="1:22" ht="15.75" x14ac:dyDescent="0.25">
      <c r="A13" s="142">
        <v>43930</v>
      </c>
      <c r="B13" s="143">
        <f>Sheet9!D21</f>
        <v>9.375E-2</v>
      </c>
      <c r="C13" s="143">
        <f>Sheet9!E21</f>
        <v>206.70833333333334</v>
      </c>
      <c r="D13" s="143">
        <f>Sheet9!F21</f>
        <v>206.875</v>
      </c>
      <c r="E13" s="143">
        <f>Sheet9!G21</f>
        <v>0.16666666666665719</v>
      </c>
      <c r="F13" s="143">
        <f>Sheet9!H21</f>
        <v>206.89583333333334</v>
      </c>
      <c r="G13" s="143">
        <f>Sheet9!I21</f>
        <v>207.04166666666666</v>
      </c>
      <c r="H13" s="143">
        <f>Sheet9!J21</f>
        <v>0.14583333333331439</v>
      </c>
      <c r="I13" s="144">
        <f t="shared" si="0"/>
        <v>0.40624999999997158</v>
      </c>
      <c r="J13" s="143">
        <v>0.15277777777777776</v>
      </c>
      <c r="K13" s="143">
        <v>0</v>
      </c>
      <c r="L13" s="143">
        <v>0</v>
      </c>
      <c r="M13" s="143">
        <v>0</v>
      </c>
      <c r="N13" s="143">
        <v>0</v>
      </c>
      <c r="O13" s="144">
        <f t="shared" si="1"/>
        <v>0</v>
      </c>
      <c r="P13" s="143">
        <v>0</v>
      </c>
      <c r="Q13" s="143">
        <v>0</v>
      </c>
      <c r="R13" s="143">
        <v>0.44097222222222227</v>
      </c>
      <c r="S13" s="143">
        <v>0</v>
      </c>
      <c r="T13" s="144">
        <f t="shared" si="2"/>
        <v>0.44097222222222227</v>
      </c>
      <c r="U13" s="147">
        <f t="shared" si="3"/>
        <v>0.99999999999997158</v>
      </c>
      <c r="V13" s="131" t="s">
        <v>364</v>
      </c>
    </row>
    <row r="14" spans="1:22" ht="15.75" x14ac:dyDescent="0.25">
      <c r="A14" s="142">
        <v>43931</v>
      </c>
      <c r="B14" s="143">
        <f>Sheet10!D21</f>
        <v>0.28125</v>
      </c>
      <c r="C14" s="143">
        <f>Sheet10!E21</f>
        <v>206.61805555555554</v>
      </c>
      <c r="D14" s="143">
        <f>Sheet10!F21</f>
        <v>206.875</v>
      </c>
      <c r="E14" s="143">
        <f>Sheet10!G21</f>
        <v>0.25694444444445708</v>
      </c>
      <c r="F14" s="143">
        <f>Sheet10!H21</f>
        <v>206.91666666666666</v>
      </c>
      <c r="G14" s="143">
        <f>Sheet10!I21</f>
        <v>207.20833333333334</v>
      </c>
      <c r="H14" s="143">
        <f>Sheet10!J21</f>
        <v>0.29166666666668561</v>
      </c>
      <c r="I14" s="144">
        <f t="shared" si="0"/>
        <v>0.82986111111114269</v>
      </c>
      <c r="J14" s="143">
        <v>0.17013888888888887</v>
      </c>
      <c r="K14" s="143">
        <v>0</v>
      </c>
      <c r="L14" s="143">
        <v>0</v>
      </c>
      <c r="M14" s="143">
        <v>0</v>
      </c>
      <c r="N14" s="143">
        <v>0</v>
      </c>
      <c r="O14" s="144">
        <f t="shared" si="1"/>
        <v>0</v>
      </c>
      <c r="P14" s="143">
        <v>0</v>
      </c>
      <c r="Q14" s="143">
        <v>0</v>
      </c>
      <c r="R14" s="143">
        <v>0</v>
      </c>
      <c r="S14" s="143">
        <v>0</v>
      </c>
      <c r="T14" s="144">
        <f t="shared" si="2"/>
        <v>0</v>
      </c>
      <c r="U14" s="147">
        <f t="shared" si="3"/>
        <v>1.0000000000000315</v>
      </c>
      <c r="V14" s="131"/>
    </row>
    <row r="15" spans="1:22" ht="15.75" x14ac:dyDescent="0.25">
      <c r="A15" s="142">
        <v>43932</v>
      </c>
      <c r="B15" s="143">
        <f>Sheet11!D21</f>
        <v>0.28125</v>
      </c>
      <c r="C15" s="143">
        <f>Sheet11!E21</f>
        <v>206.58333333333334</v>
      </c>
      <c r="D15" s="143">
        <f>Sheet11!F21</f>
        <v>206.875</v>
      </c>
      <c r="E15" s="143">
        <f>Sheet11!G21</f>
        <v>0.29166666666665719</v>
      </c>
      <c r="F15" s="143">
        <f>Sheet11!H21</f>
        <v>206.91666666666666</v>
      </c>
      <c r="G15" s="143">
        <f>Sheet11!I21</f>
        <v>207.20833333333334</v>
      </c>
      <c r="H15" s="143">
        <f>Sheet11!J21</f>
        <v>0.29166666666668561</v>
      </c>
      <c r="I15" s="144">
        <f t="shared" si="0"/>
        <v>0.86458333333334281</v>
      </c>
      <c r="J15" s="143">
        <v>0.13541666666666666</v>
      </c>
      <c r="K15" s="143">
        <v>0</v>
      </c>
      <c r="L15" s="143">
        <v>0</v>
      </c>
      <c r="M15" s="143">
        <v>0</v>
      </c>
      <c r="N15" s="143">
        <v>0</v>
      </c>
      <c r="O15" s="144">
        <f t="shared" si="1"/>
        <v>0</v>
      </c>
      <c r="P15" s="143">
        <v>0</v>
      </c>
      <c r="Q15" s="143">
        <v>0</v>
      </c>
      <c r="R15" s="143">
        <v>0</v>
      </c>
      <c r="S15" s="143">
        <v>0</v>
      </c>
      <c r="T15" s="144">
        <f t="shared" si="2"/>
        <v>0</v>
      </c>
      <c r="U15" s="147">
        <f t="shared" si="3"/>
        <v>1.0000000000000095</v>
      </c>
      <c r="V15" s="131"/>
    </row>
    <row r="16" spans="1:22" ht="15.75" x14ac:dyDescent="0.25">
      <c r="A16" s="142">
        <v>43933</v>
      </c>
      <c r="B16" s="143">
        <f>Sheet12!D21</f>
        <v>0.24305555555554292</v>
      </c>
      <c r="C16" s="143">
        <f>Sheet12!E21</f>
        <v>206.625</v>
      </c>
      <c r="D16" s="143">
        <f>Sheet12!F21</f>
        <v>206.875</v>
      </c>
      <c r="E16" s="143">
        <f>Sheet12!G21</f>
        <v>0.25</v>
      </c>
      <c r="F16" s="143">
        <f>Sheet12!H21</f>
        <v>206.95833333333334</v>
      </c>
      <c r="G16" s="143">
        <f>Sheet12!I21</f>
        <v>207.16666666666666</v>
      </c>
      <c r="H16" s="143">
        <f>Sheet12!J21</f>
        <v>0.20833333333331439</v>
      </c>
      <c r="I16" s="144">
        <f t="shared" si="0"/>
        <v>0.70138888888885731</v>
      </c>
      <c r="J16" s="143">
        <v>0.17361111111111113</v>
      </c>
      <c r="K16" s="143">
        <v>0</v>
      </c>
      <c r="L16" s="143">
        <v>0</v>
      </c>
      <c r="M16" s="143">
        <v>0.125</v>
      </c>
      <c r="N16" s="143">
        <v>0</v>
      </c>
      <c r="O16" s="144">
        <f t="shared" si="1"/>
        <v>0.125</v>
      </c>
      <c r="P16" s="143">
        <v>0</v>
      </c>
      <c r="Q16" s="143">
        <v>0</v>
      </c>
      <c r="R16" s="143">
        <v>0</v>
      </c>
      <c r="S16" s="143">
        <v>0</v>
      </c>
      <c r="T16" s="144">
        <f t="shared" si="2"/>
        <v>0</v>
      </c>
      <c r="U16" s="147">
        <f t="shared" si="3"/>
        <v>0.99999999999996847</v>
      </c>
      <c r="V16" s="131" t="s">
        <v>365</v>
      </c>
    </row>
    <row r="17" spans="1:22" ht="15.75" x14ac:dyDescent="0.25">
      <c r="A17" s="142">
        <v>43934</v>
      </c>
      <c r="B17" s="143">
        <f>Sheet13!D21</f>
        <v>4.8611111111114269E-2</v>
      </c>
      <c r="C17" s="143">
        <f>Sheet13!E21</f>
        <v>206.59375</v>
      </c>
      <c r="D17" s="143">
        <f>Sheet13!F21</f>
        <v>206.71875</v>
      </c>
      <c r="E17" s="143">
        <f>Sheet13!G21</f>
        <v>0.125</v>
      </c>
      <c r="F17" s="143">
        <f>Sheet13!H21</f>
        <v>206.90972222222223</v>
      </c>
      <c r="G17" s="143">
        <f>Sheet13!I21</f>
        <v>207.20833333333334</v>
      </c>
      <c r="H17" s="143">
        <f>Sheet13!J21</f>
        <v>0.29861111111111427</v>
      </c>
      <c r="I17" s="144">
        <f t="shared" si="0"/>
        <v>0.47222222222222854</v>
      </c>
      <c r="J17" s="143">
        <v>0.19444444444444445</v>
      </c>
      <c r="K17" s="143">
        <v>8.3333333333333329E-2</v>
      </c>
      <c r="L17" s="143">
        <v>0.25</v>
      </c>
      <c r="M17" s="143">
        <v>0</v>
      </c>
      <c r="N17" s="143">
        <v>0</v>
      </c>
      <c r="O17" s="144">
        <f t="shared" si="1"/>
        <v>0.33333333333333331</v>
      </c>
      <c r="P17" s="143">
        <v>0</v>
      </c>
      <c r="Q17" s="143">
        <v>0</v>
      </c>
      <c r="R17" s="143">
        <v>0</v>
      </c>
      <c r="S17" s="143">
        <v>0</v>
      </c>
      <c r="T17" s="144">
        <f t="shared" si="2"/>
        <v>0</v>
      </c>
      <c r="U17" s="147">
        <f t="shared" si="3"/>
        <v>1.0000000000000062</v>
      </c>
      <c r="V17" s="131" t="s">
        <v>365</v>
      </c>
    </row>
    <row r="18" spans="1:22" ht="15.75" x14ac:dyDescent="0.25">
      <c r="A18" s="142">
        <v>43935</v>
      </c>
      <c r="B18" s="143">
        <f>Sheet14!D21</f>
        <v>0.17708333333334281</v>
      </c>
      <c r="C18" s="143">
        <f>Sheet14!E21</f>
        <v>206.58333333333334</v>
      </c>
      <c r="D18" s="143">
        <f>Sheet14!F21</f>
        <v>206.875</v>
      </c>
      <c r="E18" s="143">
        <f>Sheet14!G21</f>
        <v>0.29166666666665719</v>
      </c>
      <c r="F18" s="143">
        <f>Sheet14!H21</f>
        <v>206.92361111111111</v>
      </c>
      <c r="G18" s="143">
        <f>Sheet14!I21</f>
        <v>207.20833333333334</v>
      </c>
      <c r="H18" s="143">
        <f>Sheet14!J21</f>
        <v>0.28472222222222854</v>
      </c>
      <c r="I18" s="144">
        <f t="shared" si="0"/>
        <v>0.75347222222222854</v>
      </c>
      <c r="J18" s="143">
        <v>0.24652777777777779</v>
      </c>
      <c r="K18" s="143">
        <v>0</v>
      </c>
      <c r="L18" s="143">
        <v>0</v>
      </c>
      <c r="M18" s="143">
        <v>0</v>
      </c>
      <c r="N18" s="143">
        <v>0</v>
      </c>
      <c r="O18" s="144">
        <f t="shared" si="1"/>
        <v>0</v>
      </c>
      <c r="P18" s="143">
        <v>0</v>
      </c>
      <c r="Q18" s="143">
        <v>0</v>
      </c>
      <c r="R18" s="143">
        <v>0</v>
      </c>
      <c r="S18" s="143">
        <v>0</v>
      </c>
      <c r="T18" s="144">
        <f t="shared" si="2"/>
        <v>0</v>
      </c>
      <c r="U18" s="147">
        <f t="shared" si="3"/>
        <v>1.0000000000000062</v>
      </c>
      <c r="V18" s="131" t="s">
        <v>108</v>
      </c>
    </row>
    <row r="19" spans="1:22" ht="15.75" x14ac:dyDescent="0.25">
      <c r="A19" s="142">
        <v>43936</v>
      </c>
      <c r="B19" s="143">
        <f>Sheet15!D21</f>
        <v>0.18402777777779988</v>
      </c>
      <c r="C19" s="143">
        <f>Sheet14!E21</f>
        <v>206.58333333333334</v>
      </c>
      <c r="D19" s="143">
        <f>Sheet14!F21</f>
        <v>206.875</v>
      </c>
      <c r="E19" s="143">
        <f>Sheet15!G21</f>
        <v>0.29166666666665719</v>
      </c>
      <c r="F19" s="143">
        <f>Sheet14!H21</f>
        <v>206.92361111111111</v>
      </c>
      <c r="G19" s="143">
        <f>Sheet14!I21</f>
        <v>207.20833333333334</v>
      </c>
      <c r="H19" s="143">
        <f>Sheet15!J21</f>
        <v>0.20138888888888573</v>
      </c>
      <c r="I19" s="144">
        <f t="shared" si="0"/>
        <v>0.67708333333334281</v>
      </c>
      <c r="J19" s="143">
        <v>0.24652777777777779</v>
      </c>
      <c r="K19" s="143">
        <v>0</v>
      </c>
      <c r="L19" s="143">
        <v>7.6388888888888895E-2</v>
      </c>
      <c r="M19" s="143">
        <v>0</v>
      </c>
      <c r="N19" s="143">
        <v>0</v>
      </c>
      <c r="O19" s="144">
        <f t="shared" si="1"/>
        <v>7.6388888888888895E-2</v>
      </c>
      <c r="P19" s="143">
        <v>0</v>
      </c>
      <c r="Q19" s="143">
        <v>0</v>
      </c>
      <c r="R19" s="143">
        <v>0</v>
      </c>
      <c r="S19" s="143">
        <v>0</v>
      </c>
      <c r="T19" s="144">
        <f t="shared" si="2"/>
        <v>0</v>
      </c>
      <c r="U19" s="147">
        <f t="shared" si="3"/>
        <v>1.0000000000000093</v>
      </c>
      <c r="V19" s="131"/>
    </row>
    <row r="20" spans="1:22" ht="30" x14ac:dyDescent="0.25">
      <c r="A20" s="142">
        <v>43937</v>
      </c>
      <c r="B20" s="143">
        <f>Sheet16!D21</f>
        <v>0.13541666666665719</v>
      </c>
      <c r="C20" s="143">
        <f>Sheet16!E21</f>
        <v>206.54166666666666</v>
      </c>
      <c r="D20" s="143">
        <f>Sheet16!F21</f>
        <v>206.73958333333334</v>
      </c>
      <c r="E20" s="143">
        <f>Sheet16!G21</f>
        <v>0.19791666666668561</v>
      </c>
      <c r="F20" s="143">
        <f>Sheet16!H21</f>
        <v>206.95833333333334</v>
      </c>
      <c r="G20" s="143">
        <f>Sheet16!I21</f>
        <v>207.20833333333334</v>
      </c>
      <c r="H20" s="143">
        <f>Sheet16!J21</f>
        <v>0.25</v>
      </c>
      <c r="I20" s="144">
        <f t="shared" si="0"/>
        <v>0.58333333333334281</v>
      </c>
      <c r="J20" s="143">
        <v>0.20833333333333334</v>
      </c>
      <c r="K20" s="143">
        <v>0</v>
      </c>
      <c r="L20" s="143">
        <v>0</v>
      </c>
      <c r="M20" s="143">
        <v>0</v>
      </c>
      <c r="N20" s="143">
        <v>0</v>
      </c>
      <c r="O20" s="144">
        <f t="shared" si="1"/>
        <v>0</v>
      </c>
      <c r="P20" s="143">
        <v>0</v>
      </c>
      <c r="Q20" s="143">
        <v>0.20833333333333334</v>
      </c>
      <c r="R20" s="143">
        <v>0</v>
      </c>
      <c r="S20" s="143">
        <v>0</v>
      </c>
      <c r="T20" s="144">
        <f t="shared" si="2"/>
        <v>0.20833333333333334</v>
      </c>
      <c r="U20" s="147">
        <f t="shared" si="3"/>
        <v>1.0000000000000095</v>
      </c>
      <c r="V20" s="131" t="s">
        <v>366</v>
      </c>
    </row>
    <row r="21" spans="1:22" ht="15.75" x14ac:dyDescent="0.25">
      <c r="A21" s="142">
        <v>43938</v>
      </c>
      <c r="B21" s="143">
        <f>Sheet17!D21</f>
        <v>0.21875</v>
      </c>
      <c r="C21" s="143">
        <f>Sheet17!E21</f>
        <v>206.59722222222223</v>
      </c>
      <c r="D21" s="143">
        <f>Sheet17!F21</f>
        <v>206.875</v>
      </c>
      <c r="E21" s="143">
        <f>Sheet17!G21</f>
        <v>0.27777777777777146</v>
      </c>
      <c r="F21" s="143">
        <f>Sheet17!H21</f>
        <v>206.91666666666666</v>
      </c>
      <c r="G21" s="143">
        <f>Sheet17!I21</f>
        <v>207.20833333333334</v>
      </c>
      <c r="H21" s="143">
        <f>Sheet17!J21</f>
        <v>0.29166666666668561</v>
      </c>
      <c r="I21" s="144">
        <f t="shared" si="0"/>
        <v>0.78819444444445708</v>
      </c>
      <c r="J21" s="143">
        <v>0.21180555555555555</v>
      </c>
      <c r="K21" s="143">
        <v>0</v>
      </c>
      <c r="L21" s="143">
        <v>0</v>
      </c>
      <c r="M21" s="143">
        <v>0</v>
      </c>
      <c r="N21" s="143">
        <v>0</v>
      </c>
      <c r="O21" s="144">
        <f t="shared" si="1"/>
        <v>0</v>
      </c>
      <c r="P21" s="143">
        <v>0</v>
      </c>
      <c r="Q21" s="143">
        <v>0</v>
      </c>
      <c r="R21" s="143">
        <v>0</v>
      </c>
      <c r="S21" s="143">
        <v>0</v>
      </c>
      <c r="T21" s="144">
        <f t="shared" si="2"/>
        <v>0</v>
      </c>
      <c r="U21" s="147">
        <f t="shared" si="3"/>
        <v>1.0000000000000127</v>
      </c>
      <c r="V21" s="131"/>
    </row>
    <row r="22" spans="1:22" ht="15.75" x14ac:dyDescent="0.25">
      <c r="A22" s="142">
        <v>43939</v>
      </c>
      <c r="B22" s="143">
        <f>Sheet18!D21</f>
        <v>0.29166666666665719</v>
      </c>
      <c r="C22" s="143">
        <f>Sheet18!E21</f>
        <v>206.60069444444446</v>
      </c>
      <c r="D22" s="143">
        <f>Sheet18!F21</f>
        <v>206.875</v>
      </c>
      <c r="E22" s="143">
        <f>Sheet18!G21</f>
        <v>0.27430555555554292</v>
      </c>
      <c r="F22" s="143">
        <f>Sheet18!H21</f>
        <v>206.91666666666666</v>
      </c>
      <c r="G22" s="143">
        <f>Sheet18!I21</f>
        <v>207.20833333333334</v>
      </c>
      <c r="H22" s="143">
        <f>Sheet18!J21</f>
        <v>0.29166666666668561</v>
      </c>
      <c r="I22" s="144">
        <f t="shared" si="0"/>
        <v>0.85763888888888573</v>
      </c>
      <c r="J22" s="143">
        <v>0.1423611111111111</v>
      </c>
      <c r="K22" s="143">
        <v>0</v>
      </c>
      <c r="L22" s="143">
        <v>0</v>
      </c>
      <c r="M22" s="143">
        <v>0</v>
      </c>
      <c r="N22" s="143">
        <v>0</v>
      </c>
      <c r="O22" s="144">
        <f t="shared" si="1"/>
        <v>0</v>
      </c>
      <c r="P22" s="143">
        <v>0</v>
      </c>
      <c r="Q22" s="143">
        <v>0</v>
      </c>
      <c r="R22" s="143">
        <v>0</v>
      </c>
      <c r="S22" s="143">
        <v>0</v>
      </c>
      <c r="T22" s="144">
        <f t="shared" si="2"/>
        <v>0</v>
      </c>
      <c r="U22" s="147">
        <f t="shared" si="3"/>
        <v>0.99999999999999689</v>
      </c>
      <c r="V22" s="148"/>
    </row>
    <row r="23" spans="1:22" ht="15.75" x14ac:dyDescent="0.25">
      <c r="A23" s="142">
        <v>43940</v>
      </c>
      <c r="B23" s="143">
        <f>Sheet19!D21</f>
        <v>0.23611111111111427</v>
      </c>
      <c r="C23" s="143">
        <f>Sheet18!E21</f>
        <v>206.60069444444446</v>
      </c>
      <c r="D23" s="143">
        <f>Sheet18!F21</f>
        <v>206.875</v>
      </c>
      <c r="E23" s="143">
        <f>Sheet19!G21</f>
        <v>0.28125</v>
      </c>
      <c r="F23" s="143">
        <f>Sheet18!H21</f>
        <v>206.91666666666666</v>
      </c>
      <c r="G23" s="143">
        <f>Sheet18!I21</f>
        <v>207.20833333333334</v>
      </c>
      <c r="H23" s="143">
        <f>Sheet19!J21</f>
        <v>0.28125</v>
      </c>
      <c r="I23" s="144">
        <f t="shared" si="0"/>
        <v>0.79861111111111427</v>
      </c>
      <c r="J23" s="143">
        <v>0.20138888888888887</v>
      </c>
      <c r="K23" s="143">
        <v>0</v>
      </c>
      <c r="L23" s="143">
        <v>0</v>
      </c>
      <c r="M23" s="143">
        <v>0</v>
      </c>
      <c r="N23" s="143">
        <v>0</v>
      </c>
      <c r="O23" s="144">
        <f t="shared" si="1"/>
        <v>0</v>
      </c>
      <c r="P23" s="143">
        <v>0</v>
      </c>
      <c r="Q23" s="143">
        <v>0</v>
      </c>
      <c r="R23" s="143">
        <v>0</v>
      </c>
      <c r="S23" s="143">
        <v>0</v>
      </c>
      <c r="T23" s="144">
        <f t="shared" si="2"/>
        <v>0</v>
      </c>
      <c r="U23" s="147">
        <f t="shared" si="3"/>
        <v>1.0000000000000031</v>
      </c>
      <c r="V23" s="131"/>
    </row>
    <row r="24" spans="1:22" ht="15.75" x14ac:dyDescent="0.25">
      <c r="A24" s="142">
        <v>43941</v>
      </c>
      <c r="B24" s="143">
        <f>Sheet20!D21</f>
        <v>0.29166666666665719</v>
      </c>
      <c r="C24" s="143">
        <f>Sheet20!E21</f>
        <v>206.58333333333334</v>
      </c>
      <c r="D24" s="143">
        <f>Sheet20!F21</f>
        <v>206.875</v>
      </c>
      <c r="E24" s="143">
        <f>Sheet20!G21</f>
        <v>0.29166666666665719</v>
      </c>
      <c r="F24" s="143">
        <f>Sheet20!H21</f>
        <v>206.91666666666666</v>
      </c>
      <c r="G24" s="143">
        <f>Sheet20!I21</f>
        <v>207.20833333333334</v>
      </c>
      <c r="H24" s="143">
        <f>Sheet20!J21</f>
        <v>0.29166666666668561</v>
      </c>
      <c r="I24" s="144">
        <f t="shared" si="0"/>
        <v>0.875</v>
      </c>
      <c r="J24" s="143">
        <v>0.125</v>
      </c>
      <c r="K24" s="143">
        <v>0</v>
      </c>
      <c r="L24" s="143">
        <v>0</v>
      </c>
      <c r="M24" s="143">
        <v>0</v>
      </c>
      <c r="N24" s="143">
        <v>0</v>
      </c>
      <c r="O24" s="144">
        <f t="shared" si="1"/>
        <v>0</v>
      </c>
      <c r="P24" s="143">
        <v>0</v>
      </c>
      <c r="Q24" s="143">
        <v>0</v>
      </c>
      <c r="R24" s="143">
        <v>0</v>
      </c>
      <c r="S24" s="143">
        <v>0</v>
      </c>
      <c r="T24" s="144">
        <f t="shared" si="2"/>
        <v>0</v>
      </c>
      <c r="U24" s="147">
        <f t="shared" si="3"/>
        <v>1</v>
      </c>
      <c r="V24" s="131" t="s">
        <v>108</v>
      </c>
    </row>
    <row r="25" spans="1:22" ht="15.75" x14ac:dyDescent="0.25">
      <c r="A25" s="142">
        <v>43942</v>
      </c>
      <c r="B25" s="143">
        <f>Sheet21!D21</f>
        <v>0.25</v>
      </c>
      <c r="C25" s="143">
        <f>Sheet21!E21</f>
        <v>206.58333333333334</v>
      </c>
      <c r="D25" s="143">
        <f>Sheet21!F21</f>
        <v>206.875</v>
      </c>
      <c r="E25" s="143">
        <f>Sheet21!G21</f>
        <v>0.29166666666665719</v>
      </c>
      <c r="F25" s="143">
        <f>Sheet21!H21</f>
        <v>206.91666666666666</v>
      </c>
      <c r="G25" s="143">
        <f>Sheet21!I21</f>
        <v>207.16666666666666</v>
      </c>
      <c r="H25" s="143">
        <f>Sheet21!J21</f>
        <v>0.25</v>
      </c>
      <c r="I25" s="144">
        <f t="shared" si="0"/>
        <v>0.79166666666665719</v>
      </c>
      <c r="J25" s="143">
        <v>0.20833333333333334</v>
      </c>
      <c r="K25" s="143">
        <v>0</v>
      </c>
      <c r="L25" s="143">
        <v>0</v>
      </c>
      <c r="M25" s="143">
        <v>0</v>
      </c>
      <c r="N25" s="143">
        <v>0</v>
      </c>
      <c r="O25" s="144">
        <f t="shared" si="1"/>
        <v>0</v>
      </c>
      <c r="P25" s="143">
        <v>0</v>
      </c>
      <c r="Q25" s="143">
        <v>0</v>
      </c>
      <c r="R25" s="143">
        <v>0</v>
      </c>
      <c r="S25" s="143">
        <v>0</v>
      </c>
      <c r="T25" s="144">
        <f t="shared" si="2"/>
        <v>0</v>
      </c>
      <c r="U25" s="147">
        <f t="shared" si="3"/>
        <v>0.99999999999999056</v>
      </c>
      <c r="V25" s="131"/>
    </row>
    <row r="26" spans="1:22" ht="15.75" x14ac:dyDescent="0.25">
      <c r="A26" s="142">
        <v>43943</v>
      </c>
      <c r="B26" s="143">
        <f>Sheet22!D21</f>
        <v>0.29861111111111427</v>
      </c>
      <c r="C26" s="143" t="e">
        <f>Sheet22!#REF!</f>
        <v>#REF!</v>
      </c>
      <c r="D26" s="143" t="e">
        <f>Sheet22!#REF!</f>
        <v>#REF!</v>
      </c>
      <c r="E26" s="143">
        <f>Sheet22!G21</f>
        <v>0.29861111111111427</v>
      </c>
      <c r="F26" s="143" t="e">
        <f>Sheet22!#REF!</f>
        <v>#REF!</v>
      </c>
      <c r="G26" s="143" t="e">
        <f>Sheet22!#REF!</f>
        <v>#REF!</v>
      </c>
      <c r="H26" s="143">
        <f>Sheet22!J21</f>
        <v>0.29166666666668561</v>
      </c>
      <c r="I26" s="144">
        <f t="shared" si="0"/>
        <v>0.88888888888891415</v>
      </c>
      <c r="J26" s="143">
        <v>0.1111111111111111</v>
      </c>
      <c r="K26" s="143">
        <v>0</v>
      </c>
      <c r="L26" s="143">
        <v>0</v>
      </c>
      <c r="M26" s="143">
        <v>0</v>
      </c>
      <c r="N26" s="143">
        <v>0</v>
      </c>
      <c r="O26" s="144">
        <f t="shared" si="1"/>
        <v>0</v>
      </c>
      <c r="P26" s="143">
        <v>0</v>
      </c>
      <c r="Q26" s="143">
        <v>0</v>
      </c>
      <c r="R26" s="143">
        <v>0</v>
      </c>
      <c r="S26" s="143">
        <v>0</v>
      </c>
      <c r="T26" s="144">
        <f t="shared" si="2"/>
        <v>0</v>
      </c>
      <c r="U26" s="147">
        <f t="shared" si="3"/>
        <v>1.0000000000000253</v>
      </c>
      <c r="V26" s="131" t="s">
        <v>170</v>
      </c>
    </row>
    <row r="27" spans="1:22" ht="15.75" x14ac:dyDescent="0.25">
      <c r="A27" s="142">
        <v>43944</v>
      </c>
      <c r="B27" s="143">
        <f>Sheet23!D21</f>
        <v>0.16666666666665719</v>
      </c>
      <c r="C27" s="143">
        <f>Sheet23!E21</f>
        <v>206.62152777777777</v>
      </c>
      <c r="D27" s="143">
        <f>Sheet23!F21</f>
        <v>206.875</v>
      </c>
      <c r="E27" s="143">
        <f>Sheet23!G21</f>
        <v>0.25347222222222854</v>
      </c>
      <c r="F27" s="143">
        <f>Sheet23!H21</f>
        <v>206.93402777777777</v>
      </c>
      <c r="G27" s="143">
        <f>Sheet23!I21</f>
        <v>207.1875</v>
      </c>
      <c r="H27" s="143">
        <f>Sheet23!J21</f>
        <v>0.25347222222222854</v>
      </c>
      <c r="I27" s="144">
        <f t="shared" si="0"/>
        <v>0.67361111111111427</v>
      </c>
      <c r="J27" s="143">
        <v>0.15277777777777776</v>
      </c>
      <c r="K27" s="143">
        <v>0.17361111111111113</v>
      </c>
      <c r="L27" s="143">
        <v>0</v>
      </c>
      <c r="M27" s="143">
        <v>0</v>
      </c>
      <c r="N27" s="143">
        <v>0</v>
      </c>
      <c r="O27" s="144">
        <f t="shared" si="1"/>
        <v>0.17361111111111113</v>
      </c>
      <c r="P27" s="143">
        <v>0</v>
      </c>
      <c r="Q27" s="143">
        <v>0</v>
      </c>
      <c r="R27" s="143">
        <v>0</v>
      </c>
      <c r="S27" s="143">
        <v>0</v>
      </c>
      <c r="T27" s="144">
        <f t="shared" si="2"/>
        <v>0</v>
      </c>
      <c r="U27" s="147">
        <f t="shared" si="3"/>
        <v>1.0000000000000031</v>
      </c>
      <c r="V27" s="131" t="s">
        <v>171</v>
      </c>
    </row>
    <row r="28" spans="1:22" ht="15.75" x14ac:dyDescent="0.25">
      <c r="A28" s="142">
        <v>43945</v>
      </c>
      <c r="B28" s="143">
        <f>Sheet24!D21</f>
        <v>0.14583333333334281</v>
      </c>
      <c r="C28" s="143">
        <f>Sheet24!E21</f>
        <v>206.61458333333334</v>
      </c>
      <c r="D28" s="143">
        <f>Sheet24!F21</f>
        <v>206.875</v>
      </c>
      <c r="E28" s="143">
        <f>Sheet24!G21</f>
        <v>0.26041666666665719</v>
      </c>
      <c r="F28" s="143">
        <f>Sheet24!H21</f>
        <v>206.91666666666666</v>
      </c>
      <c r="G28" s="143">
        <f>Sheet24!I21</f>
        <v>207.02083333333334</v>
      </c>
      <c r="H28" s="143">
        <f>Sheet24!J21</f>
        <v>0.10416666666668561</v>
      </c>
      <c r="I28" s="144">
        <f t="shared" si="0"/>
        <v>0.51041666666668561</v>
      </c>
      <c r="J28" s="143">
        <v>0.19791666666666666</v>
      </c>
      <c r="K28" s="143">
        <v>0</v>
      </c>
      <c r="L28" s="143">
        <v>0</v>
      </c>
      <c r="M28" s="143">
        <v>0.125</v>
      </c>
      <c r="N28" s="143">
        <v>0</v>
      </c>
      <c r="O28" s="144">
        <f t="shared" si="1"/>
        <v>0.125</v>
      </c>
      <c r="P28" s="143">
        <v>0</v>
      </c>
      <c r="Q28" s="143">
        <v>0.16666666666666666</v>
      </c>
      <c r="R28" s="143">
        <v>0</v>
      </c>
      <c r="S28" s="143">
        <v>0</v>
      </c>
      <c r="T28" s="144">
        <f t="shared" si="2"/>
        <v>0.16666666666666666</v>
      </c>
      <c r="U28" s="147">
        <f t="shared" si="3"/>
        <v>1.0000000000000189</v>
      </c>
      <c r="V28" s="131" t="s">
        <v>367</v>
      </c>
    </row>
    <row r="29" spans="1:22" ht="15.75" x14ac:dyDescent="0.25">
      <c r="A29" s="142">
        <v>43946</v>
      </c>
      <c r="B29" s="143">
        <f>Sheet25!D21</f>
        <v>0.29166666666665719</v>
      </c>
      <c r="C29" s="143">
        <f>Sheet25!E21</f>
        <v>206.69444444444446</v>
      </c>
      <c r="D29" s="143">
        <f>Sheet25!F21</f>
        <v>206.875</v>
      </c>
      <c r="E29" s="143">
        <f>Sheet25!G21</f>
        <v>0.18055555555554292</v>
      </c>
      <c r="F29" s="143">
        <f>Sheet25!H21</f>
        <v>206.97916666666666</v>
      </c>
      <c r="G29" s="143">
        <f>Sheet25!I21</f>
        <v>207.20833333333334</v>
      </c>
      <c r="H29" s="143">
        <f>Sheet25!J21</f>
        <v>0.22916666666668561</v>
      </c>
      <c r="I29" s="144">
        <f t="shared" si="0"/>
        <v>0.70138888888888573</v>
      </c>
      <c r="J29" s="143">
        <v>0.23263888888888887</v>
      </c>
      <c r="K29" s="143">
        <v>0</v>
      </c>
      <c r="L29" s="143">
        <v>0</v>
      </c>
      <c r="M29" s="143">
        <v>6.5972222222222224E-2</v>
      </c>
      <c r="N29" s="143">
        <v>0</v>
      </c>
      <c r="O29" s="144">
        <f t="shared" si="1"/>
        <v>6.5972222222222224E-2</v>
      </c>
      <c r="P29" s="143">
        <v>0</v>
      </c>
      <c r="Q29" s="143">
        <v>0</v>
      </c>
      <c r="R29" s="143">
        <v>0</v>
      </c>
      <c r="S29" s="143">
        <v>0</v>
      </c>
      <c r="T29" s="144">
        <f t="shared" si="2"/>
        <v>0</v>
      </c>
      <c r="U29" s="147">
        <f t="shared" si="3"/>
        <v>0.99999999999999678</v>
      </c>
      <c r="V29" s="247"/>
    </row>
    <row r="30" spans="1:22" ht="15.75" x14ac:dyDescent="0.25">
      <c r="A30" s="142">
        <v>43947</v>
      </c>
      <c r="B30" s="143">
        <f>Sheet26!D21</f>
        <v>0.27777777777777146</v>
      </c>
      <c r="C30" s="143">
        <f>Sheet26!E21</f>
        <v>206.61111111111111</v>
      </c>
      <c r="D30" s="143">
        <f>Sheet26!F21</f>
        <v>206.875</v>
      </c>
      <c r="E30" s="143">
        <f>Sheet26!G21</f>
        <v>0.26388888888888573</v>
      </c>
      <c r="F30" s="143">
        <f>Sheet26!H21</f>
        <v>206.96527777777777</v>
      </c>
      <c r="G30" s="143">
        <f>Sheet26!I21</f>
        <v>207.15625</v>
      </c>
      <c r="H30" s="143">
        <f>Sheet26!J21</f>
        <v>0.19097222222222854</v>
      </c>
      <c r="I30" s="144">
        <f t="shared" si="0"/>
        <v>0.73263888888888573</v>
      </c>
      <c r="J30" s="143">
        <v>0.19444444444444445</v>
      </c>
      <c r="K30" s="143">
        <v>0</v>
      </c>
      <c r="L30" s="143">
        <v>7.2916666666666671E-2</v>
      </c>
      <c r="M30" s="143">
        <v>0</v>
      </c>
      <c r="N30" s="143">
        <v>0</v>
      </c>
      <c r="O30" s="144">
        <f t="shared" si="1"/>
        <v>7.2916666666666671E-2</v>
      </c>
      <c r="P30" s="143">
        <v>0</v>
      </c>
      <c r="Q30" s="143">
        <v>0</v>
      </c>
      <c r="R30" s="143">
        <v>0</v>
      </c>
      <c r="S30" s="143">
        <v>0</v>
      </c>
      <c r="T30" s="144">
        <f t="shared" si="2"/>
        <v>0</v>
      </c>
      <c r="U30" s="147">
        <f t="shared" si="3"/>
        <v>0.99999999999999678</v>
      </c>
      <c r="V30" s="244"/>
    </row>
    <row r="31" spans="1:22" ht="15.75" x14ac:dyDescent="0.25">
      <c r="A31" s="142">
        <v>43948</v>
      </c>
      <c r="B31" s="143">
        <f>Sheet27!D21</f>
        <v>0.29166666666665719</v>
      </c>
      <c r="C31" s="143">
        <f>Sheet27!E21</f>
        <v>206.58333333333334</v>
      </c>
      <c r="D31" s="143">
        <f>Sheet27!F21</f>
        <v>206.875</v>
      </c>
      <c r="E31" s="143">
        <f>Sheet27!G21</f>
        <v>0.29166666666665719</v>
      </c>
      <c r="F31" s="143">
        <f>Sheet27!H21</f>
        <v>206.95833333333334</v>
      </c>
      <c r="G31" s="143">
        <f>Sheet27!I21</f>
        <v>207.20833333333334</v>
      </c>
      <c r="H31" s="143">
        <f>Sheet27!J21</f>
        <v>0.25</v>
      </c>
      <c r="I31" s="144">
        <f t="shared" si="0"/>
        <v>0.83333333333331439</v>
      </c>
      <c r="J31" s="143">
        <v>0.16666666666666666</v>
      </c>
      <c r="K31" s="143">
        <v>0</v>
      </c>
      <c r="L31" s="143">
        <v>0</v>
      </c>
      <c r="M31" s="143">
        <v>0</v>
      </c>
      <c r="N31" s="143">
        <v>0</v>
      </c>
      <c r="O31" s="144">
        <f t="shared" si="1"/>
        <v>0</v>
      </c>
      <c r="P31" s="143">
        <v>0</v>
      </c>
      <c r="Q31" s="143">
        <v>0</v>
      </c>
      <c r="R31" s="143">
        <v>0</v>
      </c>
      <c r="S31" s="143">
        <v>0</v>
      </c>
      <c r="T31" s="144">
        <f t="shared" si="2"/>
        <v>0</v>
      </c>
      <c r="U31" s="147">
        <f t="shared" si="3"/>
        <v>0.99999999999998102</v>
      </c>
      <c r="V31" s="131" t="s">
        <v>108</v>
      </c>
    </row>
    <row r="32" spans="1:22" ht="15.75" x14ac:dyDescent="0.25">
      <c r="A32" s="142">
        <v>43949</v>
      </c>
      <c r="B32" s="143">
        <f>Sheet28!D21</f>
        <v>0.21527777777777146</v>
      </c>
      <c r="C32" s="143">
        <f>Sheet28!E21</f>
        <v>206.63888888888889</v>
      </c>
      <c r="D32" s="143">
        <f>Sheet28!F21</f>
        <v>206.875</v>
      </c>
      <c r="E32" s="143">
        <f>Sheet28!G21</f>
        <v>0.23611111111111427</v>
      </c>
      <c r="F32" s="143">
        <f>Sheet28!H21</f>
        <v>206.95833333333334</v>
      </c>
      <c r="G32" s="143">
        <f>Sheet28!I21</f>
        <v>207.20833333333334</v>
      </c>
      <c r="H32" s="143">
        <f>Sheet28!J21</f>
        <v>0.25</v>
      </c>
      <c r="I32" s="144">
        <f t="shared" si="0"/>
        <v>0.70138888888888573</v>
      </c>
      <c r="J32" s="143">
        <v>0.20138888888888887</v>
      </c>
      <c r="K32" s="143">
        <v>0</v>
      </c>
      <c r="L32" s="143">
        <v>9.7222222222222224E-2</v>
      </c>
      <c r="M32" s="143">
        <v>0</v>
      </c>
      <c r="N32" s="143">
        <v>0</v>
      </c>
      <c r="O32" s="144">
        <f t="shared" si="1"/>
        <v>9.7222222222222224E-2</v>
      </c>
      <c r="P32" s="143">
        <v>0</v>
      </c>
      <c r="Q32" s="143">
        <v>0</v>
      </c>
      <c r="R32" s="143">
        <v>0</v>
      </c>
      <c r="S32" s="143">
        <v>0</v>
      </c>
      <c r="T32" s="144">
        <f t="shared" si="2"/>
        <v>0</v>
      </c>
      <c r="U32" s="147">
        <f t="shared" si="3"/>
        <v>0.99999999999999678</v>
      </c>
      <c r="V32" s="131"/>
    </row>
    <row r="33" spans="1:22" ht="30" x14ac:dyDescent="0.25">
      <c r="A33" s="142">
        <v>43950</v>
      </c>
      <c r="B33" s="143">
        <f>Sheet29!D21</f>
        <v>0.11111111111111427</v>
      </c>
      <c r="C33" s="143">
        <f>Sheet29!E21</f>
        <v>206.67361111111111</v>
      </c>
      <c r="D33" s="143">
        <f>Sheet29!F21</f>
        <v>206.875</v>
      </c>
      <c r="E33" s="143">
        <f>Sheet29!G21</f>
        <v>0.20138888888888573</v>
      </c>
      <c r="F33" s="143">
        <f>Sheet29!H21</f>
        <v>206.91319444444446</v>
      </c>
      <c r="G33" s="143">
        <f>Sheet29!I21</f>
        <v>207.20833333333334</v>
      </c>
      <c r="H33" s="143">
        <f>Sheet29!J21</f>
        <v>0.29513888888888573</v>
      </c>
      <c r="I33" s="144">
        <f t="shared" si="0"/>
        <v>0.60763888888888573</v>
      </c>
      <c r="J33" s="143">
        <v>0.22569444444444445</v>
      </c>
      <c r="K33" s="143">
        <v>0</v>
      </c>
      <c r="L33" s="143">
        <v>0</v>
      </c>
      <c r="M33" s="143">
        <v>0</v>
      </c>
      <c r="N33" s="143">
        <v>0</v>
      </c>
      <c r="O33" s="144">
        <f t="shared" si="1"/>
        <v>0</v>
      </c>
      <c r="P33" s="143">
        <v>0.16666666666666666</v>
      </c>
      <c r="Q33" s="143">
        <v>0</v>
      </c>
      <c r="R33" s="143">
        <v>0</v>
      </c>
      <c r="S33" s="143">
        <v>0</v>
      </c>
      <c r="T33" s="144">
        <f t="shared" si="2"/>
        <v>0.16666666666666666</v>
      </c>
      <c r="U33" s="147">
        <f t="shared" si="3"/>
        <v>0.99999999999999678</v>
      </c>
      <c r="V33" s="131" t="s">
        <v>394</v>
      </c>
    </row>
    <row r="34" spans="1:22" ht="30" x14ac:dyDescent="0.25">
      <c r="A34" s="142">
        <v>43951</v>
      </c>
      <c r="B34" s="143">
        <f>'Sheet 30'!D21</f>
        <v>0.10416666666665719</v>
      </c>
      <c r="C34" s="143">
        <f>Sheet29!E22</f>
        <v>206.58333333333334</v>
      </c>
      <c r="D34" s="143">
        <f>Sheet29!F22</f>
        <v>206.875</v>
      </c>
      <c r="E34" s="143">
        <f>'Sheet 30'!G21</f>
        <v>0.16666666666665719</v>
      </c>
      <c r="F34" s="143">
        <f>Sheet29!H22</f>
        <v>206.91666666666666</v>
      </c>
      <c r="G34" s="143">
        <f>Sheet29!I22</f>
        <v>207.20833333333334</v>
      </c>
      <c r="H34" s="143">
        <f>'Sheet 30'!J21</f>
        <v>0.29166666666668561</v>
      </c>
      <c r="I34" s="144">
        <f t="shared" ref="I34" si="4">B34+E34+H34</f>
        <v>0.5625</v>
      </c>
      <c r="J34" s="143">
        <v>0.14583333333333334</v>
      </c>
      <c r="K34" s="143">
        <v>0</v>
      </c>
      <c r="L34" s="143">
        <v>0</v>
      </c>
      <c r="M34" s="143">
        <v>0.29166666666666669</v>
      </c>
      <c r="N34" s="143">
        <v>0</v>
      </c>
      <c r="O34" s="144">
        <f t="shared" si="1"/>
        <v>0.29166666666666669</v>
      </c>
      <c r="P34" s="143">
        <v>0</v>
      </c>
      <c r="Q34" s="143">
        <v>0</v>
      </c>
      <c r="R34" s="143">
        <v>0</v>
      </c>
      <c r="S34" s="143">
        <v>0</v>
      </c>
      <c r="T34" s="144">
        <f t="shared" si="2"/>
        <v>0</v>
      </c>
      <c r="U34" s="147">
        <f t="shared" ref="U34" si="5">I34+O34+J34+T34</f>
        <v>1</v>
      </c>
      <c r="V34" s="131" t="s">
        <v>393</v>
      </c>
    </row>
    <row r="35" spans="1:22" ht="15.75" x14ac:dyDescent="0.25">
      <c r="A35" s="142"/>
      <c r="B35" s="143"/>
      <c r="C35" s="143"/>
      <c r="D35" s="143"/>
      <c r="E35" s="143"/>
      <c r="F35" s="143"/>
      <c r="G35" s="143"/>
      <c r="H35" s="143"/>
      <c r="I35" s="144"/>
      <c r="J35" s="143"/>
      <c r="K35" s="143"/>
      <c r="L35" s="143"/>
      <c r="M35" s="143"/>
      <c r="N35" s="143"/>
      <c r="O35" s="144"/>
      <c r="P35" s="143"/>
      <c r="Q35" s="143"/>
      <c r="R35" s="143"/>
      <c r="S35" s="143"/>
      <c r="T35" s="144"/>
      <c r="U35" s="147"/>
      <c r="V35" s="131"/>
    </row>
    <row r="36" spans="1:22" ht="15.75" x14ac:dyDescent="0.25">
      <c r="A36" s="132" t="s">
        <v>109</v>
      </c>
      <c r="B36" s="130" t="s">
        <v>13</v>
      </c>
      <c r="C36" s="130"/>
      <c r="D36" s="130"/>
      <c r="E36" s="130"/>
      <c r="F36" s="130"/>
      <c r="G36" s="130"/>
      <c r="H36" s="130" t="s">
        <v>13</v>
      </c>
      <c r="I36" s="152">
        <f>SUM(I5:I35)</f>
        <v>21.40625</v>
      </c>
      <c r="J36" s="152">
        <f>SUM(J5:J35)</f>
        <v>5.3298611111111125</v>
      </c>
      <c r="K36" s="152">
        <f t="shared" ref="K36:U36" si="6">SUM(K5:K35)</f>
        <v>0.34027777777777779</v>
      </c>
      <c r="L36" s="152">
        <f t="shared" si="6"/>
        <v>0.51388888888888895</v>
      </c>
      <c r="M36" s="152">
        <f t="shared" si="6"/>
        <v>0.84375</v>
      </c>
      <c r="N36" s="152">
        <f t="shared" si="6"/>
        <v>0</v>
      </c>
      <c r="O36" s="152">
        <f t="shared" si="6"/>
        <v>1.697916666666667</v>
      </c>
      <c r="P36" s="152">
        <f t="shared" si="6"/>
        <v>0.33333333333333331</v>
      </c>
      <c r="Q36" s="152">
        <f t="shared" si="6"/>
        <v>0.79166666666666663</v>
      </c>
      <c r="R36" s="152">
        <f t="shared" si="6"/>
        <v>0.44097222222222227</v>
      </c>
      <c r="S36" s="152">
        <f t="shared" si="6"/>
        <v>0</v>
      </c>
      <c r="T36" s="152">
        <f t="shared" si="6"/>
        <v>1.5659722222222223</v>
      </c>
      <c r="U36" s="152">
        <f t="shared" si="6"/>
        <v>29.999999999999996</v>
      </c>
      <c r="V36" s="89"/>
    </row>
    <row r="37" spans="1:22" ht="15.75" x14ac:dyDescent="0.25">
      <c r="B37" s="133"/>
      <c r="C37" s="133"/>
      <c r="D37" s="133"/>
      <c r="E37" s="133"/>
      <c r="F37" s="133"/>
      <c r="G37" s="133"/>
      <c r="H37" s="133"/>
      <c r="I37" s="134"/>
      <c r="J37" s="135"/>
      <c r="K37" s="133"/>
      <c r="L37" s="133"/>
      <c r="M37" s="133"/>
      <c r="N37" s="133"/>
      <c r="O37" s="133"/>
      <c r="P37" s="133"/>
      <c r="Q37" s="133"/>
      <c r="R37" s="133"/>
      <c r="S37" s="133"/>
      <c r="T37" s="136"/>
      <c r="U37" s="136"/>
    </row>
    <row r="38" spans="1:22" x14ac:dyDescent="0.25">
      <c r="B38" s="133"/>
      <c r="C38" s="133"/>
      <c r="D38" s="133"/>
      <c r="E38" s="133"/>
      <c r="F38" s="133"/>
      <c r="G38" s="133"/>
      <c r="H38" s="133"/>
      <c r="I38" s="134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</row>
    <row r="39" spans="1:22" x14ac:dyDescent="0.25"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7"/>
      <c r="N39" s="133"/>
      <c r="O39" s="133"/>
      <c r="P39" s="133"/>
      <c r="Q39" s="133"/>
      <c r="R39" s="133" t="s">
        <v>398</v>
      </c>
      <c r="S39" s="133"/>
      <c r="T39" s="133"/>
      <c r="U39" s="133"/>
    </row>
    <row r="40" spans="1:22" x14ac:dyDescent="0.25">
      <c r="B40" s="133"/>
      <c r="C40" s="133"/>
      <c r="D40" s="133"/>
      <c r="E40" s="133"/>
      <c r="F40" s="133"/>
      <c r="G40" s="133"/>
      <c r="H40" s="133"/>
      <c r="I40" s="138"/>
      <c r="J40" s="138"/>
      <c r="K40" s="138"/>
      <c r="L40" s="138"/>
      <c r="M40" s="138"/>
      <c r="N40" s="138"/>
      <c r="O40" s="139"/>
      <c r="P40" s="138"/>
      <c r="Q40" s="138"/>
      <c r="R40" s="138" t="s">
        <v>110</v>
      </c>
      <c r="S40" s="138"/>
      <c r="T40" s="133"/>
      <c r="U40" s="133"/>
    </row>
    <row r="41" spans="1:22" ht="15.75" x14ac:dyDescent="0.25">
      <c r="A41" s="140" t="s">
        <v>111</v>
      </c>
      <c r="B41" s="133"/>
      <c r="C41" s="133"/>
      <c r="D41" s="133"/>
      <c r="E41" s="133"/>
      <c r="F41" s="133"/>
      <c r="G41" s="133"/>
      <c r="H41" s="133"/>
      <c r="I41" s="134"/>
      <c r="J41" s="133"/>
      <c r="K41" s="133"/>
      <c r="L41" s="133"/>
      <c r="M41" s="137"/>
      <c r="N41" s="133"/>
      <c r="O41" s="139"/>
      <c r="P41" s="133"/>
      <c r="Q41" s="133"/>
      <c r="R41" s="133"/>
      <c r="S41" s="133"/>
      <c r="T41" s="133"/>
      <c r="U41" s="133"/>
    </row>
    <row r="42" spans="1:22" ht="15.75" x14ac:dyDescent="0.25">
      <c r="A42" s="140" t="s">
        <v>112</v>
      </c>
      <c r="B42" s="133"/>
      <c r="C42" s="133"/>
      <c r="D42" s="133"/>
      <c r="E42" s="133"/>
      <c r="F42" s="133"/>
      <c r="G42" s="133"/>
      <c r="H42" s="133"/>
      <c r="I42" s="134"/>
      <c r="J42" s="133"/>
      <c r="K42" s="133"/>
      <c r="L42" s="133"/>
      <c r="M42" s="133"/>
      <c r="N42" s="133"/>
      <c r="O42" s="139"/>
      <c r="P42" s="133"/>
      <c r="Q42" s="133"/>
      <c r="R42" s="133"/>
      <c r="S42" s="133"/>
      <c r="T42" s="133"/>
      <c r="U42" s="133"/>
    </row>
    <row r="43" spans="1:22" ht="15.75" x14ac:dyDescent="0.25">
      <c r="A43" s="140">
        <v>2</v>
      </c>
      <c r="B43" s="133" t="s">
        <v>400</v>
      </c>
      <c r="C43" s="133"/>
      <c r="D43" s="133"/>
      <c r="E43" s="133"/>
      <c r="F43" s="133"/>
      <c r="G43" s="133"/>
      <c r="H43" s="133"/>
      <c r="I43" s="134"/>
      <c r="J43" s="133"/>
      <c r="K43" s="133"/>
      <c r="L43" s="133"/>
      <c r="M43" s="133"/>
      <c r="N43" s="133"/>
      <c r="O43" s="139"/>
      <c r="P43" s="133"/>
      <c r="Q43" s="133"/>
      <c r="R43" s="133"/>
      <c r="S43" s="133"/>
      <c r="T43" s="133"/>
      <c r="U43" s="133"/>
    </row>
    <row r="44" spans="1:22" ht="15.75" x14ac:dyDescent="0.25">
      <c r="A44" s="140">
        <v>3</v>
      </c>
      <c r="B44" s="133" t="s">
        <v>113</v>
      </c>
      <c r="C44" s="133"/>
      <c r="D44" s="133"/>
      <c r="E44" s="133"/>
      <c r="F44" s="133"/>
      <c r="G44" s="133"/>
      <c r="H44" s="133"/>
      <c r="I44" s="134"/>
      <c r="J44" s="133"/>
      <c r="K44" s="133"/>
      <c r="L44" s="133"/>
      <c r="M44" s="133"/>
      <c r="N44" s="133"/>
      <c r="O44" s="139"/>
      <c r="P44" s="133"/>
      <c r="Q44" s="133"/>
      <c r="R44" s="133"/>
      <c r="S44" s="133"/>
      <c r="T44" s="133"/>
      <c r="U44" s="133"/>
    </row>
    <row r="45" spans="1:22" x14ac:dyDescent="0.25">
      <c r="A45" s="141" t="s">
        <v>114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7"/>
      <c r="P45" s="133"/>
      <c r="Q45" s="133"/>
      <c r="R45" s="133"/>
      <c r="S45" s="133"/>
      <c r="T45" s="133"/>
      <c r="U45" s="133"/>
    </row>
  </sheetData>
  <pageMargins left="0.23622047244094491" right="0.23622047244094491" top="0.31496062992125984" bottom="0.31496062992125984" header="0.31496062992125984" footer="0.31496062992125984"/>
  <pageSetup paperSize="141" scale="93" orientation="portrait" horizontalDpi="180" verticalDpi="180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7" workbookViewId="0">
      <selection activeCell="V24" sqref="V24"/>
    </sheetView>
  </sheetViews>
  <sheetFormatPr defaultRowHeight="15" x14ac:dyDescent="0.25"/>
  <cols>
    <col min="1" max="1" width="12.28515625" customWidth="1"/>
    <col min="2" max="2" width="7" customWidth="1"/>
    <col min="3" max="4" width="9.140625" hidden="1" customWidth="1"/>
    <col min="5" max="5" width="7.28515625" customWidth="1"/>
    <col min="6" max="7" width="9.140625" hidden="1" customWidth="1"/>
    <col min="8" max="8" width="6.5703125" customWidth="1"/>
    <col min="9" max="9" width="10" bestFit="1" customWidth="1"/>
    <col min="10" max="10" width="9" customWidth="1"/>
    <col min="11" max="11" width="8" customWidth="1"/>
    <col min="12" max="12" width="8.42578125" customWidth="1"/>
    <col min="18" max="18" width="9.140625" style="153"/>
    <col min="21" max="21" width="12.85546875" customWidth="1"/>
    <col min="22" max="22" width="26.42578125" customWidth="1"/>
  </cols>
  <sheetData>
    <row r="1" spans="1:22" ht="22.5" x14ac:dyDescent="0.3">
      <c r="A1" s="108" t="s">
        <v>399</v>
      </c>
      <c r="R1"/>
    </row>
    <row r="2" spans="1:22" ht="21" thickBot="1" x14ac:dyDescent="0.35">
      <c r="A2" s="109" t="s">
        <v>176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R2"/>
    </row>
    <row r="3" spans="1:22" ht="15.75" x14ac:dyDescent="0.25">
      <c r="A3" s="111" t="s">
        <v>80</v>
      </c>
      <c r="B3" s="112" t="s">
        <v>95</v>
      </c>
      <c r="C3" s="116"/>
      <c r="D3" s="116"/>
      <c r="E3" s="116"/>
      <c r="F3" s="116"/>
      <c r="G3" s="116"/>
      <c r="H3" s="113"/>
      <c r="I3" s="114" t="s">
        <v>13</v>
      </c>
      <c r="J3" s="115" t="s">
        <v>96</v>
      </c>
      <c r="K3" s="116" t="s">
        <v>97</v>
      </c>
      <c r="L3" s="113"/>
      <c r="M3" s="113"/>
      <c r="N3" s="113"/>
      <c r="O3" s="117" t="s">
        <v>13</v>
      </c>
      <c r="P3" s="112" t="s">
        <v>98</v>
      </c>
      <c r="Q3" s="113"/>
      <c r="R3" s="118"/>
      <c r="S3" s="119"/>
      <c r="T3" s="120"/>
      <c r="U3" s="145"/>
      <c r="V3" s="121" t="s">
        <v>99</v>
      </c>
    </row>
    <row r="4" spans="1:22" ht="16.5" thickBot="1" x14ac:dyDescent="0.3">
      <c r="A4" s="122"/>
      <c r="B4" s="123" t="s">
        <v>100</v>
      </c>
      <c r="C4" s="123"/>
      <c r="D4" s="123"/>
      <c r="E4" s="123" t="s">
        <v>101</v>
      </c>
      <c r="F4" s="123"/>
      <c r="G4" s="123"/>
      <c r="H4" s="123" t="s">
        <v>102</v>
      </c>
      <c r="I4" s="124" t="s">
        <v>103</v>
      </c>
      <c r="J4" s="125"/>
      <c r="K4" s="126" t="s">
        <v>104</v>
      </c>
      <c r="L4" s="127" t="s">
        <v>105</v>
      </c>
      <c r="M4" s="127" t="s">
        <v>106</v>
      </c>
      <c r="N4" s="127" t="s">
        <v>107</v>
      </c>
      <c r="O4" s="128" t="s">
        <v>44</v>
      </c>
      <c r="P4" s="127" t="s">
        <v>104</v>
      </c>
      <c r="Q4" s="127" t="s">
        <v>105</v>
      </c>
      <c r="R4" s="127" t="s">
        <v>106</v>
      </c>
      <c r="S4" s="127" t="s">
        <v>107</v>
      </c>
      <c r="T4" s="128" t="s">
        <v>44</v>
      </c>
      <c r="U4" s="146"/>
      <c r="V4" s="129"/>
    </row>
    <row r="5" spans="1:22" ht="15.75" x14ac:dyDescent="0.25">
      <c r="A5" s="142">
        <v>43922</v>
      </c>
      <c r="B5" s="143">
        <f>Sheet1!D22</f>
        <v>0.28819444444442865</v>
      </c>
      <c r="C5" s="143">
        <f>Sheet1!E22</f>
        <v>206.59027777777777</v>
      </c>
      <c r="D5" s="143">
        <f>Sheet1!F22</f>
        <v>206.875</v>
      </c>
      <c r="E5" s="143">
        <f>Sheet1!G22</f>
        <v>0.28472222222222854</v>
      </c>
      <c r="F5" s="143">
        <f>Sheet1!H22</f>
        <v>206.91666666666666</v>
      </c>
      <c r="G5" s="143">
        <f>Sheet1!I22</f>
        <v>207.20833333333334</v>
      </c>
      <c r="H5" s="143">
        <f>Sheet1!J22</f>
        <v>0.29166666666668561</v>
      </c>
      <c r="I5" s="144">
        <f>B5+E5+H5</f>
        <v>0.86458333333334281</v>
      </c>
      <c r="J5" s="143">
        <v>0.13541666666666666</v>
      </c>
      <c r="K5" s="143">
        <v>0</v>
      </c>
      <c r="L5" s="143">
        <v>0</v>
      </c>
      <c r="M5" s="143">
        <v>0</v>
      </c>
      <c r="N5" s="143">
        <v>0</v>
      </c>
      <c r="O5" s="144">
        <f>SUM(K5:N5)</f>
        <v>0</v>
      </c>
      <c r="P5" s="143">
        <v>0</v>
      </c>
      <c r="Q5" s="143">
        <v>0</v>
      </c>
      <c r="R5" s="143">
        <v>0</v>
      </c>
      <c r="S5" s="143">
        <v>0</v>
      </c>
      <c r="T5" s="144">
        <f>SUM(P5:S5)</f>
        <v>0</v>
      </c>
      <c r="U5" s="147">
        <f>I5+O5+J5+T5</f>
        <v>1.0000000000000095</v>
      </c>
      <c r="V5" s="131"/>
    </row>
    <row r="6" spans="1:22" ht="15.75" x14ac:dyDescent="0.25">
      <c r="A6" s="142">
        <v>43923</v>
      </c>
      <c r="B6" s="143">
        <f>Sheet2!D22</f>
        <v>0.29861111111111427</v>
      </c>
      <c r="C6" s="143">
        <f>Sheet2!E22</f>
        <v>206.60416666666666</v>
      </c>
      <c r="D6" s="143">
        <f>Sheet2!F22</f>
        <v>206.875</v>
      </c>
      <c r="E6" s="143">
        <f>Sheet2!G22</f>
        <v>0.27083333333334281</v>
      </c>
      <c r="F6" s="143">
        <f>Sheet2!H22</f>
        <v>206.97916666666666</v>
      </c>
      <c r="G6" s="143">
        <f>Sheet2!I22</f>
        <v>207.20833333333334</v>
      </c>
      <c r="H6" s="143">
        <f>Sheet2!J22</f>
        <v>0.22916666666668561</v>
      </c>
      <c r="I6" s="144">
        <f t="shared" ref="I6:I33" si="0">B6+E6+H6</f>
        <v>0.79861111111114269</v>
      </c>
      <c r="J6" s="143">
        <v>0.20138888888888887</v>
      </c>
      <c r="K6" s="143">
        <v>0</v>
      </c>
      <c r="L6" s="143">
        <v>0</v>
      </c>
      <c r="M6" s="143">
        <v>0</v>
      </c>
      <c r="N6" s="143">
        <v>0</v>
      </c>
      <c r="O6" s="144">
        <f t="shared" ref="O6:O34" si="1">SUM(K6:N6)</f>
        <v>0</v>
      </c>
      <c r="P6" s="143">
        <v>0</v>
      </c>
      <c r="Q6" s="143">
        <v>0</v>
      </c>
      <c r="R6" s="143">
        <v>0</v>
      </c>
      <c r="S6" s="143">
        <v>0</v>
      </c>
      <c r="T6" s="144">
        <f t="shared" ref="T6:T34" si="2">SUM(P6:S6)</f>
        <v>0</v>
      </c>
      <c r="U6" s="147">
        <f t="shared" ref="U6:U33" si="3">I6+O6+J6+T6</f>
        <v>1.0000000000000315</v>
      </c>
      <c r="V6" s="131"/>
    </row>
    <row r="7" spans="1:22" ht="15.75" x14ac:dyDescent="0.25">
      <c r="A7" s="142">
        <v>43924</v>
      </c>
      <c r="B7" s="143">
        <f>Sheet3!D22</f>
        <v>0.16666666666665719</v>
      </c>
      <c r="C7" s="143">
        <f>Sheet3!E22</f>
        <v>206.65277777777777</v>
      </c>
      <c r="D7" s="143">
        <f>Sheet3!F22</f>
        <v>206.79166666666666</v>
      </c>
      <c r="E7" s="143">
        <f>Sheet3!G22</f>
        <v>0.13888888888888573</v>
      </c>
      <c r="F7" s="143">
        <f>Sheet3!H22</f>
        <v>206.95833333333334</v>
      </c>
      <c r="G7" s="143">
        <f>Sheet3!I22</f>
        <v>207.16666666666666</v>
      </c>
      <c r="H7" s="143">
        <f>Sheet3!J22</f>
        <v>0.20833333333331439</v>
      </c>
      <c r="I7" s="144">
        <f t="shared" si="0"/>
        <v>0.51388888888885731</v>
      </c>
      <c r="J7" s="143">
        <v>0.15277777777777776</v>
      </c>
      <c r="K7" s="143">
        <v>0.16666666666666666</v>
      </c>
      <c r="L7" s="143">
        <v>0</v>
      </c>
      <c r="M7" s="143">
        <v>0.16666666666666666</v>
      </c>
      <c r="N7" s="143">
        <v>0</v>
      </c>
      <c r="O7" s="144">
        <f t="shared" si="1"/>
        <v>0.33333333333333331</v>
      </c>
      <c r="P7" s="143">
        <v>0</v>
      </c>
      <c r="Q7" s="143">
        <v>0</v>
      </c>
      <c r="R7" s="143">
        <v>0</v>
      </c>
      <c r="S7" s="143">
        <v>0</v>
      </c>
      <c r="T7" s="144">
        <f t="shared" si="2"/>
        <v>0</v>
      </c>
      <c r="U7" s="147">
        <f t="shared" si="3"/>
        <v>0.99999999999996836</v>
      </c>
      <c r="V7" s="131" t="s">
        <v>368</v>
      </c>
    </row>
    <row r="8" spans="1:22" ht="15.75" x14ac:dyDescent="0.25">
      <c r="A8" s="142">
        <v>43925</v>
      </c>
      <c r="B8" s="143">
        <f>Sheet4!D22</f>
        <v>0.19097222222222854</v>
      </c>
      <c r="C8" s="143">
        <f>Sheet4!E22</f>
        <v>206.58680555555554</v>
      </c>
      <c r="D8" s="143">
        <f>Sheet4!F22</f>
        <v>206.875</v>
      </c>
      <c r="E8" s="143">
        <f>Sheet4!G22</f>
        <v>0.28819444444445708</v>
      </c>
      <c r="F8" s="143">
        <f>Sheet4!H22</f>
        <v>206.93055555555554</v>
      </c>
      <c r="G8" s="143">
        <f>Sheet4!I22</f>
        <v>207.20833333333334</v>
      </c>
      <c r="H8" s="143">
        <f>Sheet4!J22</f>
        <v>0.27777777777779988</v>
      </c>
      <c r="I8" s="144">
        <f t="shared" si="0"/>
        <v>0.7569444444444855</v>
      </c>
      <c r="J8" s="143">
        <v>0.24305555555555555</v>
      </c>
      <c r="K8" s="143">
        <v>0</v>
      </c>
      <c r="L8" s="143">
        <v>0</v>
      </c>
      <c r="M8" s="143">
        <v>0</v>
      </c>
      <c r="N8" s="143">
        <v>0</v>
      </c>
      <c r="O8" s="144">
        <f t="shared" si="1"/>
        <v>0</v>
      </c>
      <c r="P8" s="143">
        <v>0</v>
      </c>
      <c r="Q8" s="143">
        <v>0</v>
      </c>
      <c r="R8" s="143">
        <v>0</v>
      </c>
      <c r="S8" s="143">
        <v>0</v>
      </c>
      <c r="T8" s="144">
        <f t="shared" si="2"/>
        <v>0</v>
      </c>
      <c r="U8" s="147">
        <f t="shared" si="3"/>
        <v>1.0000000000000411</v>
      </c>
      <c r="V8" s="131" t="s">
        <v>108</v>
      </c>
    </row>
    <row r="9" spans="1:22" ht="15.75" x14ac:dyDescent="0.25">
      <c r="A9" s="142">
        <v>43926</v>
      </c>
      <c r="B9" s="143">
        <f>Sheet5!D22</f>
        <v>0.19444444444442865</v>
      </c>
      <c r="C9" s="143">
        <f>Sheet5!E22</f>
        <v>206.60069444444446</v>
      </c>
      <c r="D9" s="143">
        <f>Sheet5!F22</f>
        <v>206.875</v>
      </c>
      <c r="E9" s="143">
        <f>Sheet5!G22</f>
        <v>0.27430555555554292</v>
      </c>
      <c r="F9" s="143">
        <f>Sheet5!H22</f>
        <v>206.94097222222223</v>
      </c>
      <c r="G9" s="143">
        <f>Sheet5!I22</f>
        <v>207.20833333333334</v>
      </c>
      <c r="H9" s="143">
        <f>Sheet5!J22</f>
        <v>0.26736111111111427</v>
      </c>
      <c r="I9" s="144">
        <f t="shared" si="0"/>
        <v>0.73611111111108585</v>
      </c>
      <c r="J9" s="143">
        <v>0.2638888888888889</v>
      </c>
      <c r="K9" s="143">
        <v>0</v>
      </c>
      <c r="L9" s="143">
        <v>0</v>
      </c>
      <c r="M9" s="143">
        <v>0</v>
      </c>
      <c r="N9" s="143">
        <v>0</v>
      </c>
      <c r="O9" s="144">
        <f t="shared" si="1"/>
        <v>0</v>
      </c>
      <c r="P9" s="143">
        <v>0</v>
      </c>
      <c r="Q9" s="143">
        <v>0</v>
      </c>
      <c r="R9" s="143">
        <v>0</v>
      </c>
      <c r="S9" s="143">
        <v>0</v>
      </c>
      <c r="T9" s="144">
        <f t="shared" si="2"/>
        <v>0</v>
      </c>
      <c r="U9" s="147">
        <f t="shared" si="3"/>
        <v>0.99999999999997469</v>
      </c>
      <c r="V9" s="151"/>
    </row>
    <row r="10" spans="1:22" ht="15.75" x14ac:dyDescent="0.25">
      <c r="A10" s="142">
        <v>43927</v>
      </c>
      <c r="B10" s="143">
        <f>Sheet6!D22</f>
        <v>0.29166666666665719</v>
      </c>
      <c r="C10" s="143">
        <f>Sheet6!E22</f>
        <v>206.58333333333334</v>
      </c>
      <c r="D10" s="143">
        <f>Sheet6!F22</f>
        <v>206.875</v>
      </c>
      <c r="E10" s="143">
        <f>Sheet6!G22</f>
        <v>0.29166666666665719</v>
      </c>
      <c r="F10" s="143">
        <f>Sheet6!H22</f>
        <v>206.90972222222223</v>
      </c>
      <c r="G10" s="143">
        <f>Sheet6!I22</f>
        <v>207.20833333333334</v>
      </c>
      <c r="H10" s="143">
        <f>Sheet6!J22</f>
        <v>0.29861111111111427</v>
      </c>
      <c r="I10" s="144">
        <f t="shared" si="0"/>
        <v>0.88194444444442865</v>
      </c>
      <c r="J10" s="143">
        <v>0.11805555555555557</v>
      </c>
      <c r="K10" s="143">
        <v>0</v>
      </c>
      <c r="L10" s="143">
        <v>0</v>
      </c>
      <c r="M10" s="143">
        <v>0</v>
      </c>
      <c r="N10" s="143">
        <v>0</v>
      </c>
      <c r="O10" s="144">
        <f t="shared" si="1"/>
        <v>0</v>
      </c>
      <c r="P10" s="143">
        <v>0</v>
      </c>
      <c r="Q10" s="143">
        <v>0</v>
      </c>
      <c r="R10" s="143">
        <v>0</v>
      </c>
      <c r="S10" s="143">
        <v>0</v>
      </c>
      <c r="T10" s="144">
        <f t="shared" si="2"/>
        <v>0</v>
      </c>
      <c r="U10" s="147">
        <f t="shared" si="3"/>
        <v>0.99999999999998423</v>
      </c>
      <c r="V10" s="246"/>
    </row>
    <row r="11" spans="1:22" ht="15.75" x14ac:dyDescent="0.25">
      <c r="A11" s="142">
        <v>43928</v>
      </c>
      <c r="B11" s="143">
        <f>Sheet7!D22</f>
        <v>0.29166666666668561</v>
      </c>
      <c r="C11" s="143">
        <f>Sheet7!E22</f>
        <v>206.58680555555554</v>
      </c>
      <c r="D11" s="143">
        <f>Sheet7!F22</f>
        <v>206.875</v>
      </c>
      <c r="E11" s="143">
        <f>Sheet7!G22</f>
        <v>0.28819444444445708</v>
      </c>
      <c r="F11" s="143">
        <f>Sheet7!H22</f>
        <v>206.98958333333334</v>
      </c>
      <c r="G11" s="143">
        <f>Sheet7!I22</f>
        <v>207.20833333333334</v>
      </c>
      <c r="H11" s="143">
        <f>Sheet7!J22</f>
        <v>0.21875</v>
      </c>
      <c r="I11" s="144">
        <f t="shared" si="0"/>
        <v>0.79861111111114269</v>
      </c>
      <c r="J11" s="143">
        <v>0.20138888888888887</v>
      </c>
      <c r="K11" s="143">
        <v>0</v>
      </c>
      <c r="L11" s="143">
        <v>0</v>
      </c>
      <c r="M11" s="143">
        <v>0</v>
      </c>
      <c r="N11" s="143">
        <v>0</v>
      </c>
      <c r="O11" s="144">
        <f t="shared" si="1"/>
        <v>0</v>
      </c>
      <c r="P11" s="143">
        <v>0</v>
      </c>
      <c r="Q11" s="143">
        <v>0</v>
      </c>
      <c r="R11" s="143">
        <v>0</v>
      </c>
      <c r="S11" s="143">
        <v>0</v>
      </c>
      <c r="T11" s="144">
        <f t="shared" si="2"/>
        <v>0</v>
      </c>
      <c r="U11" s="147">
        <f t="shared" si="3"/>
        <v>1.0000000000000315</v>
      </c>
      <c r="V11" s="131"/>
    </row>
    <row r="12" spans="1:22" ht="30" x14ac:dyDescent="0.25">
      <c r="A12" s="142">
        <v>43929</v>
      </c>
      <c r="B12" s="143">
        <f>Sheet8!D22</f>
        <v>0</v>
      </c>
      <c r="C12" s="143">
        <f>Sheet8!E22</f>
        <v>206.60416666666666</v>
      </c>
      <c r="D12" s="143">
        <f>Sheet8!F22</f>
        <v>206.875</v>
      </c>
      <c r="E12" s="143">
        <f>Sheet8!G22</f>
        <v>0.27083333333334281</v>
      </c>
      <c r="F12" s="143">
        <f>Sheet8!H22</f>
        <v>206.91666666666666</v>
      </c>
      <c r="G12" s="143">
        <f>Sheet8!I22</f>
        <v>207.16666666666666</v>
      </c>
      <c r="H12" s="143">
        <f>Sheet8!J22</f>
        <v>0.25</v>
      </c>
      <c r="I12" s="144">
        <f t="shared" si="0"/>
        <v>0.52083333333334281</v>
      </c>
      <c r="J12" s="143">
        <v>9.375E-2</v>
      </c>
      <c r="K12" s="143">
        <v>0</v>
      </c>
      <c r="L12" s="143">
        <v>0</v>
      </c>
      <c r="M12" s="143">
        <v>0</v>
      </c>
      <c r="N12" s="143">
        <v>0</v>
      </c>
      <c r="O12" s="144">
        <f t="shared" si="1"/>
        <v>0</v>
      </c>
      <c r="P12" s="143">
        <v>0</v>
      </c>
      <c r="Q12" s="143">
        <v>0</v>
      </c>
      <c r="R12" s="143">
        <v>0.38541666666666669</v>
      </c>
      <c r="S12" s="143">
        <v>0</v>
      </c>
      <c r="T12" s="144">
        <f t="shared" si="2"/>
        <v>0.38541666666666669</v>
      </c>
      <c r="U12" s="147">
        <f t="shared" si="3"/>
        <v>1.0000000000000095</v>
      </c>
      <c r="V12" s="131" t="s">
        <v>369</v>
      </c>
    </row>
    <row r="13" spans="1:22" ht="15.75" x14ac:dyDescent="0.25">
      <c r="A13" s="142">
        <v>43930</v>
      </c>
      <c r="B13" s="143">
        <f>Sheet9!D22</f>
        <v>0.29166666666665719</v>
      </c>
      <c r="C13" s="143">
        <f>Sheet9!E22</f>
        <v>206.59722222222223</v>
      </c>
      <c r="D13" s="143">
        <f>Sheet9!F22</f>
        <v>206.875</v>
      </c>
      <c r="E13" s="143">
        <f>Sheet9!G22</f>
        <v>0.27777777777777146</v>
      </c>
      <c r="F13" s="143">
        <f>Sheet9!H22</f>
        <v>207.04861111111111</v>
      </c>
      <c r="G13" s="143">
        <f>Sheet9!I22</f>
        <v>207.20833333333334</v>
      </c>
      <c r="H13" s="143">
        <f>Sheet9!J22</f>
        <v>0.15972222222222854</v>
      </c>
      <c r="I13" s="144">
        <f t="shared" si="0"/>
        <v>0.72916666666665719</v>
      </c>
      <c r="J13" s="143">
        <v>0.14583333333333334</v>
      </c>
      <c r="K13" s="143">
        <v>0</v>
      </c>
      <c r="L13" s="143">
        <v>0</v>
      </c>
      <c r="M13" s="143">
        <v>0.125</v>
      </c>
      <c r="N13" s="143">
        <v>0</v>
      </c>
      <c r="O13" s="144">
        <f t="shared" si="1"/>
        <v>0.125</v>
      </c>
      <c r="P13" s="143">
        <v>0</v>
      </c>
      <c r="Q13" s="143">
        <v>0</v>
      </c>
      <c r="R13" s="143">
        <v>0</v>
      </c>
      <c r="S13" s="143">
        <v>0</v>
      </c>
      <c r="T13" s="144">
        <f t="shared" si="2"/>
        <v>0</v>
      </c>
      <c r="U13" s="147">
        <f t="shared" si="3"/>
        <v>0.99999999999999056</v>
      </c>
      <c r="V13" s="131"/>
    </row>
    <row r="14" spans="1:22" ht="30" x14ac:dyDescent="0.25">
      <c r="A14" s="142">
        <v>43931</v>
      </c>
      <c r="B14" s="143">
        <f>Sheet10!D22</f>
        <v>0.26736111111111427</v>
      </c>
      <c r="C14" s="143">
        <f>Sheet10!E22</f>
        <v>206.59375</v>
      </c>
      <c r="D14" s="143">
        <f>Sheet10!F22</f>
        <v>206.875</v>
      </c>
      <c r="E14" s="143">
        <f>Sheet10!G22</f>
        <v>0.28125</v>
      </c>
      <c r="F14" s="143">
        <f>Sheet10!H22</f>
        <v>206.98263888888889</v>
      </c>
      <c r="G14" s="143">
        <f>Sheet10!I22</f>
        <v>207.125</v>
      </c>
      <c r="H14" s="143">
        <f>Sheet10!J22</f>
        <v>0.14236111111111427</v>
      </c>
      <c r="I14" s="144">
        <f t="shared" si="0"/>
        <v>0.69097222222222854</v>
      </c>
      <c r="J14" s="143">
        <v>0.19444444444444445</v>
      </c>
      <c r="K14" s="143">
        <v>0</v>
      </c>
      <c r="L14" s="143">
        <v>0</v>
      </c>
      <c r="M14" s="143">
        <v>0</v>
      </c>
      <c r="N14" s="143">
        <v>0</v>
      </c>
      <c r="O14" s="144">
        <f t="shared" si="1"/>
        <v>0</v>
      </c>
      <c r="P14" s="143">
        <v>0</v>
      </c>
      <c r="Q14" s="143">
        <v>0</v>
      </c>
      <c r="R14" s="143">
        <v>0.11458333333333333</v>
      </c>
      <c r="S14" s="143">
        <v>0</v>
      </c>
      <c r="T14" s="144">
        <f t="shared" si="2"/>
        <v>0.11458333333333333</v>
      </c>
      <c r="U14" s="147">
        <f t="shared" si="3"/>
        <v>1.0000000000000062</v>
      </c>
      <c r="V14" s="131" t="s">
        <v>370</v>
      </c>
    </row>
    <row r="15" spans="1:22" ht="15.75" x14ac:dyDescent="0.25">
      <c r="A15" s="142">
        <v>43932</v>
      </c>
      <c r="B15" s="143">
        <f>Sheet11!D22</f>
        <v>0.26736111111111427</v>
      </c>
      <c r="C15" s="143">
        <f>Sheet11!E22</f>
        <v>206.58333333333334</v>
      </c>
      <c r="D15" s="143">
        <f>Sheet11!F22</f>
        <v>206.875</v>
      </c>
      <c r="E15" s="143">
        <f>Sheet11!G22</f>
        <v>0.29166666666665719</v>
      </c>
      <c r="F15" s="143">
        <f>Sheet11!H22</f>
        <v>206.91666666666666</v>
      </c>
      <c r="G15" s="143">
        <f>Sheet11!I22</f>
        <v>207.20833333333334</v>
      </c>
      <c r="H15" s="143">
        <f>Sheet11!J22</f>
        <v>0.29166666666668561</v>
      </c>
      <c r="I15" s="144">
        <f t="shared" si="0"/>
        <v>0.85069444444445708</v>
      </c>
      <c r="J15" s="143">
        <v>0.14930555555555555</v>
      </c>
      <c r="K15" s="143">
        <v>0</v>
      </c>
      <c r="L15" s="143">
        <v>0</v>
      </c>
      <c r="M15" s="143">
        <v>0</v>
      </c>
      <c r="N15" s="143">
        <v>0</v>
      </c>
      <c r="O15" s="144">
        <f t="shared" si="1"/>
        <v>0</v>
      </c>
      <c r="P15" s="143">
        <v>0</v>
      </c>
      <c r="Q15" s="143">
        <v>0</v>
      </c>
      <c r="R15" s="143">
        <v>0</v>
      </c>
      <c r="S15" s="143">
        <v>0</v>
      </c>
      <c r="T15" s="144">
        <f t="shared" si="2"/>
        <v>0</v>
      </c>
      <c r="U15" s="147">
        <f t="shared" si="3"/>
        <v>1.0000000000000127</v>
      </c>
      <c r="V15" s="131" t="s">
        <v>108</v>
      </c>
    </row>
    <row r="16" spans="1:22" ht="15.75" x14ac:dyDescent="0.25">
      <c r="A16" s="142">
        <v>43933</v>
      </c>
      <c r="B16" s="143">
        <f>Sheet12!D22</f>
        <v>0.29861111111111427</v>
      </c>
      <c r="C16" s="143">
        <f>Sheet12!E22</f>
        <v>206.625</v>
      </c>
      <c r="D16" s="143">
        <f>Sheet12!F22</f>
        <v>206.875</v>
      </c>
      <c r="E16" s="143">
        <f>Sheet12!G22</f>
        <v>0.25</v>
      </c>
      <c r="F16" s="143">
        <f>Sheet12!H22</f>
        <v>206.91666666666666</v>
      </c>
      <c r="G16" s="143">
        <f>Sheet12!I22</f>
        <v>207.20833333333334</v>
      </c>
      <c r="H16" s="143">
        <f>Sheet12!J22</f>
        <v>0.29166666666668561</v>
      </c>
      <c r="I16" s="144">
        <f t="shared" si="0"/>
        <v>0.84027777777779988</v>
      </c>
      <c r="J16" s="143">
        <v>0.15972222222222224</v>
      </c>
      <c r="K16" s="143">
        <v>0</v>
      </c>
      <c r="L16" s="143">
        <v>0</v>
      </c>
      <c r="M16" s="143">
        <v>0</v>
      </c>
      <c r="N16" s="143">
        <v>0</v>
      </c>
      <c r="O16" s="144">
        <f t="shared" si="1"/>
        <v>0</v>
      </c>
      <c r="P16" s="143">
        <v>0</v>
      </c>
      <c r="Q16" s="143">
        <v>0</v>
      </c>
      <c r="R16" s="143">
        <v>0</v>
      </c>
      <c r="S16" s="143">
        <v>0</v>
      </c>
      <c r="T16" s="144">
        <f t="shared" si="2"/>
        <v>0</v>
      </c>
      <c r="U16" s="147">
        <f t="shared" si="3"/>
        <v>1.0000000000000222</v>
      </c>
      <c r="V16" s="131" t="s">
        <v>108</v>
      </c>
    </row>
    <row r="17" spans="1:22" ht="15.75" x14ac:dyDescent="0.25">
      <c r="A17" s="142">
        <v>43934</v>
      </c>
      <c r="B17" s="143">
        <f>Sheet13!D22</f>
        <v>0.28819444444442865</v>
      </c>
      <c r="C17" s="143">
        <f>Sheet13!E22</f>
        <v>206.625</v>
      </c>
      <c r="D17" s="143">
        <f>Sheet13!F22</f>
        <v>206.875</v>
      </c>
      <c r="E17" s="143">
        <f>Sheet13!G22</f>
        <v>0.25</v>
      </c>
      <c r="F17" s="143">
        <f>Sheet13!H22</f>
        <v>206.97916666666666</v>
      </c>
      <c r="G17" s="143">
        <f>Sheet13!I22</f>
        <v>207.15277777777777</v>
      </c>
      <c r="H17" s="143">
        <f>Sheet13!J22</f>
        <v>0.17361111111111427</v>
      </c>
      <c r="I17" s="144">
        <f t="shared" si="0"/>
        <v>0.71180555555554292</v>
      </c>
      <c r="J17" s="143">
        <v>0.23958333333333334</v>
      </c>
      <c r="K17" s="143">
        <v>0</v>
      </c>
      <c r="L17" s="143">
        <v>0</v>
      </c>
      <c r="M17" s="143">
        <v>4.8611111111111112E-2</v>
      </c>
      <c r="N17" s="143">
        <v>0</v>
      </c>
      <c r="O17" s="144">
        <f t="shared" si="1"/>
        <v>4.8611111111111112E-2</v>
      </c>
      <c r="P17" s="143">
        <v>0</v>
      </c>
      <c r="Q17" s="143">
        <v>0</v>
      </c>
      <c r="R17" s="143">
        <v>0</v>
      </c>
      <c r="S17" s="143">
        <v>0</v>
      </c>
      <c r="T17" s="144">
        <f t="shared" si="2"/>
        <v>0</v>
      </c>
      <c r="U17" s="147">
        <f t="shared" si="3"/>
        <v>0.99999999999998745</v>
      </c>
      <c r="V17" s="131" t="s">
        <v>108</v>
      </c>
    </row>
    <row r="18" spans="1:22" ht="30" x14ac:dyDescent="0.25">
      <c r="A18" s="142">
        <v>43935</v>
      </c>
      <c r="B18" s="143">
        <f>Sheet14!D22</f>
        <v>5.9027777777771462E-2</v>
      </c>
      <c r="C18" s="143">
        <f>Sheet14!E22</f>
        <v>206.65972222222223</v>
      </c>
      <c r="D18" s="143">
        <f>Sheet14!F22</f>
        <v>206.875</v>
      </c>
      <c r="E18" s="143">
        <f>Sheet14!G22</f>
        <v>0.21527777777777146</v>
      </c>
      <c r="F18" s="143">
        <f>Sheet14!H22</f>
        <v>206.98611111111111</v>
      </c>
      <c r="G18" s="143">
        <f>Sheet14!I22</f>
        <v>207.20833333333334</v>
      </c>
      <c r="H18" s="143">
        <f>Sheet14!J22</f>
        <v>0.22222222222222854</v>
      </c>
      <c r="I18" s="144">
        <f t="shared" si="0"/>
        <v>0.49652777777777146</v>
      </c>
      <c r="J18" s="143">
        <v>0.20138888888888887</v>
      </c>
      <c r="K18" s="143">
        <v>0.11458333333333333</v>
      </c>
      <c r="L18" s="143">
        <v>0</v>
      </c>
      <c r="M18" s="143">
        <v>0.1875</v>
      </c>
      <c r="N18" s="143">
        <v>0</v>
      </c>
      <c r="O18" s="144">
        <f t="shared" si="1"/>
        <v>0.30208333333333331</v>
      </c>
      <c r="P18" s="143">
        <v>0</v>
      </c>
      <c r="Q18" s="143">
        <v>0</v>
      </c>
      <c r="R18" s="143">
        <v>0</v>
      </c>
      <c r="S18" s="143">
        <v>0</v>
      </c>
      <c r="T18" s="144">
        <f t="shared" si="2"/>
        <v>0</v>
      </c>
      <c r="U18" s="147">
        <f t="shared" si="3"/>
        <v>0.99999999999999356</v>
      </c>
      <c r="V18" s="131" t="s">
        <v>371</v>
      </c>
    </row>
    <row r="19" spans="1:22" ht="15.75" x14ac:dyDescent="0.25">
      <c r="A19" s="142">
        <v>43936</v>
      </c>
      <c r="B19" s="143">
        <f>Sheet15!D22</f>
        <v>0.28819444444442865</v>
      </c>
      <c r="C19" s="143">
        <f>Sheet14!E22</f>
        <v>206.65972222222223</v>
      </c>
      <c r="D19" s="143">
        <f>Sheet14!F22</f>
        <v>206.875</v>
      </c>
      <c r="E19" s="143">
        <f>Sheet15!G22</f>
        <v>0.29513888888888573</v>
      </c>
      <c r="F19" s="143">
        <f>Sheet14!H22</f>
        <v>206.98611111111111</v>
      </c>
      <c r="G19" s="143">
        <f>Sheet14!I22</f>
        <v>207.20833333333334</v>
      </c>
      <c r="H19" s="143">
        <f>Sheet15!J22</f>
        <v>0.29861111111111427</v>
      </c>
      <c r="I19" s="144">
        <f t="shared" si="0"/>
        <v>0.88194444444442865</v>
      </c>
      <c r="J19" s="143">
        <v>0.11805555555555557</v>
      </c>
      <c r="K19" s="143">
        <v>0</v>
      </c>
      <c r="L19" s="143">
        <v>0</v>
      </c>
      <c r="M19" s="143">
        <v>0</v>
      </c>
      <c r="N19" s="143">
        <v>0</v>
      </c>
      <c r="O19" s="144">
        <f t="shared" si="1"/>
        <v>0</v>
      </c>
      <c r="P19" s="143">
        <v>0</v>
      </c>
      <c r="Q19" s="143">
        <v>0</v>
      </c>
      <c r="R19" s="143">
        <v>0</v>
      </c>
      <c r="S19" s="143">
        <v>0</v>
      </c>
      <c r="T19" s="144">
        <f t="shared" si="2"/>
        <v>0</v>
      </c>
      <c r="U19" s="147">
        <f t="shared" si="3"/>
        <v>0.99999999999998423</v>
      </c>
      <c r="V19" s="131"/>
    </row>
    <row r="20" spans="1:22" ht="15.75" x14ac:dyDescent="0.25">
      <c r="A20" s="142">
        <v>43937</v>
      </c>
      <c r="B20" s="143">
        <f>Sheet16!D22</f>
        <v>0.26388888888888573</v>
      </c>
      <c r="C20" s="143">
        <f>Sheet16!E22</f>
        <v>206.58333333333334</v>
      </c>
      <c r="D20" s="143">
        <f>Sheet16!F22</f>
        <v>206.875</v>
      </c>
      <c r="E20" s="143">
        <f>Sheet16!G22</f>
        <v>0.29166666666665719</v>
      </c>
      <c r="F20" s="143">
        <f>Sheet16!H22</f>
        <v>206.90972222222223</v>
      </c>
      <c r="G20" s="143">
        <f>Sheet16!I22</f>
        <v>207.20833333333334</v>
      </c>
      <c r="H20" s="143">
        <f>Sheet16!J22</f>
        <v>0.29861111111111427</v>
      </c>
      <c r="I20" s="144">
        <f t="shared" si="0"/>
        <v>0.85416666666665719</v>
      </c>
      <c r="J20" s="143">
        <v>0.14583333333333334</v>
      </c>
      <c r="K20" s="143">
        <v>0</v>
      </c>
      <c r="L20" s="143">
        <v>0</v>
      </c>
      <c r="M20" s="143">
        <v>0</v>
      </c>
      <c r="N20" s="143">
        <v>0</v>
      </c>
      <c r="O20" s="144">
        <f t="shared" si="1"/>
        <v>0</v>
      </c>
      <c r="P20" s="143">
        <v>0</v>
      </c>
      <c r="Q20" s="143">
        <v>0</v>
      </c>
      <c r="R20" s="143">
        <v>0</v>
      </c>
      <c r="S20" s="143">
        <v>0</v>
      </c>
      <c r="T20" s="144">
        <f t="shared" si="2"/>
        <v>0</v>
      </c>
      <c r="U20" s="147">
        <f t="shared" si="3"/>
        <v>0.99999999999999056</v>
      </c>
      <c r="V20" s="131"/>
    </row>
    <row r="21" spans="1:22" ht="15.75" x14ac:dyDescent="0.25">
      <c r="A21" s="142">
        <v>43938</v>
      </c>
      <c r="B21" s="143">
        <f>Sheet17!D22</f>
        <v>0.27083333333331439</v>
      </c>
      <c r="C21" s="143">
        <f>Sheet17!E22</f>
        <v>206.66319444444446</v>
      </c>
      <c r="D21" s="143">
        <f>Sheet17!F22</f>
        <v>206.875</v>
      </c>
      <c r="E21" s="143">
        <f>Sheet17!G22</f>
        <v>0.21180555555554292</v>
      </c>
      <c r="F21" s="143">
        <f>Sheet17!H22</f>
        <v>206.90972222222223</v>
      </c>
      <c r="G21" s="143">
        <f>Sheet17!I22</f>
        <v>207.20833333333334</v>
      </c>
      <c r="H21" s="143">
        <f>Sheet17!J22</f>
        <v>0.29861111111111427</v>
      </c>
      <c r="I21" s="144">
        <f t="shared" si="0"/>
        <v>0.78124999999997158</v>
      </c>
      <c r="J21" s="143">
        <v>0.21875</v>
      </c>
      <c r="K21" s="143">
        <v>0</v>
      </c>
      <c r="L21" s="143">
        <v>0</v>
      </c>
      <c r="M21" s="143">
        <v>0</v>
      </c>
      <c r="N21" s="143">
        <v>0</v>
      </c>
      <c r="O21" s="144">
        <f t="shared" si="1"/>
        <v>0</v>
      </c>
      <c r="P21" s="143">
        <v>0</v>
      </c>
      <c r="Q21" s="143">
        <v>0</v>
      </c>
      <c r="R21" s="143">
        <v>0</v>
      </c>
      <c r="S21" s="143">
        <v>0</v>
      </c>
      <c r="T21" s="144">
        <f t="shared" si="2"/>
        <v>0</v>
      </c>
      <c r="U21" s="147">
        <f t="shared" si="3"/>
        <v>0.99999999999997158</v>
      </c>
      <c r="V21" s="319"/>
    </row>
    <row r="22" spans="1:22" ht="15.75" x14ac:dyDescent="0.25">
      <c r="A22" s="142">
        <v>43939</v>
      </c>
      <c r="B22" s="143">
        <f>Sheet18!D22</f>
        <v>0.28472222222220012</v>
      </c>
      <c r="C22" s="143">
        <f>Sheet18!E22</f>
        <v>206.60416666666666</v>
      </c>
      <c r="D22" s="143">
        <f>Sheet18!F22</f>
        <v>206.875</v>
      </c>
      <c r="E22" s="143">
        <f>Sheet18!G22</f>
        <v>0.27083333333334281</v>
      </c>
      <c r="F22" s="143">
        <f>Sheet18!H22</f>
        <v>206.90625</v>
      </c>
      <c r="G22" s="143">
        <f>Sheet18!I22</f>
        <v>207.20833333333334</v>
      </c>
      <c r="H22" s="143">
        <f>Sheet18!J22</f>
        <v>0.30208333333334281</v>
      </c>
      <c r="I22" s="144">
        <f t="shared" si="0"/>
        <v>0.85763888888888573</v>
      </c>
      <c r="J22" s="143">
        <v>0.1423611111111111</v>
      </c>
      <c r="K22" s="143">
        <v>0</v>
      </c>
      <c r="L22" s="143">
        <v>0</v>
      </c>
      <c r="M22" s="143">
        <v>0</v>
      </c>
      <c r="N22" s="143">
        <v>0</v>
      </c>
      <c r="O22" s="144">
        <f t="shared" si="1"/>
        <v>0</v>
      </c>
      <c r="P22" s="143">
        <v>0</v>
      </c>
      <c r="Q22" s="143">
        <v>0</v>
      </c>
      <c r="R22" s="143">
        <v>0</v>
      </c>
      <c r="S22" s="143">
        <v>0</v>
      </c>
      <c r="T22" s="144">
        <f t="shared" si="2"/>
        <v>0</v>
      </c>
      <c r="U22" s="147">
        <f t="shared" si="3"/>
        <v>0.99999999999999689</v>
      </c>
      <c r="V22" s="320"/>
    </row>
    <row r="23" spans="1:22" ht="15.75" x14ac:dyDescent="0.25">
      <c r="A23" s="142">
        <v>43940</v>
      </c>
      <c r="B23" s="143">
        <f>Sheet19!D22</f>
        <v>0.29861111111111427</v>
      </c>
      <c r="C23" s="143">
        <f>Sheet18!E22</f>
        <v>206.60416666666666</v>
      </c>
      <c r="D23" s="143">
        <f>Sheet18!F22</f>
        <v>206.875</v>
      </c>
      <c r="E23" s="143">
        <f>Sheet19!G22</f>
        <v>0.29166666666665719</v>
      </c>
      <c r="F23" s="143">
        <f>Sheet18!H22</f>
        <v>206.90625</v>
      </c>
      <c r="G23" s="143">
        <f>Sheet18!I22</f>
        <v>207.20833333333334</v>
      </c>
      <c r="H23" s="143">
        <f>Sheet19!J22</f>
        <v>0.28472222222222854</v>
      </c>
      <c r="I23" s="144">
        <f t="shared" si="0"/>
        <v>0.875</v>
      </c>
      <c r="J23" s="143">
        <v>0.125</v>
      </c>
      <c r="K23" s="143">
        <v>0</v>
      </c>
      <c r="L23" s="143">
        <v>0</v>
      </c>
      <c r="M23" s="143">
        <v>0</v>
      </c>
      <c r="N23" s="143">
        <v>0</v>
      </c>
      <c r="O23" s="144">
        <f t="shared" si="1"/>
        <v>0</v>
      </c>
      <c r="P23" s="143">
        <v>0</v>
      </c>
      <c r="Q23" s="143">
        <v>0</v>
      </c>
      <c r="R23" s="143">
        <v>0</v>
      </c>
      <c r="S23" s="143">
        <v>0</v>
      </c>
      <c r="T23" s="144">
        <f t="shared" si="2"/>
        <v>0</v>
      </c>
      <c r="U23" s="147">
        <f t="shared" si="3"/>
        <v>1</v>
      </c>
      <c r="V23" s="321"/>
    </row>
    <row r="24" spans="1:22" ht="15.75" customHeight="1" x14ac:dyDescent="0.25">
      <c r="A24" s="142">
        <v>43941</v>
      </c>
      <c r="B24" s="143">
        <f>Sheet20!D22</f>
        <v>0.23263888888888573</v>
      </c>
      <c r="C24" s="143">
        <f>Sheet20!E22</f>
        <v>206.65625</v>
      </c>
      <c r="D24" s="143">
        <f>Sheet20!F22</f>
        <v>206.875</v>
      </c>
      <c r="E24" s="143">
        <f>Sheet20!G22</f>
        <v>0.21875</v>
      </c>
      <c r="F24" s="143">
        <f>Sheet20!H22</f>
        <v>206.96527777777777</v>
      </c>
      <c r="G24" s="143">
        <f>Sheet20!I22</f>
        <v>207.20833333333334</v>
      </c>
      <c r="H24" s="143">
        <f>Sheet20!J22</f>
        <v>0.24305555555557135</v>
      </c>
      <c r="I24" s="144">
        <f t="shared" si="0"/>
        <v>0.69444444444445708</v>
      </c>
      <c r="J24" s="143">
        <v>9.7222222222222224E-2</v>
      </c>
      <c r="K24" s="143">
        <v>0</v>
      </c>
      <c r="L24" s="143">
        <v>0</v>
      </c>
      <c r="M24" s="143">
        <v>0</v>
      </c>
      <c r="N24" s="143">
        <v>0</v>
      </c>
      <c r="O24" s="144">
        <f t="shared" si="1"/>
        <v>0</v>
      </c>
      <c r="P24" s="143">
        <v>0</v>
      </c>
      <c r="Q24" s="143">
        <v>0</v>
      </c>
      <c r="R24" s="143">
        <v>0.20833333333333334</v>
      </c>
      <c r="S24" s="143">
        <v>0</v>
      </c>
      <c r="T24" s="144">
        <f t="shared" si="2"/>
        <v>0.20833333333333334</v>
      </c>
      <c r="U24" s="147">
        <f t="shared" si="3"/>
        <v>1.0000000000000127</v>
      </c>
      <c r="V24" s="131" t="s">
        <v>372</v>
      </c>
    </row>
    <row r="25" spans="1:22" ht="15.75" x14ac:dyDescent="0.25">
      <c r="A25" s="142">
        <v>43942</v>
      </c>
      <c r="B25" s="143">
        <f>Sheet21!D22</f>
        <v>0.29861111111111427</v>
      </c>
      <c r="C25" s="143">
        <f>Sheet21!E22</f>
        <v>206.57986111111111</v>
      </c>
      <c r="D25" s="143">
        <f>Sheet21!F22</f>
        <v>206.875</v>
      </c>
      <c r="E25" s="143">
        <f>Sheet21!G22</f>
        <v>0.29513888888888573</v>
      </c>
      <c r="F25" s="143">
        <f>Sheet21!H22</f>
        <v>206.91666666666666</v>
      </c>
      <c r="G25" s="143">
        <f>Sheet21!I22</f>
        <v>207.16666666666666</v>
      </c>
      <c r="H25" s="143">
        <f>Sheet21!J22</f>
        <v>0.25</v>
      </c>
      <c r="I25" s="144">
        <f t="shared" si="0"/>
        <v>0.84375</v>
      </c>
      <c r="J25" s="143">
        <v>0.15625</v>
      </c>
      <c r="K25" s="143">
        <v>0</v>
      </c>
      <c r="L25" s="143">
        <v>0</v>
      </c>
      <c r="M25" s="143">
        <v>0</v>
      </c>
      <c r="N25" s="143">
        <v>0</v>
      </c>
      <c r="O25" s="144">
        <f t="shared" si="1"/>
        <v>0</v>
      </c>
      <c r="P25" s="143">
        <v>0</v>
      </c>
      <c r="Q25" s="143">
        <v>0</v>
      </c>
      <c r="R25" s="143">
        <v>0</v>
      </c>
      <c r="S25" s="143">
        <v>0</v>
      </c>
      <c r="T25" s="144">
        <f t="shared" si="2"/>
        <v>0</v>
      </c>
      <c r="U25" s="147">
        <f t="shared" si="3"/>
        <v>1</v>
      </c>
    </row>
    <row r="26" spans="1:22" ht="15.75" x14ac:dyDescent="0.25">
      <c r="A26" s="142">
        <v>43943</v>
      </c>
      <c r="B26" s="143">
        <f>Sheet22!D22</f>
        <v>0.1875</v>
      </c>
      <c r="C26" s="143">
        <f>Sheet22!E22</f>
        <v>206.61458333333334</v>
      </c>
      <c r="D26" s="143">
        <f>Sheet22!F22</f>
        <v>206.875</v>
      </c>
      <c r="E26" s="143">
        <f>Sheet22!G22</f>
        <v>0.26041666666665719</v>
      </c>
      <c r="F26" s="143">
        <f>Sheet22!H22</f>
        <v>206.92013888888889</v>
      </c>
      <c r="G26" s="143">
        <f>Sheet22!I22</f>
        <v>207.20833333333334</v>
      </c>
      <c r="H26" s="143">
        <f>Sheet22!J22</f>
        <v>0.28819444444445708</v>
      </c>
      <c r="I26" s="144">
        <f t="shared" si="0"/>
        <v>0.73611111111111427</v>
      </c>
      <c r="J26" s="143">
        <v>0.2638888888888889</v>
      </c>
      <c r="K26" s="143">
        <v>0</v>
      </c>
      <c r="L26" s="143">
        <v>0</v>
      </c>
      <c r="M26" s="143">
        <v>0</v>
      </c>
      <c r="N26" s="143">
        <v>0</v>
      </c>
      <c r="O26" s="144">
        <f t="shared" si="1"/>
        <v>0</v>
      </c>
      <c r="P26" s="143">
        <v>0</v>
      </c>
      <c r="Q26" s="143">
        <v>0</v>
      </c>
      <c r="R26" s="143">
        <v>0</v>
      </c>
      <c r="S26" s="143">
        <v>0</v>
      </c>
      <c r="T26" s="144">
        <f t="shared" si="2"/>
        <v>0</v>
      </c>
      <c r="U26" s="147">
        <f t="shared" si="3"/>
        <v>1.0000000000000031</v>
      </c>
      <c r="V26" s="151"/>
    </row>
    <row r="27" spans="1:22" ht="15.75" x14ac:dyDescent="0.25">
      <c r="A27" s="142">
        <v>43944</v>
      </c>
      <c r="B27" s="143">
        <f>Sheet23!D22</f>
        <v>0.26041666666665719</v>
      </c>
      <c r="C27" s="143">
        <f>Sheet23!E22</f>
        <v>206.59375</v>
      </c>
      <c r="D27" s="143">
        <f>Sheet23!F22</f>
        <v>206.875</v>
      </c>
      <c r="E27" s="143">
        <f>Sheet23!G22</f>
        <v>0.28125</v>
      </c>
      <c r="F27" s="143">
        <f>Sheet23!H22</f>
        <v>206.92708333333334</v>
      </c>
      <c r="G27" s="143">
        <f>Sheet23!I22</f>
        <v>207.20833333333334</v>
      </c>
      <c r="H27" s="143">
        <f>Sheet23!J22</f>
        <v>0.28125</v>
      </c>
      <c r="I27" s="144">
        <f t="shared" si="0"/>
        <v>0.82291666666665719</v>
      </c>
      <c r="J27" s="143">
        <v>0.17708333333333334</v>
      </c>
      <c r="K27" s="143">
        <v>0</v>
      </c>
      <c r="L27" s="143">
        <v>0</v>
      </c>
      <c r="M27" s="143">
        <v>0</v>
      </c>
      <c r="N27" s="143">
        <v>0</v>
      </c>
      <c r="O27" s="144">
        <f t="shared" si="1"/>
        <v>0</v>
      </c>
      <c r="P27" s="143">
        <v>0</v>
      </c>
      <c r="Q27" s="143">
        <v>0</v>
      </c>
      <c r="R27" s="143">
        <v>0</v>
      </c>
      <c r="S27" s="143">
        <v>0</v>
      </c>
      <c r="T27" s="144">
        <f t="shared" si="2"/>
        <v>0</v>
      </c>
      <c r="U27" s="147">
        <f t="shared" si="3"/>
        <v>0.99999999999999056</v>
      </c>
      <c r="V27" s="131" t="s">
        <v>108</v>
      </c>
    </row>
    <row r="28" spans="1:22" ht="15.75" x14ac:dyDescent="0.25">
      <c r="A28" s="142">
        <v>43945</v>
      </c>
      <c r="B28" s="143">
        <f>Sheet24!D22</f>
        <v>0.29166666666665719</v>
      </c>
      <c r="C28" s="143">
        <f>Sheet24!E22</f>
        <v>206.57638888888889</v>
      </c>
      <c r="D28" s="143">
        <f>Sheet24!F22</f>
        <v>206.875</v>
      </c>
      <c r="E28" s="143">
        <f>Sheet24!G22</f>
        <v>0.29861111111111427</v>
      </c>
      <c r="F28" s="143">
        <f>Sheet24!H22</f>
        <v>206.93402777777777</v>
      </c>
      <c r="G28" s="143">
        <f>Sheet24!I22</f>
        <v>207.20833333333334</v>
      </c>
      <c r="H28" s="143">
        <f>Sheet24!J22</f>
        <v>0.27430555555557135</v>
      </c>
      <c r="I28" s="144">
        <f t="shared" si="0"/>
        <v>0.86458333333334281</v>
      </c>
      <c r="J28" s="143">
        <v>0.13541666666666666</v>
      </c>
      <c r="K28" s="143">
        <v>0</v>
      </c>
      <c r="L28" s="143">
        <v>0</v>
      </c>
      <c r="M28" s="143">
        <v>0</v>
      </c>
      <c r="N28" s="143">
        <v>0</v>
      </c>
      <c r="O28" s="144">
        <f t="shared" si="1"/>
        <v>0</v>
      </c>
      <c r="P28" s="143">
        <v>0</v>
      </c>
      <c r="Q28" s="143">
        <v>0</v>
      </c>
      <c r="R28" s="143">
        <v>0</v>
      </c>
      <c r="S28" s="143">
        <v>0</v>
      </c>
      <c r="T28" s="144">
        <f t="shared" si="2"/>
        <v>0</v>
      </c>
      <c r="U28" s="147">
        <f t="shared" si="3"/>
        <v>1.0000000000000095</v>
      </c>
      <c r="V28" s="322"/>
    </row>
    <row r="29" spans="1:22" ht="15.75" x14ac:dyDescent="0.25">
      <c r="A29" s="142">
        <v>43946</v>
      </c>
      <c r="B29" s="143">
        <f>Sheet25!D22</f>
        <v>0.27777777777777146</v>
      </c>
      <c r="C29" s="143">
        <f>Sheet25!E22</f>
        <v>206.58333333333334</v>
      </c>
      <c r="D29" s="143">
        <f>Sheet25!F22</f>
        <v>206.875</v>
      </c>
      <c r="E29" s="143">
        <f>Sheet25!G22</f>
        <v>0.29166666666665719</v>
      </c>
      <c r="F29" s="143">
        <f>Sheet25!H22</f>
        <v>206.94444444444446</v>
      </c>
      <c r="G29" s="143">
        <f>Sheet25!I22</f>
        <v>207.20833333333334</v>
      </c>
      <c r="H29" s="143">
        <f>Sheet25!J22</f>
        <v>0.26388888888888573</v>
      </c>
      <c r="I29" s="144">
        <f t="shared" si="0"/>
        <v>0.83333333333331439</v>
      </c>
      <c r="J29" s="143">
        <v>0.16666666666666666</v>
      </c>
      <c r="K29" s="143">
        <v>0</v>
      </c>
      <c r="L29" s="143">
        <v>0</v>
      </c>
      <c r="M29" s="143">
        <v>0</v>
      </c>
      <c r="N29" s="143">
        <v>0</v>
      </c>
      <c r="O29" s="144">
        <f t="shared" si="1"/>
        <v>0</v>
      </c>
      <c r="P29" s="143">
        <v>0</v>
      </c>
      <c r="Q29" s="143">
        <v>0</v>
      </c>
      <c r="R29" s="143">
        <v>0</v>
      </c>
      <c r="S29" s="143">
        <v>0</v>
      </c>
      <c r="T29" s="144">
        <f t="shared" si="2"/>
        <v>0</v>
      </c>
      <c r="U29" s="147">
        <f t="shared" si="3"/>
        <v>0.99999999999998102</v>
      </c>
      <c r="V29" s="323"/>
    </row>
    <row r="30" spans="1:22" ht="30" x14ac:dyDescent="0.25">
      <c r="A30" s="142">
        <v>43947</v>
      </c>
      <c r="B30" s="143">
        <f>Sheet26!D22</f>
        <v>0.27083333333334281</v>
      </c>
      <c r="C30" s="143">
        <f>Sheet26!E22</f>
        <v>206.59375</v>
      </c>
      <c r="D30" s="143">
        <f>Sheet26!F22</f>
        <v>206.875</v>
      </c>
      <c r="E30" s="143">
        <f>Sheet26!G22</f>
        <v>0.28125</v>
      </c>
      <c r="F30" s="143">
        <f>Sheet26!H22</f>
        <v>0</v>
      </c>
      <c r="G30" s="143">
        <f>Sheet26!I22</f>
        <v>0</v>
      </c>
      <c r="H30" s="143">
        <f>Sheet26!J22</f>
        <v>0</v>
      </c>
      <c r="I30" s="144">
        <f t="shared" si="0"/>
        <v>0.55208333333334281</v>
      </c>
      <c r="J30" s="143">
        <v>0.21180555555555555</v>
      </c>
      <c r="K30" s="143">
        <v>0</v>
      </c>
      <c r="L30" s="143">
        <v>0</v>
      </c>
      <c r="M30" s="143">
        <v>0</v>
      </c>
      <c r="N30" s="143">
        <v>0</v>
      </c>
      <c r="O30" s="144">
        <f t="shared" si="1"/>
        <v>0</v>
      </c>
      <c r="P30" s="143">
        <v>0</v>
      </c>
      <c r="Q30" s="143">
        <v>0.22916666666666666</v>
      </c>
      <c r="R30" s="143">
        <v>0</v>
      </c>
      <c r="S30" s="143">
        <v>6.9444444444444441E-3</v>
      </c>
      <c r="T30" s="144">
        <f>SUM(P30:R30)</f>
        <v>0.22916666666666666</v>
      </c>
      <c r="U30" s="147">
        <f t="shared" si="3"/>
        <v>0.99305555555556502</v>
      </c>
      <c r="V30" s="131" t="s">
        <v>373</v>
      </c>
    </row>
    <row r="31" spans="1:22" ht="15.75" x14ac:dyDescent="0.25">
      <c r="A31" s="142">
        <v>43948</v>
      </c>
      <c r="B31" s="143">
        <f>Sheet27!D22</f>
        <v>0.14236111111111427</v>
      </c>
      <c r="C31" s="143">
        <f>Sheet27!E22</f>
        <v>206.58680555555554</v>
      </c>
      <c r="D31" s="143">
        <f>Sheet27!F22</f>
        <v>206.875</v>
      </c>
      <c r="E31" s="143">
        <f>Sheet27!G22</f>
        <v>0.28819444444445708</v>
      </c>
      <c r="F31" s="143">
        <f>Sheet27!H22</f>
        <v>206.94791666666666</v>
      </c>
      <c r="G31" s="143">
        <f>Sheet27!I22</f>
        <v>207.20833333333334</v>
      </c>
      <c r="H31" s="143">
        <f>Sheet27!J22</f>
        <v>0.26041666666668561</v>
      </c>
      <c r="I31" s="144">
        <f t="shared" si="0"/>
        <v>0.69097222222225696</v>
      </c>
      <c r="J31" s="143">
        <v>0.20486111111111113</v>
      </c>
      <c r="K31" s="143">
        <v>0</v>
      </c>
      <c r="L31" s="143">
        <v>0</v>
      </c>
      <c r="M31" s="143">
        <v>0</v>
      </c>
      <c r="N31" s="143">
        <v>0</v>
      </c>
      <c r="O31" s="144">
        <f t="shared" si="1"/>
        <v>0</v>
      </c>
      <c r="P31" s="143">
        <v>0</v>
      </c>
      <c r="Q31" s="143">
        <v>0</v>
      </c>
      <c r="R31" s="143">
        <v>0.10416666666666667</v>
      </c>
      <c r="S31" s="143">
        <v>0</v>
      </c>
      <c r="T31" s="144">
        <f t="shared" si="2"/>
        <v>0.10416666666666667</v>
      </c>
      <c r="U31" s="147">
        <f t="shared" si="3"/>
        <v>1.0000000000000349</v>
      </c>
      <c r="V31" s="131" t="s">
        <v>374</v>
      </c>
    </row>
    <row r="32" spans="1:22" ht="15.75" x14ac:dyDescent="0.25">
      <c r="A32" s="142">
        <v>43949</v>
      </c>
      <c r="B32" s="143">
        <f>Sheet28!D22</f>
        <v>0.25</v>
      </c>
      <c r="C32" s="143">
        <f>Sheet28!E22</f>
        <v>206.61111111111111</v>
      </c>
      <c r="D32" s="143">
        <f>Sheet28!F22</f>
        <v>206.875</v>
      </c>
      <c r="E32" s="143">
        <f>Sheet28!G22</f>
        <v>0.26388888888888573</v>
      </c>
      <c r="F32" s="143">
        <f>Sheet28!H22</f>
        <v>206.95486111111111</v>
      </c>
      <c r="G32" s="143">
        <f>Sheet28!I22</f>
        <v>207.20833333333334</v>
      </c>
      <c r="H32" s="143">
        <f>Sheet28!J22</f>
        <v>0.25347222222222854</v>
      </c>
      <c r="I32" s="144">
        <f t="shared" si="0"/>
        <v>0.76736111111111427</v>
      </c>
      <c r="J32" s="143">
        <v>0.14930555555555555</v>
      </c>
      <c r="K32" s="143">
        <v>8.3333333333333329E-2</v>
      </c>
      <c r="L32" s="143">
        <v>0</v>
      </c>
      <c r="M32" s="143">
        <v>0</v>
      </c>
      <c r="N32" s="143">
        <v>0</v>
      </c>
      <c r="O32" s="144">
        <f t="shared" si="1"/>
        <v>8.3333333333333329E-2</v>
      </c>
      <c r="P32" s="143">
        <v>0</v>
      </c>
      <c r="Q32" s="143">
        <v>0</v>
      </c>
      <c r="R32" s="143">
        <v>0</v>
      </c>
      <c r="S32" s="143">
        <v>0</v>
      </c>
      <c r="T32" s="144">
        <f t="shared" si="2"/>
        <v>0</v>
      </c>
      <c r="U32" s="147">
        <f t="shared" si="3"/>
        <v>1.0000000000000031</v>
      </c>
      <c r="V32" s="131" t="s">
        <v>108</v>
      </c>
    </row>
    <row r="33" spans="1:22" ht="15.75" x14ac:dyDescent="0.25">
      <c r="A33" s="142">
        <v>43950</v>
      </c>
      <c r="B33" s="143">
        <f>Sheet29!D22</f>
        <v>0.29166666666665719</v>
      </c>
      <c r="C33" s="143">
        <f>Sheet29!E22</f>
        <v>206.58333333333334</v>
      </c>
      <c r="D33" s="143">
        <f>Sheet29!F22</f>
        <v>206.875</v>
      </c>
      <c r="E33" s="143">
        <f>Sheet29!G22</f>
        <v>0.29166666666665719</v>
      </c>
      <c r="F33" s="143">
        <f>Sheet29!H22</f>
        <v>206.91666666666666</v>
      </c>
      <c r="G33" s="143">
        <f>Sheet29!I22</f>
        <v>207.20833333333334</v>
      </c>
      <c r="H33" s="143">
        <f>Sheet29!J22</f>
        <v>0.29166666666668561</v>
      </c>
      <c r="I33" s="144">
        <f t="shared" si="0"/>
        <v>0.875</v>
      </c>
      <c r="J33" s="143">
        <v>0.125</v>
      </c>
      <c r="K33" s="143">
        <v>0</v>
      </c>
      <c r="L33" s="143">
        <v>0</v>
      </c>
      <c r="M33" s="143">
        <v>0</v>
      </c>
      <c r="N33" s="143">
        <v>0</v>
      </c>
      <c r="O33" s="144">
        <f t="shared" si="1"/>
        <v>0</v>
      </c>
      <c r="P33" s="143">
        <v>0</v>
      </c>
      <c r="Q33" s="143">
        <v>0</v>
      </c>
      <c r="R33" s="143">
        <v>0</v>
      </c>
      <c r="S33" s="143">
        <v>0</v>
      </c>
      <c r="T33" s="144">
        <f t="shared" si="2"/>
        <v>0</v>
      </c>
      <c r="U33" s="147">
        <f t="shared" si="3"/>
        <v>1</v>
      </c>
      <c r="V33" s="131"/>
    </row>
    <row r="34" spans="1:22" ht="15.75" x14ac:dyDescent="0.25">
      <c r="A34" s="142">
        <v>43951</v>
      </c>
      <c r="B34" s="143">
        <f>'Sheet 30'!D22</f>
        <v>0.29166666666665719</v>
      </c>
      <c r="C34" s="143">
        <f>Sheet29!E23</f>
        <v>206.58333333333334</v>
      </c>
      <c r="D34" s="143">
        <f>Sheet29!F23</f>
        <v>206.875</v>
      </c>
      <c r="E34" s="143">
        <f>'Sheet 30'!G22</f>
        <v>0.25</v>
      </c>
      <c r="F34" s="143">
        <f>Sheet29!H23</f>
        <v>206.91666666666666</v>
      </c>
      <c r="G34" s="143">
        <f>Sheet29!I23</f>
        <v>207.20833333333334</v>
      </c>
      <c r="H34" s="143">
        <f>'Sheet 30'!J22</f>
        <v>0.27083333333334281</v>
      </c>
      <c r="I34" s="144">
        <f t="shared" ref="I34" si="4">B34+E34+H34</f>
        <v>0.8125</v>
      </c>
      <c r="J34" s="143">
        <v>0.1875</v>
      </c>
      <c r="K34" s="143">
        <v>0</v>
      </c>
      <c r="L34" s="143">
        <v>0</v>
      </c>
      <c r="M34" s="143">
        <v>0</v>
      </c>
      <c r="N34" s="143">
        <v>0</v>
      </c>
      <c r="O34" s="144">
        <f t="shared" si="1"/>
        <v>0</v>
      </c>
      <c r="P34" s="143">
        <v>0</v>
      </c>
      <c r="Q34" s="143">
        <v>0</v>
      </c>
      <c r="R34" s="143">
        <v>0</v>
      </c>
      <c r="S34" s="143">
        <v>0</v>
      </c>
      <c r="T34" s="144">
        <f t="shared" si="2"/>
        <v>0</v>
      </c>
      <c r="U34" s="147">
        <f t="shared" ref="U34" si="5">I34+O34+J34+T34</f>
        <v>1</v>
      </c>
      <c r="V34" s="131"/>
    </row>
    <row r="35" spans="1:22" ht="15.75" x14ac:dyDescent="0.25">
      <c r="A35" s="142"/>
      <c r="B35" s="143"/>
      <c r="C35" s="143"/>
      <c r="D35" s="143"/>
      <c r="E35" s="143"/>
      <c r="F35" s="143"/>
      <c r="G35" s="143"/>
      <c r="H35" s="143"/>
      <c r="I35" s="144"/>
      <c r="J35" s="143"/>
      <c r="K35" s="143"/>
      <c r="L35" s="143"/>
      <c r="M35" s="143"/>
      <c r="N35" s="143"/>
      <c r="O35" s="144"/>
      <c r="P35" s="143"/>
      <c r="Q35" s="143"/>
      <c r="R35" s="143"/>
      <c r="S35" s="143"/>
      <c r="T35" s="144"/>
      <c r="U35" s="147"/>
      <c r="V35" s="131"/>
    </row>
    <row r="36" spans="1:22" ht="15.75" x14ac:dyDescent="0.25">
      <c r="A36" s="132" t="s">
        <v>109</v>
      </c>
      <c r="B36" s="130" t="s">
        <v>13</v>
      </c>
      <c r="C36" s="130"/>
      <c r="D36" s="130"/>
      <c r="E36" s="130"/>
      <c r="F36" s="130"/>
      <c r="G36" s="130"/>
      <c r="H36" s="130" t="s">
        <v>13</v>
      </c>
      <c r="I36" s="152">
        <f t="shared" ref="I36:T36" si="6">SUM(I5:I34)</f>
        <v>22.934027777777828</v>
      </c>
      <c r="J36" s="152">
        <f t="shared" si="6"/>
        <v>5.125</v>
      </c>
      <c r="K36" s="152">
        <f t="shared" si="6"/>
        <v>0.36458333333333331</v>
      </c>
      <c r="L36" s="152">
        <f t="shared" si="6"/>
        <v>0</v>
      </c>
      <c r="M36" s="152">
        <f t="shared" si="6"/>
        <v>0.52777777777777768</v>
      </c>
      <c r="N36" s="152">
        <f t="shared" si="6"/>
        <v>0</v>
      </c>
      <c r="O36" s="152">
        <f t="shared" si="6"/>
        <v>0.89236111111111105</v>
      </c>
      <c r="P36" s="152">
        <f t="shared" si="6"/>
        <v>0</v>
      </c>
      <c r="Q36" s="152">
        <f t="shared" si="6"/>
        <v>0.22916666666666666</v>
      </c>
      <c r="R36" s="152">
        <f t="shared" si="6"/>
        <v>0.8125</v>
      </c>
      <c r="S36" s="152">
        <f t="shared" si="6"/>
        <v>6.9444444444444441E-3</v>
      </c>
      <c r="T36" s="152">
        <f t="shared" si="6"/>
        <v>1.0416666666666667</v>
      </c>
      <c r="U36" s="253">
        <f>I36+J36+O36+T36</f>
        <v>29.993055555555607</v>
      </c>
      <c r="V36" s="89"/>
    </row>
    <row r="37" spans="1:22" ht="15.75" x14ac:dyDescent="0.25">
      <c r="B37" s="133"/>
      <c r="C37" s="133"/>
      <c r="D37" s="133"/>
      <c r="E37" s="133"/>
      <c r="F37" s="133"/>
      <c r="G37" s="133"/>
      <c r="H37" s="133"/>
      <c r="I37" s="134"/>
      <c r="J37" s="135"/>
      <c r="K37" s="133"/>
      <c r="L37" s="133"/>
      <c r="M37" s="133"/>
      <c r="N37" s="133"/>
      <c r="O37" s="133"/>
      <c r="P37" s="133"/>
      <c r="Q37" s="133"/>
      <c r="R37" s="133"/>
      <c r="S37" s="133"/>
      <c r="T37" s="136"/>
      <c r="U37" s="136"/>
    </row>
    <row r="38" spans="1:22" x14ac:dyDescent="0.25">
      <c r="B38" s="133"/>
      <c r="C38" s="133"/>
      <c r="D38" s="133"/>
      <c r="E38" s="133"/>
      <c r="F38" s="133"/>
      <c r="G38" s="133"/>
      <c r="H38" s="133"/>
      <c r="I38" s="134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</row>
    <row r="39" spans="1:22" x14ac:dyDescent="0.25"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7"/>
      <c r="N39" s="133"/>
      <c r="O39" s="133"/>
      <c r="P39" s="133"/>
      <c r="Q39" s="133"/>
      <c r="R39" s="133" t="s">
        <v>398</v>
      </c>
      <c r="S39" s="133"/>
      <c r="T39" s="133"/>
      <c r="U39" s="133"/>
    </row>
    <row r="40" spans="1:22" x14ac:dyDescent="0.25">
      <c r="B40" s="133"/>
      <c r="C40" s="133"/>
      <c r="D40" s="133"/>
      <c r="E40" s="133"/>
      <c r="F40" s="133"/>
      <c r="G40" s="133"/>
      <c r="H40" s="133"/>
      <c r="I40" s="138"/>
      <c r="J40" s="138"/>
      <c r="K40" s="138"/>
      <c r="L40" s="138"/>
      <c r="M40" s="138"/>
      <c r="N40" s="138"/>
      <c r="O40" s="139"/>
      <c r="P40" s="138"/>
      <c r="Q40" s="138"/>
      <c r="R40" s="138" t="s">
        <v>110</v>
      </c>
      <c r="S40" s="138"/>
      <c r="T40" s="133"/>
      <c r="U40" s="133"/>
    </row>
    <row r="41" spans="1:22" ht="15.75" x14ac:dyDescent="0.25">
      <c r="A41" s="140" t="s">
        <v>111</v>
      </c>
      <c r="B41" s="133"/>
      <c r="C41" s="133"/>
      <c r="D41" s="133"/>
      <c r="E41" s="133"/>
      <c r="F41" s="133"/>
      <c r="G41" s="133"/>
      <c r="H41" s="133"/>
      <c r="I41" s="134"/>
      <c r="J41" s="133"/>
      <c r="K41" s="133"/>
      <c r="L41" s="133"/>
      <c r="M41" s="137"/>
      <c r="N41" s="133"/>
      <c r="O41" s="139"/>
      <c r="P41" s="133"/>
      <c r="Q41" s="133"/>
      <c r="R41" s="133"/>
      <c r="S41" s="133"/>
      <c r="T41" s="133"/>
      <c r="U41" s="133"/>
    </row>
    <row r="42" spans="1:22" ht="15.75" x14ac:dyDescent="0.25">
      <c r="A42" s="140" t="s">
        <v>112</v>
      </c>
      <c r="B42" s="133"/>
      <c r="C42" s="133"/>
      <c r="D42" s="133"/>
      <c r="E42" s="133"/>
      <c r="F42" s="133"/>
      <c r="G42" s="133"/>
      <c r="H42" s="133"/>
      <c r="I42" s="134"/>
      <c r="J42" s="133"/>
      <c r="K42" s="133"/>
      <c r="L42" s="133"/>
      <c r="M42" s="133"/>
      <c r="N42" s="133"/>
      <c r="O42" s="139"/>
      <c r="P42" s="133"/>
      <c r="Q42" s="133"/>
      <c r="R42" s="133"/>
      <c r="S42" s="133"/>
      <c r="T42" s="133"/>
      <c r="U42" s="133"/>
    </row>
    <row r="43" spans="1:22" ht="15.75" x14ac:dyDescent="0.25">
      <c r="A43" s="140">
        <v>2</v>
      </c>
      <c r="B43" s="133" t="s">
        <v>400</v>
      </c>
      <c r="C43" s="133"/>
      <c r="D43" s="133"/>
      <c r="E43" s="133"/>
      <c r="F43" s="133"/>
      <c r="G43" s="133"/>
      <c r="H43" s="133"/>
      <c r="I43" s="134"/>
      <c r="J43" s="133"/>
      <c r="K43" s="133"/>
      <c r="L43" s="133"/>
      <c r="M43" s="133"/>
      <c r="N43" s="133"/>
      <c r="O43" s="139"/>
      <c r="P43" s="133"/>
      <c r="Q43" s="133"/>
      <c r="R43" s="133"/>
      <c r="S43" s="133"/>
      <c r="T43" s="133"/>
      <c r="U43" s="133"/>
    </row>
    <row r="44" spans="1:22" ht="15.75" x14ac:dyDescent="0.25">
      <c r="A44" s="140">
        <v>3</v>
      </c>
      <c r="B44" s="133" t="s">
        <v>113</v>
      </c>
      <c r="C44" s="133"/>
      <c r="D44" s="133"/>
      <c r="E44" s="133"/>
      <c r="F44" s="133"/>
      <c r="G44" s="133"/>
      <c r="H44" s="133"/>
      <c r="I44" s="134"/>
      <c r="J44" s="133"/>
      <c r="K44" s="133"/>
      <c r="L44" s="133"/>
      <c r="M44" s="133"/>
      <c r="N44" s="133"/>
      <c r="O44" s="139"/>
      <c r="P44" s="133"/>
      <c r="Q44" s="133"/>
      <c r="R44" s="133"/>
      <c r="S44" s="133"/>
      <c r="T44" s="133"/>
      <c r="U44" s="133"/>
    </row>
    <row r="45" spans="1:22" x14ac:dyDescent="0.25">
      <c r="A45" s="141" t="s">
        <v>114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7"/>
      <c r="P45" s="133"/>
      <c r="Q45" s="133"/>
      <c r="R45" s="133"/>
      <c r="S45" s="133"/>
      <c r="T45" s="133"/>
      <c r="U45" s="133"/>
    </row>
    <row r="46" spans="1:22" ht="15.75" x14ac:dyDescent="0.25">
      <c r="A46" s="140"/>
      <c r="B46" s="133"/>
      <c r="C46" s="133"/>
      <c r="D46" s="133"/>
      <c r="E46" s="134"/>
      <c r="F46" s="133"/>
      <c r="G46" s="133"/>
      <c r="H46" s="133"/>
      <c r="I46" s="133"/>
      <c r="J46" s="133"/>
      <c r="K46" s="139"/>
      <c r="L46" s="133"/>
      <c r="M46" s="133"/>
      <c r="N46" s="133"/>
      <c r="O46" s="133"/>
      <c r="P46" s="133"/>
      <c r="Q46" s="133"/>
    </row>
    <row r="47" spans="1:22" ht="15.75" x14ac:dyDescent="0.25">
      <c r="A47" s="140"/>
      <c r="B47" s="133"/>
      <c r="C47" s="133"/>
      <c r="D47" s="133"/>
      <c r="E47" s="134"/>
      <c r="F47" s="133"/>
      <c r="G47" s="133"/>
      <c r="H47" s="133"/>
      <c r="I47" s="133"/>
      <c r="J47" s="133"/>
      <c r="K47" s="139"/>
      <c r="L47" s="133"/>
      <c r="M47" s="133"/>
      <c r="N47" s="133"/>
      <c r="O47" s="133"/>
      <c r="P47" s="133"/>
      <c r="Q47" s="133"/>
    </row>
    <row r="48" spans="1:22" ht="15.75" x14ac:dyDescent="0.25">
      <c r="A48" s="140"/>
      <c r="B48" s="133"/>
      <c r="C48" s="133"/>
      <c r="D48" s="133"/>
      <c r="E48" s="134"/>
      <c r="F48" s="133"/>
      <c r="G48" s="133"/>
      <c r="H48" s="133"/>
      <c r="I48" s="133"/>
      <c r="J48" s="133"/>
      <c r="K48" s="139"/>
      <c r="L48" s="133"/>
      <c r="M48" s="133"/>
      <c r="N48" s="133"/>
      <c r="O48" s="133"/>
      <c r="P48" s="133"/>
      <c r="Q48" s="133"/>
    </row>
    <row r="49" spans="1:17" x14ac:dyDescent="0.25">
      <c r="A49" s="141"/>
      <c r="B49" s="133"/>
      <c r="C49" s="133"/>
      <c r="D49" s="133"/>
      <c r="E49" s="133"/>
      <c r="F49" s="133"/>
      <c r="G49" s="133"/>
      <c r="H49" s="133"/>
      <c r="I49" s="133"/>
      <c r="J49" s="133"/>
      <c r="K49" s="137"/>
      <c r="L49" s="133"/>
      <c r="M49" s="133"/>
      <c r="N49" s="133"/>
      <c r="O49" s="133"/>
      <c r="P49" s="133"/>
      <c r="Q49" s="133"/>
    </row>
  </sheetData>
  <mergeCells count="2">
    <mergeCell ref="V21:V23"/>
    <mergeCell ref="V28:V29"/>
  </mergeCells>
  <pageMargins left="0.31496062992125984" right="0.19685039370078741" top="0.23622047244094491" bottom="0.23622047244094491" header="0.31496062992125984" footer="0.31496062992125984"/>
  <pageSetup paperSize="141" scale="95" orientation="portrait" horizontalDpi="180" verticalDpi="18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workbookViewId="0">
      <selection activeCell="V12" sqref="V12"/>
    </sheetView>
  </sheetViews>
  <sheetFormatPr defaultRowHeight="15" x14ac:dyDescent="0.25"/>
  <cols>
    <col min="1" max="1" width="11.28515625" customWidth="1"/>
    <col min="2" max="2" width="7.85546875" customWidth="1"/>
    <col min="3" max="4" width="9.140625" hidden="1" customWidth="1"/>
    <col min="5" max="5" width="7" customWidth="1"/>
    <col min="6" max="7" width="9.140625" hidden="1" customWidth="1"/>
    <col min="8" max="8" width="7.140625" customWidth="1"/>
    <col min="9" max="9" width="10" bestFit="1" customWidth="1"/>
    <col min="10" max="10" width="8.28515625" customWidth="1"/>
    <col min="11" max="11" width="7.5703125" customWidth="1"/>
    <col min="12" max="12" width="10.140625" customWidth="1"/>
    <col min="13" max="13" width="8.140625" customWidth="1"/>
    <col min="18" max="18" width="9.140625" style="153"/>
    <col min="21" max="21" width="11.140625" customWidth="1"/>
    <col min="22" max="22" width="27.85546875" customWidth="1"/>
  </cols>
  <sheetData>
    <row r="1" spans="1:22" ht="22.5" x14ac:dyDescent="0.3">
      <c r="A1" s="108" t="s">
        <v>399</v>
      </c>
      <c r="R1"/>
    </row>
    <row r="2" spans="1:22" ht="21" thickBot="1" x14ac:dyDescent="0.35">
      <c r="A2" s="109" t="s">
        <v>177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R2"/>
    </row>
    <row r="3" spans="1:22" ht="15.75" x14ac:dyDescent="0.25">
      <c r="A3" s="111" t="s">
        <v>80</v>
      </c>
      <c r="B3" s="112" t="s">
        <v>95</v>
      </c>
      <c r="C3" s="116"/>
      <c r="D3" s="116"/>
      <c r="E3" s="116"/>
      <c r="F3" s="116"/>
      <c r="G3" s="116"/>
      <c r="H3" s="113"/>
      <c r="I3" s="114" t="s">
        <v>13</v>
      </c>
      <c r="J3" s="115" t="s">
        <v>96</v>
      </c>
      <c r="K3" s="116" t="s">
        <v>97</v>
      </c>
      <c r="L3" s="113"/>
      <c r="M3" s="113"/>
      <c r="N3" s="113"/>
      <c r="O3" s="117" t="s">
        <v>13</v>
      </c>
      <c r="P3" s="112" t="s">
        <v>98</v>
      </c>
      <c r="Q3" s="113"/>
      <c r="R3" s="118"/>
      <c r="S3" s="119"/>
      <c r="T3" s="120"/>
      <c r="U3" s="145"/>
      <c r="V3" s="121" t="s">
        <v>99</v>
      </c>
    </row>
    <row r="4" spans="1:22" ht="16.5" thickBot="1" x14ac:dyDescent="0.3">
      <c r="A4" s="122"/>
      <c r="B4" s="123" t="s">
        <v>100</v>
      </c>
      <c r="C4" s="123"/>
      <c r="D4" s="123"/>
      <c r="E4" s="123" t="s">
        <v>101</v>
      </c>
      <c r="F4" s="123"/>
      <c r="G4" s="123"/>
      <c r="H4" s="123" t="s">
        <v>102</v>
      </c>
      <c r="I4" s="124" t="s">
        <v>103</v>
      </c>
      <c r="J4" s="125"/>
      <c r="K4" s="126" t="s">
        <v>104</v>
      </c>
      <c r="L4" s="127" t="s">
        <v>105</v>
      </c>
      <c r="M4" s="127" t="s">
        <v>106</v>
      </c>
      <c r="N4" s="127" t="s">
        <v>107</v>
      </c>
      <c r="O4" s="128" t="s">
        <v>44</v>
      </c>
      <c r="P4" s="127" t="s">
        <v>104</v>
      </c>
      <c r="Q4" s="127" t="s">
        <v>105</v>
      </c>
      <c r="R4" s="127" t="s">
        <v>106</v>
      </c>
      <c r="S4" s="127" t="s">
        <v>107</v>
      </c>
      <c r="T4" s="128" t="s">
        <v>44</v>
      </c>
      <c r="U4" s="146"/>
      <c r="V4" s="129"/>
    </row>
    <row r="5" spans="1:22" ht="15.75" x14ac:dyDescent="0.25">
      <c r="A5" s="142">
        <v>43922</v>
      </c>
      <c r="B5" s="143">
        <f>Sheet1!D23</f>
        <v>0.29166666666665719</v>
      </c>
      <c r="C5" s="143">
        <f>Sheet1!E23</f>
        <v>206.58680555555554</v>
      </c>
      <c r="D5" s="143">
        <f>Sheet1!F23</f>
        <v>206.875</v>
      </c>
      <c r="E5" s="143">
        <f>Sheet1!G23</f>
        <v>0.28819444444445708</v>
      </c>
      <c r="F5" s="143">
        <f>Sheet1!H23</f>
        <v>206.91666666666666</v>
      </c>
      <c r="G5" s="143">
        <f>Sheet1!I23</f>
        <v>207.20833333333334</v>
      </c>
      <c r="H5" s="143">
        <f>Sheet1!J23</f>
        <v>0.29166666666668561</v>
      </c>
      <c r="I5" s="144">
        <f>B5+E5+H5</f>
        <v>0.87152777777779988</v>
      </c>
      <c r="J5" s="143">
        <v>0.12847222222222224</v>
      </c>
      <c r="K5" s="143">
        <v>0</v>
      </c>
      <c r="L5" s="143">
        <v>0</v>
      </c>
      <c r="M5" s="143">
        <v>0</v>
      </c>
      <c r="N5" s="143">
        <v>0</v>
      </c>
      <c r="O5" s="144">
        <f>SUM(K5:N5)</f>
        <v>0</v>
      </c>
      <c r="P5" s="143">
        <v>0</v>
      </c>
      <c r="Q5" s="143">
        <v>0</v>
      </c>
      <c r="R5" s="143">
        <v>0</v>
      </c>
      <c r="S5" s="143">
        <v>0</v>
      </c>
      <c r="T5" s="144">
        <f t="shared" ref="T5:T8" si="0">SUM(P5:S5)</f>
        <v>0</v>
      </c>
      <c r="U5" s="147">
        <f>I5+O5+J5+T5</f>
        <v>1.0000000000000222</v>
      </c>
      <c r="V5" s="131"/>
    </row>
    <row r="6" spans="1:22" ht="15.75" x14ac:dyDescent="0.25">
      <c r="A6" s="142">
        <v>43923</v>
      </c>
      <c r="B6" s="143">
        <f>Sheet2!D23</f>
        <v>0.27083333333331439</v>
      </c>
      <c r="C6" s="143">
        <f>Sheet2!E23</f>
        <v>206.60416666666666</v>
      </c>
      <c r="D6" s="143">
        <f>Sheet2!F23</f>
        <v>206.875</v>
      </c>
      <c r="E6" s="143">
        <f>Sheet2!G23</f>
        <v>0.27083333333334281</v>
      </c>
      <c r="F6" s="143">
        <f>Sheet2!H23</f>
        <v>206.97569444444446</v>
      </c>
      <c r="G6" s="143">
        <f>Sheet2!I23</f>
        <v>207.20833333333334</v>
      </c>
      <c r="H6" s="143">
        <f>Sheet2!J23</f>
        <v>0.23263888888888573</v>
      </c>
      <c r="I6" s="144">
        <f t="shared" ref="I6:I33" si="1">B6+E6+H6</f>
        <v>0.77430555555554292</v>
      </c>
      <c r="J6" s="143">
        <v>0.22569444444444445</v>
      </c>
      <c r="K6" s="143">
        <v>0</v>
      </c>
      <c r="L6" s="143">
        <v>0</v>
      </c>
      <c r="M6" s="143">
        <v>0</v>
      </c>
      <c r="N6" s="143">
        <v>0</v>
      </c>
      <c r="O6" s="144">
        <f t="shared" ref="O6:O33" si="2">SUM(K6:N6)</f>
        <v>0</v>
      </c>
      <c r="P6" s="143">
        <v>0</v>
      </c>
      <c r="Q6" s="143">
        <v>0</v>
      </c>
      <c r="R6" s="143">
        <v>0</v>
      </c>
      <c r="S6" s="143">
        <v>0</v>
      </c>
      <c r="T6" s="144">
        <f t="shared" si="0"/>
        <v>0</v>
      </c>
      <c r="U6" s="147">
        <f t="shared" ref="U6:U33" si="3">I6+O6+J6+T6</f>
        <v>0.99999999999998734</v>
      </c>
      <c r="V6" s="131"/>
    </row>
    <row r="7" spans="1:22" ht="15.75" x14ac:dyDescent="0.25">
      <c r="A7" s="142">
        <v>43924</v>
      </c>
      <c r="B7" s="143">
        <f>Sheet3!D23</f>
        <v>0.27083333333331439</v>
      </c>
      <c r="C7" s="143">
        <f>Sheet3!E23</f>
        <v>206.58333333333334</v>
      </c>
      <c r="D7" s="143">
        <f>Sheet3!F23</f>
        <v>206.83333333333334</v>
      </c>
      <c r="E7" s="143">
        <f>Sheet3!G23</f>
        <v>0.25</v>
      </c>
      <c r="F7" s="143">
        <f>Sheet3!H23</f>
        <v>206.95833333333334</v>
      </c>
      <c r="G7" s="143">
        <f>Sheet3!I23</f>
        <v>207.20833333333334</v>
      </c>
      <c r="H7" s="143">
        <f>Sheet3!J23</f>
        <v>0.25</v>
      </c>
      <c r="I7" s="144">
        <f t="shared" si="1"/>
        <v>0.77083333333331439</v>
      </c>
      <c r="J7" s="143">
        <v>0.22916666666666666</v>
      </c>
      <c r="K7" s="143">
        <v>0</v>
      </c>
      <c r="L7" s="143">
        <v>0</v>
      </c>
      <c r="M7" s="143">
        <v>0</v>
      </c>
      <c r="N7" s="143">
        <v>0</v>
      </c>
      <c r="O7" s="144">
        <f t="shared" si="2"/>
        <v>0</v>
      </c>
      <c r="P7" s="143">
        <v>0</v>
      </c>
      <c r="Q7" s="143">
        <v>0</v>
      </c>
      <c r="R7" s="143">
        <v>0</v>
      </c>
      <c r="S7" s="143">
        <v>0</v>
      </c>
      <c r="T7" s="144">
        <f t="shared" si="0"/>
        <v>0</v>
      </c>
      <c r="U7" s="147">
        <f t="shared" si="3"/>
        <v>0.99999999999998102</v>
      </c>
      <c r="V7" s="131" t="s">
        <v>108</v>
      </c>
    </row>
    <row r="8" spans="1:22" ht="15.75" x14ac:dyDescent="0.25">
      <c r="A8" s="142">
        <v>43925</v>
      </c>
      <c r="B8" s="143">
        <f>Sheet4!D23</f>
        <v>0.29166666666665719</v>
      </c>
      <c r="C8" s="143">
        <f>Sheet4!E23</f>
        <v>206.58680555555554</v>
      </c>
      <c r="D8" s="143">
        <f>Sheet4!F23</f>
        <v>206.875</v>
      </c>
      <c r="E8" s="143">
        <f>Sheet4!G23</f>
        <v>0.28819444444445708</v>
      </c>
      <c r="F8" s="143">
        <f>Sheet4!H23</f>
        <v>206.91666666666666</v>
      </c>
      <c r="G8" s="143">
        <f>Sheet4!I23</f>
        <v>207.20833333333334</v>
      </c>
      <c r="H8" s="143">
        <f>Sheet4!J23</f>
        <v>0.29166666666668561</v>
      </c>
      <c r="I8" s="144">
        <f t="shared" si="1"/>
        <v>0.87152777777779988</v>
      </c>
      <c r="J8" s="143">
        <v>0.12847222222222224</v>
      </c>
      <c r="K8" s="143">
        <v>0</v>
      </c>
      <c r="L8" s="143">
        <v>0</v>
      </c>
      <c r="M8" s="143">
        <v>0</v>
      </c>
      <c r="N8" s="143">
        <v>0</v>
      </c>
      <c r="O8" s="144">
        <f t="shared" si="2"/>
        <v>0</v>
      </c>
      <c r="P8" s="143">
        <v>0</v>
      </c>
      <c r="Q8" s="143">
        <v>0</v>
      </c>
      <c r="R8" s="143">
        <v>0</v>
      </c>
      <c r="S8" s="143">
        <v>0</v>
      </c>
      <c r="T8" s="144">
        <f t="shared" si="0"/>
        <v>0</v>
      </c>
      <c r="U8" s="147">
        <f t="shared" si="3"/>
        <v>1.0000000000000222</v>
      </c>
      <c r="V8" s="131" t="s">
        <v>108</v>
      </c>
    </row>
    <row r="9" spans="1:22" ht="15.75" x14ac:dyDescent="0.25">
      <c r="A9" s="142">
        <v>43926</v>
      </c>
      <c r="B9" s="143">
        <f>Sheet5!D23</f>
        <v>0.27083333333331439</v>
      </c>
      <c r="C9" s="143">
        <f>Sheet5!E23</f>
        <v>206.625</v>
      </c>
      <c r="D9" s="143">
        <f>Sheet5!F23</f>
        <v>206.875</v>
      </c>
      <c r="E9" s="143">
        <f>Sheet5!G23</f>
        <v>0.25</v>
      </c>
      <c r="F9" s="143">
        <f>Sheet5!H23</f>
        <v>206.9375</v>
      </c>
      <c r="G9" s="143">
        <f>Sheet5!I23</f>
        <v>207.20833333333334</v>
      </c>
      <c r="H9" s="143">
        <f>Sheet5!J23</f>
        <v>0.27083333333334281</v>
      </c>
      <c r="I9" s="144">
        <f t="shared" si="1"/>
        <v>0.79166666666665719</v>
      </c>
      <c r="J9" s="143">
        <v>0.20833333333333334</v>
      </c>
      <c r="K9" s="143">
        <v>0</v>
      </c>
      <c r="L9" s="143">
        <v>0</v>
      </c>
      <c r="M9" s="143">
        <v>0</v>
      </c>
      <c r="N9" s="143">
        <v>0</v>
      </c>
      <c r="O9" s="144">
        <f t="shared" si="2"/>
        <v>0</v>
      </c>
      <c r="P9" s="143">
        <v>0</v>
      </c>
      <c r="Q9" s="143">
        <v>0</v>
      </c>
      <c r="R9" s="143">
        <v>0</v>
      </c>
      <c r="S9" s="143">
        <v>0</v>
      </c>
      <c r="T9" s="144">
        <f>SUM(P9:S9)</f>
        <v>0</v>
      </c>
      <c r="U9" s="147">
        <f t="shared" si="3"/>
        <v>0.99999999999999056</v>
      </c>
      <c r="V9" s="131"/>
    </row>
    <row r="10" spans="1:22" ht="15.75" x14ac:dyDescent="0.25">
      <c r="A10" s="142">
        <v>43927</v>
      </c>
      <c r="B10" s="143">
        <f>Sheet6!D23</f>
        <v>0.29861111111111427</v>
      </c>
      <c r="C10" s="143">
        <f>Sheet6!E23</f>
        <v>206.57638888888889</v>
      </c>
      <c r="D10" s="143">
        <f>Sheet6!F23</f>
        <v>206.875</v>
      </c>
      <c r="E10" s="143">
        <f>Sheet6!G23</f>
        <v>0.29861111111111427</v>
      </c>
      <c r="F10" s="143">
        <f>Sheet6!H23</f>
        <v>206.90972222222223</v>
      </c>
      <c r="G10" s="143">
        <f>Sheet6!I23</f>
        <v>207.20833333333334</v>
      </c>
      <c r="H10" s="143">
        <f>Sheet6!J23</f>
        <v>0.29861111111111427</v>
      </c>
      <c r="I10" s="144">
        <f t="shared" si="1"/>
        <v>0.89583333333334281</v>
      </c>
      <c r="J10" s="143">
        <v>0.10416666666666667</v>
      </c>
      <c r="K10" s="143">
        <v>0</v>
      </c>
      <c r="L10" s="143">
        <v>0</v>
      </c>
      <c r="M10" s="143">
        <v>0</v>
      </c>
      <c r="N10" s="143">
        <v>0</v>
      </c>
      <c r="O10" s="144">
        <f t="shared" si="2"/>
        <v>0</v>
      </c>
      <c r="P10" s="143">
        <v>0</v>
      </c>
      <c r="Q10" s="143">
        <v>0</v>
      </c>
      <c r="R10" s="143">
        <v>0</v>
      </c>
      <c r="S10" s="143">
        <v>0</v>
      </c>
      <c r="T10" s="144">
        <f t="shared" ref="T10:T33" si="4">SUM(P10:S10)</f>
        <v>0</v>
      </c>
      <c r="U10" s="147">
        <f t="shared" si="3"/>
        <v>1.0000000000000095</v>
      </c>
      <c r="V10" s="131" t="s">
        <v>108</v>
      </c>
    </row>
    <row r="11" spans="1:22" ht="15.75" x14ac:dyDescent="0.25">
      <c r="A11" s="142">
        <v>43928</v>
      </c>
      <c r="B11" s="143">
        <f>Sheet7!D23</f>
        <v>0.29513888888888573</v>
      </c>
      <c r="C11" s="143">
        <f>Sheet7!E23</f>
        <v>206.58333333333334</v>
      </c>
      <c r="D11" s="143">
        <f>Sheet7!F23</f>
        <v>206.875</v>
      </c>
      <c r="E11" s="143">
        <f>Sheet7!G23</f>
        <v>0.29166666666665719</v>
      </c>
      <c r="F11" s="143">
        <f>Sheet7!H23</f>
        <v>206.94444444444446</v>
      </c>
      <c r="G11" s="143">
        <f>Sheet7!I23</f>
        <v>207.20833333333334</v>
      </c>
      <c r="H11" s="143">
        <f>Sheet7!J23</f>
        <v>0.26388888888888573</v>
      </c>
      <c r="I11" s="144">
        <f t="shared" si="1"/>
        <v>0.85069444444442865</v>
      </c>
      <c r="J11" s="143">
        <v>0.14930555555555555</v>
      </c>
      <c r="K11" s="143">
        <v>0</v>
      </c>
      <c r="L11" s="143">
        <v>0</v>
      </c>
      <c r="M11" s="143">
        <v>0</v>
      </c>
      <c r="N11" s="143">
        <v>0</v>
      </c>
      <c r="O11" s="144">
        <f t="shared" si="2"/>
        <v>0</v>
      </c>
      <c r="P11" s="143">
        <v>0</v>
      </c>
      <c r="Q11" s="143">
        <v>0</v>
      </c>
      <c r="R11" s="143">
        <v>0</v>
      </c>
      <c r="S11" s="143">
        <v>0</v>
      </c>
      <c r="T11" s="144">
        <f t="shared" si="4"/>
        <v>0</v>
      </c>
      <c r="U11" s="147">
        <f t="shared" si="3"/>
        <v>0.99999999999998423</v>
      </c>
      <c r="V11" s="131"/>
    </row>
    <row r="12" spans="1:22" ht="30" x14ac:dyDescent="0.25">
      <c r="A12" s="142">
        <v>43929</v>
      </c>
      <c r="B12" s="143">
        <f>Sheet8!D23</f>
        <v>0.16666666666665719</v>
      </c>
      <c r="C12" s="143">
        <f>Sheet8!E23</f>
        <v>206.64583333333334</v>
      </c>
      <c r="D12" s="143">
        <f>Sheet8!F23</f>
        <v>206.86458333333334</v>
      </c>
      <c r="E12" s="143">
        <f>Sheet8!G23</f>
        <v>0.21875</v>
      </c>
      <c r="F12" s="143">
        <f>Sheet8!H23</f>
        <v>206.91666666666666</v>
      </c>
      <c r="G12" s="143">
        <f>Sheet8!I23</f>
        <v>207.20833333333334</v>
      </c>
      <c r="H12" s="143">
        <f>Sheet8!J23</f>
        <v>0.29166666666668561</v>
      </c>
      <c r="I12" s="144">
        <f t="shared" si="1"/>
        <v>0.67708333333334281</v>
      </c>
      <c r="J12" s="143">
        <v>0.15625</v>
      </c>
      <c r="K12" s="143">
        <v>0</v>
      </c>
      <c r="L12" s="143">
        <v>0</v>
      </c>
      <c r="M12" s="143">
        <v>0</v>
      </c>
      <c r="N12" s="143">
        <v>0</v>
      </c>
      <c r="O12" s="144">
        <f t="shared" si="2"/>
        <v>0</v>
      </c>
      <c r="P12" s="143">
        <v>0</v>
      </c>
      <c r="Q12" s="143">
        <v>0.16666666666666666</v>
      </c>
      <c r="R12" s="143">
        <v>0</v>
      </c>
      <c r="S12" s="143">
        <v>0</v>
      </c>
      <c r="T12" s="144">
        <f t="shared" si="4"/>
        <v>0.16666666666666666</v>
      </c>
      <c r="U12" s="147">
        <f t="shared" si="3"/>
        <v>1.0000000000000095</v>
      </c>
      <c r="V12" s="131" t="s">
        <v>395</v>
      </c>
    </row>
    <row r="13" spans="1:22" ht="15.75" x14ac:dyDescent="0.25">
      <c r="A13" s="142">
        <v>43930</v>
      </c>
      <c r="B13" s="143">
        <f>Sheet9!D23</f>
        <v>0.25</v>
      </c>
      <c r="C13" s="143">
        <f>Sheet9!E23</f>
        <v>206.58333333333334</v>
      </c>
      <c r="D13" s="143">
        <f>Sheet9!F23</f>
        <v>206.875</v>
      </c>
      <c r="E13" s="143">
        <f>Sheet9!G23</f>
        <v>0.29166666666665719</v>
      </c>
      <c r="F13" s="143">
        <f>Sheet9!H23</f>
        <v>206.91666666666666</v>
      </c>
      <c r="G13" s="143">
        <f>Sheet9!I23</f>
        <v>207.20833333333334</v>
      </c>
      <c r="H13" s="143">
        <f>Sheet9!J23</f>
        <v>0.29166666666668561</v>
      </c>
      <c r="I13" s="144">
        <f t="shared" si="1"/>
        <v>0.83333333333334281</v>
      </c>
      <c r="J13" s="143">
        <v>0.16666666666666666</v>
      </c>
      <c r="K13" s="143">
        <v>0</v>
      </c>
      <c r="L13" s="143">
        <v>0</v>
      </c>
      <c r="M13" s="143">
        <v>0</v>
      </c>
      <c r="N13" s="143">
        <v>0</v>
      </c>
      <c r="O13" s="144">
        <f t="shared" si="2"/>
        <v>0</v>
      </c>
      <c r="P13" s="143">
        <v>0</v>
      </c>
      <c r="Q13" s="143">
        <v>0</v>
      </c>
      <c r="R13" s="143">
        <v>0</v>
      </c>
      <c r="S13" s="143">
        <v>0</v>
      </c>
      <c r="T13" s="144">
        <f t="shared" si="4"/>
        <v>0</v>
      </c>
      <c r="U13" s="147">
        <f t="shared" si="3"/>
        <v>1.0000000000000095</v>
      </c>
      <c r="V13" s="131" t="s">
        <v>108</v>
      </c>
    </row>
    <row r="14" spans="1:22" ht="15.75" x14ac:dyDescent="0.25">
      <c r="A14" s="142">
        <v>43931</v>
      </c>
      <c r="B14" s="143">
        <f>Sheet10!D23</f>
        <v>0.17361111111111427</v>
      </c>
      <c r="C14" s="143">
        <f>Sheet10!E23</f>
        <v>206.59375</v>
      </c>
      <c r="D14" s="143">
        <f>Sheet10!F23</f>
        <v>206.875</v>
      </c>
      <c r="E14" s="143">
        <f>Sheet10!G23</f>
        <v>0.28125</v>
      </c>
      <c r="F14" s="143">
        <f>Sheet10!H23</f>
        <v>206.91666666666666</v>
      </c>
      <c r="G14" s="143">
        <f>Sheet10!I23</f>
        <v>207.20833333333334</v>
      </c>
      <c r="H14" s="143">
        <f>Sheet10!J23</f>
        <v>0.29166666666668561</v>
      </c>
      <c r="I14" s="144">
        <f t="shared" si="1"/>
        <v>0.74652777777779988</v>
      </c>
      <c r="J14" s="143">
        <v>0.15972222222222224</v>
      </c>
      <c r="K14" s="143">
        <v>0</v>
      </c>
      <c r="L14" s="143">
        <v>0</v>
      </c>
      <c r="M14" s="143">
        <v>9.375E-2</v>
      </c>
      <c r="N14" s="143">
        <v>0</v>
      </c>
      <c r="O14" s="144">
        <f t="shared" si="2"/>
        <v>9.375E-2</v>
      </c>
      <c r="P14" s="143">
        <v>0</v>
      </c>
      <c r="Q14" s="143">
        <v>0</v>
      </c>
      <c r="R14" s="143">
        <v>0</v>
      </c>
      <c r="S14" s="143">
        <v>0</v>
      </c>
      <c r="T14" s="144">
        <f t="shared" si="4"/>
        <v>0</v>
      </c>
      <c r="U14" s="147">
        <f t="shared" si="3"/>
        <v>1.0000000000000222</v>
      </c>
      <c r="V14" s="131" t="s">
        <v>108</v>
      </c>
    </row>
    <row r="15" spans="1:22" ht="15.75" x14ac:dyDescent="0.25">
      <c r="A15" s="142">
        <v>43932</v>
      </c>
      <c r="B15" s="143">
        <f>Sheet11!D23</f>
        <v>0.26736111111111427</v>
      </c>
      <c r="C15" s="143">
        <f>Sheet11!E23</f>
        <v>206.58333333333334</v>
      </c>
      <c r="D15" s="143">
        <f>Sheet11!F23</f>
        <v>206.875</v>
      </c>
      <c r="E15" s="143">
        <f>Sheet11!G23</f>
        <v>0.29166666666665719</v>
      </c>
      <c r="F15" s="143">
        <f>Sheet11!H23</f>
        <v>206.91666666666666</v>
      </c>
      <c r="G15" s="143">
        <f>Sheet11!I23</f>
        <v>207.20833333333334</v>
      </c>
      <c r="H15" s="143">
        <f>Sheet11!J23</f>
        <v>0.29166666666668561</v>
      </c>
      <c r="I15" s="144">
        <f t="shared" si="1"/>
        <v>0.85069444444445708</v>
      </c>
      <c r="J15" s="143">
        <v>0.14930555555555555</v>
      </c>
      <c r="K15" s="143">
        <v>0</v>
      </c>
      <c r="L15" s="143">
        <v>0</v>
      </c>
      <c r="M15" s="143">
        <v>0</v>
      </c>
      <c r="N15" s="143">
        <v>0</v>
      </c>
      <c r="O15" s="144">
        <f t="shared" si="2"/>
        <v>0</v>
      </c>
      <c r="P15" s="143">
        <v>0</v>
      </c>
      <c r="Q15" s="143">
        <v>0</v>
      </c>
      <c r="R15" s="143">
        <v>0</v>
      </c>
      <c r="S15" s="143">
        <v>0</v>
      </c>
      <c r="T15" s="144">
        <f t="shared" si="4"/>
        <v>0</v>
      </c>
      <c r="U15" s="147">
        <f t="shared" si="3"/>
        <v>1.0000000000000127</v>
      </c>
      <c r="V15" s="131" t="s">
        <v>108</v>
      </c>
    </row>
    <row r="16" spans="1:22" ht="15.75" x14ac:dyDescent="0.25">
      <c r="A16" s="142">
        <v>43933</v>
      </c>
      <c r="B16" s="143">
        <f>Sheet12!D23</f>
        <v>0.27083333333331439</v>
      </c>
      <c r="C16" s="143">
        <f>Sheet12!E23</f>
        <v>206.58333333333334</v>
      </c>
      <c r="D16" s="143">
        <f>Sheet12!F23</f>
        <v>206.875</v>
      </c>
      <c r="E16" s="143">
        <f>Sheet12!G23</f>
        <v>0.29166666666665719</v>
      </c>
      <c r="F16" s="143">
        <f>Sheet12!H23</f>
        <v>206.95833333333334</v>
      </c>
      <c r="G16" s="143">
        <f>Sheet12!I23</f>
        <v>207.20833333333334</v>
      </c>
      <c r="H16" s="143">
        <f>Sheet12!J23</f>
        <v>0.25</v>
      </c>
      <c r="I16" s="144">
        <f t="shared" si="1"/>
        <v>0.81249999999997158</v>
      </c>
      <c r="J16" s="143">
        <v>0.1875</v>
      </c>
      <c r="K16" s="143">
        <v>0</v>
      </c>
      <c r="L16" s="143">
        <v>0</v>
      </c>
      <c r="M16" s="143">
        <v>0</v>
      </c>
      <c r="N16" s="143">
        <v>0</v>
      </c>
      <c r="O16" s="144">
        <f t="shared" si="2"/>
        <v>0</v>
      </c>
      <c r="P16" s="143">
        <v>0</v>
      </c>
      <c r="Q16" s="143">
        <v>0</v>
      </c>
      <c r="R16" s="143">
        <v>0</v>
      </c>
      <c r="S16" s="143">
        <v>0</v>
      </c>
      <c r="T16" s="144">
        <f t="shared" si="4"/>
        <v>0</v>
      </c>
      <c r="U16" s="147">
        <f t="shared" si="3"/>
        <v>0.99999999999997158</v>
      </c>
      <c r="V16" s="131" t="s">
        <v>108</v>
      </c>
    </row>
    <row r="17" spans="1:22" ht="15.75" x14ac:dyDescent="0.25">
      <c r="A17" s="142">
        <v>43934</v>
      </c>
      <c r="B17" s="143">
        <f>Sheet13!D23</f>
        <v>0.25</v>
      </c>
      <c r="C17" s="143">
        <f>Sheet13!E23</f>
        <v>206.59722222222223</v>
      </c>
      <c r="D17" s="143">
        <f>Sheet13!F23</f>
        <v>206.875</v>
      </c>
      <c r="E17" s="143">
        <f>Sheet13!G23</f>
        <v>0.27777777777777146</v>
      </c>
      <c r="F17" s="143">
        <f>Sheet13!H23</f>
        <v>206.91319444444446</v>
      </c>
      <c r="G17" s="143">
        <f>Sheet13!I23</f>
        <v>207.20833333333334</v>
      </c>
      <c r="H17" s="143">
        <f>Sheet13!J23</f>
        <v>0.29513888888888573</v>
      </c>
      <c r="I17" s="144">
        <f t="shared" si="1"/>
        <v>0.82291666666665719</v>
      </c>
      <c r="J17" s="143">
        <v>0.17708333333333334</v>
      </c>
      <c r="K17" s="143">
        <v>0</v>
      </c>
      <c r="L17" s="143">
        <v>0</v>
      </c>
      <c r="M17" s="143">
        <v>0</v>
      </c>
      <c r="N17" s="143">
        <v>0</v>
      </c>
      <c r="O17" s="144">
        <f t="shared" si="2"/>
        <v>0</v>
      </c>
      <c r="P17" s="143">
        <v>0</v>
      </c>
      <c r="Q17" s="143">
        <v>0</v>
      </c>
      <c r="R17" s="143">
        <v>0</v>
      </c>
      <c r="S17" s="143">
        <v>0</v>
      </c>
      <c r="T17" s="144">
        <f t="shared" si="4"/>
        <v>0</v>
      </c>
      <c r="U17" s="147">
        <f t="shared" si="3"/>
        <v>0.99999999999999056</v>
      </c>
      <c r="V17" s="131" t="s">
        <v>108</v>
      </c>
    </row>
    <row r="18" spans="1:22" ht="15.75" x14ac:dyDescent="0.25">
      <c r="A18" s="142">
        <v>43935</v>
      </c>
      <c r="B18" s="143">
        <f>Sheet14!D23</f>
        <v>0.25</v>
      </c>
      <c r="C18" s="143">
        <f>Sheet14!E23</f>
        <v>206.57638888888889</v>
      </c>
      <c r="D18" s="143">
        <f>Sheet14!F23</f>
        <v>206.875</v>
      </c>
      <c r="E18" s="143">
        <f>Sheet14!G23</f>
        <v>0.29861111111111427</v>
      </c>
      <c r="F18" s="143">
        <f>Sheet14!H23</f>
        <v>206.9375</v>
      </c>
      <c r="G18" s="143">
        <f>Sheet14!I23</f>
        <v>207.20833333333334</v>
      </c>
      <c r="H18" s="143">
        <f>Sheet14!J23</f>
        <v>0.27083333333334281</v>
      </c>
      <c r="I18" s="144">
        <f t="shared" si="1"/>
        <v>0.81944444444445708</v>
      </c>
      <c r="J18" s="143">
        <v>0.18055555555555555</v>
      </c>
      <c r="K18" s="143">
        <v>0</v>
      </c>
      <c r="L18" s="143">
        <v>0</v>
      </c>
      <c r="M18" s="143">
        <v>0</v>
      </c>
      <c r="N18" s="143">
        <v>0</v>
      </c>
      <c r="O18" s="144">
        <f t="shared" si="2"/>
        <v>0</v>
      </c>
      <c r="P18" s="143">
        <v>0</v>
      </c>
      <c r="Q18" s="143">
        <v>0</v>
      </c>
      <c r="R18" s="143">
        <v>0</v>
      </c>
      <c r="S18" s="143">
        <v>0</v>
      </c>
      <c r="T18" s="144">
        <f t="shared" si="4"/>
        <v>0</v>
      </c>
      <c r="U18" s="147">
        <f t="shared" si="3"/>
        <v>1.0000000000000127</v>
      </c>
      <c r="V18" s="131" t="s">
        <v>108</v>
      </c>
    </row>
    <row r="19" spans="1:22" ht="15.75" x14ac:dyDescent="0.25">
      <c r="A19" s="142">
        <v>43936</v>
      </c>
      <c r="B19" s="143">
        <f>Sheet14!D23</f>
        <v>0.25</v>
      </c>
      <c r="C19" s="143">
        <f>Sheet14!E23</f>
        <v>206.57638888888889</v>
      </c>
      <c r="D19" s="143">
        <f>Sheet14!F23</f>
        <v>206.875</v>
      </c>
      <c r="E19" s="143">
        <f>Sheet14!G23</f>
        <v>0.29861111111111427</v>
      </c>
      <c r="F19" s="143">
        <f>Sheet14!H23</f>
        <v>206.9375</v>
      </c>
      <c r="G19" s="143">
        <f>Sheet14!I23</f>
        <v>207.20833333333334</v>
      </c>
      <c r="H19" s="143">
        <f>Sheet14!J23</f>
        <v>0.27083333333334281</v>
      </c>
      <c r="I19" s="144">
        <f t="shared" si="1"/>
        <v>0.81944444444445708</v>
      </c>
      <c r="J19" s="143">
        <v>0.18055555555555555</v>
      </c>
      <c r="K19" s="143">
        <v>0</v>
      </c>
      <c r="L19" s="143">
        <v>0</v>
      </c>
      <c r="M19" s="143">
        <v>0</v>
      </c>
      <c r="N19" s="143">
        <v>0</v>
      </c>
      <c r="O19" s="144">
        <f t="shared" si="2"/>
        <v>0</v>
      </c>
      <c r="P19" s="143">
        <v>0</v>
      </c>
      <c r="Q19" s="143">
        <v>0</v>
      </c>
      <c r="R19" s="143">
        <v>0</v>
      </c>
      <c r="S19" s="143">
        <v>0</v>
      </c>
      <c r="T19" s="144">
        <f t="shared" si="4"/>
        <v>0</v>
      </c>
      <c r="U19" s="147">
        <f t="shared" si="3"/>
        <v>1.0000000000000127</v>
      </c>
      <c r="V19" s="131"/>
    </row>
    <row r="20" spans="1:22" ht="15.75" x14ac:dyDescent="0.25">
      <c r="A20" s="142">
        <v>43937</v>
      </c>
      <c r="B20" s="143">
        <f>Sheet16!D23</f>
        <v>0.1875</v>
      </c>
      <c r="C20" s="143">
        <f>Sheet16!E23</f>
        <v>206.58333333333334</v>
      </c>
      <c r="D20" s="143">
        <f>Sheet16!F23</f>
        <v>206.875</v>
      </c>
      <c r="E20" s="143">
        <f>Sheet16!G23</f>
        <v>0.29166666666665719</v>
      </c>
      <c r="F20" s="143">
        <f>Sheet16!H23</f>
        <v>206.91666666666666</v>
      </c>
      <c r="G20" s="143">
        <f>Sheet16!I23</f>
        <v>207.20833333333334</v>
      </c>
      <c r="H20" s="143">
        <f>Sheet16!J23</f>
        <v>0.29166666666668561</v>
      </c>
      <c r="I20" s="144">
        <f t="shared" si="1"/>
        <v>0.77083333333334281</v>
      </c>
      <c r="J20" s="143">
        <v>0.22916666666666666</v>
      </c>
      <c r="K20" s="143">
        <v>0</v>
      </c>
      <c r="L20" s="143">
        <v>0</v>
      </c>
      <c r="M20" s="143">
        <v>0</v>
      </c>
      <c r="N20" s="143">
        <v>0</v>
      </c>
      <c r="O20" s="144">
        <f t="shared" si="2"/>
        <v>0</v>
      </c>
      <c r="P20" s="143">
        <v>0</v>
      </c>
      <c r="Q20" s="143">
        <v>0</v>
      </c>
      <c r="R20" s="143">
        <v>0</v>
      </c>
      <c r="S20" s="143">
        <v>0</v>
      </c>
      <c r="T20" s="144">
        <f t="shared" si="4"/>
        <v>0</v>
      </c>
      <c r="U20" s="147">
        <f t="shared" si="3"/>
        <v>1.0000000000000095</v>
      </c>
      <c r="V20" s="131"/>
    </row>
    <row r="21" spans="1:22" ht="15.75" x14ac:dyDescent="0.25">
      <c r="A21" s="142">
        <v>43938</v>
      </c>
      <c r="B21" s="143">
        <f>Sheet17!D23</f>
        <v>0.25347222222220012</v>
      </c>
      <c r="C21" s="143">
        <f>Sheet17!E23</f>
        <v>206.60069444444446</v>
      </c>
      <c r="D21" s="143">
        <f>Sheet17!F23</f>
        <v>206.875</v>
      </c>
      <c r="E21" s="143">
        <f>Sheet17!G23</f>
        <v>0.27430555555554292</v>
      </c>
      <c r="F21" s="143">
        <f>Sheet17!H23</f>
        <v>206.90972222222223</v>
      </c>
      <c r="G21" s="143">
        <f>Sheet17!I23</f>
        <v>207.20833333333334</v>
      </c>
      <c r="H21" s="143">
        <f>Sheet17!J23</f>
        <v>0.29861111111111427</v>
      </c>
      <c r="I21" s="144">
        <f t="shared" si="1"/>
        <v>0.82638888888885731</v>
      </c>
      <c r="J21" s="143">
        <v>0.17361111111111113</v>
      </c>
      <c r="K21" s="143">
        <v>0</v>
      </c>
      <c r="L21" s="143">
        <v>0</v>
      </c>
      <c r="M21" s="143">
        <v>0</v>
      </c>
      <c r="N21" s="143">
        <v>0</v>
      </c>
      <c r="O21" s="144">
        <f t="shared" si="2"/>
        <v>0</v>
      </c>
      <c r="P21" s="143">
        <v>0</v>
      </c>
      <c r="Q21" s="143">
        <v>0</v>
      </c>
      <c r="R21" s="143">
        <v>0</v>
      </c>
      <c r="S21" s="143">
        <v>0</v>
      </c>
      <c r="T21" s="144">
        <f t="shared" si="4"/>
        <v>0</v>
      </c>
      <c r="U21" s="147">
        <f t="shared" si="3"/>
        <v>0.99999999999996847</v>
      </c>
      <c r="V21" s="131"/>
    </row>
    <row r="22" spans="1:22" ht="15.75" x14ac:dyDescent="0.25">
      <c r="A22" s="142">
        <v>43939</v>
      </c>
      <c r="B22" s="143">
        <f>Sheet18!D23</f>
        <v>0.17708333333334281</v>
      </c>
      <c r="C22" s="143">
        <f>Sheet18!E23</f>
        <v>206.59722222222223</v>
      </c>
      <c r="D22" s="143">
        <f>Sheet18!F23</f>
        <v>206.875</v>
      </c>
      <c r="E22" s="143">
        <f>Sheet18!G23</f>
        <v>0.27777777777777146</v>
      </c>
      <c r="F22" s="143">
        <f>Sheet18!H23</f>
        <v>206.90972222222223</v>
      </c>
      <c r="G22" s="143">
        <f>Sheet18!I23</f>
        <v>207.20833333333334</v>
      </c>
      <c r="H22" s="143">
        <f>Sheet18!J23</f>
        <v>0.29861111111111427</v>
      </c>
      <c r="I22" s="144">
        <f t="shared" si="1"/>
        <v>0.75347222222222854</v>
      </c>
      <c r="J22" s="143">
        <v>0.20138888888888887</v>
      </c>
      <c r="K22" s="143">
        <v>4.5138888888888888E-2</v>
      </c>
      <c r="L22" s="143">
        <v>0</v>
      </c>
      <c r="M22" s="143">
        <v>0</v>
      </c>
      <c r="N22" s="143">
        <v>0</v>
      </c>
      <c r="O22" s="144">
        <f t="shared" si="2"/>
        <v>4.5138888888888888E-2</v>
      </c>
      <c r="P22" s="143">
        <v>0</v>
      </c>
      <c r="Q22" s="143">
        <v>0</v>
      </c>
      <c r="R22" s="143">
        <v>0</v>
      </c>
      <c r="S22" s="143">
        <v>0</v>
      </c>
      <c r="T22" s="144">
        <f t="shared" si="4"/>
        <v>0</v>
      </c>
      <c r="U22" s="147">
        <f t="shared" si="3"/>
        <v>1.0000000000000062</v>
      </c>
      <c r="V22" s="148"/>
    </row>
    <row r="23" spans="1:22" ht="15.75" x14ac:dyDescent="0.25">
      <c r="A23" s="142">
        <v>43940</v>
      </c>
      <c r="B23" s="143">
        <f>Sheet18!D23</f>
        <v>0.17708333333334281</v>
      </c>
      <c r="C23" s="143">
        <f>Sheet18!E23</f>
        <v>206.59722222222223</v>
      </c>
      <c r="D23" s="143">
        <f>Sheet18!F23</f>
        <v>206.875</v>
      </c>
      <c r="E23" s="143">
        <f>Sheet18!G23</f>
        <v>0.27777777777777146</v>
      </c>
      <c r="F23" s="143">
        <f>Sheet18!H23</f>
        <v>206.90972222222223</v>
      </c>
      <c r="G23" s="143">
        <f>Sheet18!I23</f>
        <v>207.20833333333334</v>
      </c>
      <c r="H23" s="143">
        <f>Sheet18!J23</f>
        <v>0.29861111111111427</v>
      </c>
      <c r="I23" s="144">
        <f t="shared" si="1"/>
        <v>0.75347222222222854</v>
      </c>
      <c r="J23" s="143">
        <v>0.18402777777777779</v>
      </c>
      <c r="K23" s="143">
        <v>0</v>
      </c>
      <c r="L23" s="143">
        <v>6.25E-2</v>
      </c>
      <c r="M23" s="143">
        <v>0</v>
      </c>
      <c r="N23" s="143">
        <v>0</v>
      </c>
      <c r="O23" s="144">
        <f t="shared" si="2"/>
        <v>6.25E-2</v>
      </c>
      <c r="P23" s="143">
        <v>0</v>
      </c>
      <c r="Q23" s="143">
        <v>0</v>
      </c>
      <c r="R23" s="143">
        <v>0</v>
      </c>
      <c r="S23" s="143">
        <v>0</v>
      </c>
      <c r="T23" s="144">
        <f t="shared" si="4"/>
        <v>0</v>
      </c>
      <c r="U23" s="147">
        <f t="shared" si="3"/>
        <v>1.0000000000000062</v>
      </c>
      <c r="V23" s="131"/>
    </row>
    <row r="24" spans="1:22" ht="15.75" customHeight="1" x14ac:dyDescent="0.25">
      <c r="A24" s="142">
        <v>43941</v>
      </c>
      <c r="B24" s="143">
        <f>Sheet20!D23</f>
        <v>0.27083333333331439</v>
      </c>
      <c r="C24" s="143">
        <f>Sheet20!E23</f>
        <v>206.57986111111111</v>
      </c>
      <c r="D24" s="143">
        <f>Sheet20!F23</f>
        <v>206.875</v>
      </c>
      <c r="E24" s="143">
        <f>Sheet20!G23</f>
        <v>0.29513888888888573</v>
      </c>
      <c r="F24" s="143">
        <f>Sheet20!H23</f>
        <v>206.875</v>
      </c>
      <c r="G24" s="143">
        <f>Sheet20!I23</f>
        <v>207.16666666666666</v>
      </c>
      <c r="H24" s="143">
        <f>Sheet20!J23</f>
        <v>0.29166666666665719</v>
      </c>
      <c r="I24" s="144">
        <f t="shared" si="1"/>
        <v>0.85763888888885731</v>
      </c>
      <c r="J24" s="143">
        <v>0.1423611111111111</v>
      </c>
      <c r="K24" s="143">
        <v>0</v>
      </c>
      <c r="L24" s="143">
        <v>0</v>
      </c>
      <c r="M24" s="143">
        <v>0</v>
      </c>
      <c r="N24" s="143">
        <v>0</v>
      </c>
      <c r="O24" s="144">
        <f t="shared" si="2"/>
        <v>0</v>
      </c>
      <c r="P24" s="143">
        <v>0</v>
      </c>
      <c r="Q24" s="143">
        <v>0</v>
      </c>
      <c r="R24" s="143">
        <v>0</v>
      </c>
      <c r="S24" s="143">
        <v>0</v>
      </c>
      <c r="T24" s="144">
        <f t="shared" si="4"/>
        <v>0</v>
      </c>
      <c r="U24" s="147">
        <f t="shared" si="3"/>
        <v>0.99999999999996847</v>
      </c>
      <c r="V24" s="131" t="s">
        <v>108</v>
      </c>
    </row>
    <row r="25" spans="1:22" ht="30" x14ac:dyDescent="0.25">
      <c r="A25" s="142">
        <v>43942</v>
      </c>
      <c r="B25" s="143">
        <f>Sheet21!D23</f>
        <v>0.16666666666665719</v>
      </c>
      <c r="C25" s="143">
        <f>Sheet21!E23</f>
        <v>206.66666666666666</v>
      </c>
      <c r="D25" s="143">
        <f>Sheet21!F23</f>
        <v>206.875</v>
      </c>
      <c r="E25" s="143">
        <f>Sheet21!G23</f>
        <v>0.20833333333334281</v>
      </c>
      <c r="F25" s="143">
        <f>Sheet21!H23</f>
        <v>206.91666666666666</v>
      </c>
      <c r="G25" s="143">
        <f>Sheet21!I23</f>
        <v>207.08333333333334</v>
      </c>
      <c r="H25" s="143">
        <f>Sheet21!J23</f>
        <v>0.16666666666668561</v>
      </c>
      <c r="I25" s="144">
        <f t="shared" si="1"/>
        <v>0.54166666666668561</v>
      </c>
      <c r="J25" s="143">
        <v>0.14583333333333334</v>
      </c>
      <c r="K25" s="143">
        <v>0</v>
      </c>
      <c r="L25" s="143">
        <v>0</v>
      </c>
      <c r="M25" s="143">
        <v>0</v>
      </c>
      <c r="N25" s="143">
        <v>0</v>
      </c>
      <c r="O25" s="144">
        <f t="shared" si="2"/>
        <v>0</v>
      </c>
      <c r="P25" s="143">
        <v>0.3125</v>
      </c>
      <c r="Q25" s="143">
        <v>0</v>
      </c>
      <c r="R25" s="143">
        <v>0</v>
      </c>
      <c r="S25" s="143">
        <v>0</v>
      </c>
      <c r="T25" s="144">
        <f t="shared" si="4"/>
        <v>0.3125</v>
      </c>
      <c r="U25" s="147">
        <f t="shared" si="3"/>
        <v>1.0000000000000191</v>
      </c>
      <c r="V25" s="153" t="s">
        <v>396</v>
      </c>
    </row>
    <row r="26" spans="1:22" ht="15.75" x14ac:dyDescent="0.25">
      <c r="A26" s="142">
        <v>43943</v>
      </c>
      <c r="B26" s="143">
        <f>Sheet22!D23</f>
        <v>0.15972222222220012</v>
      </c>
      <c r="C26" s="143">
        <f>Sheet22!E23</f>
        <v>206.58333333333334</v>
      </c>
      <c r="D26" s="143">
        <f>Sheet22!F23</f>
        <v>206.875</v>
      </c>
      <c r="E26" s="143">
        <f>Sheet22!G23</f>
        <v>0.29166666666665719</v>
      </c>
      <c r="F26" s="143">
        <f>Sheet22!H23</f>
        <v>206.91666666666666</v>
      </c>
      <c r="G26" s="143">
        <f>Sheet22!I23</f>
        <v>207.20833333333334</v>
      </c>
      <c r="H26" s="143">
        <f>Sheet22!J23</f>
        <v>0.29166666666668561</v>
      </c>
      <c r="I26" s="144">
        <f t="shared" si="1"/>
        <v>0.74305555555554292</v>
      </c>
      <c r="J26" s="143">
        <v>0.1111111111111111</v>
      </c>
      <c r="K26" s="143">
        <v>0</v>
      </c>
      <c r="L26" s="143">
        <v>0</v>
      </c>
      <c r="M26" s="143">
        <v>0.14583333333333334</v>
      </c>
      <c r="N26" s="143">
        <v>0</v>
      </c>
      <c r="O26" s="144">
        <f t="shared" si="2"/>
        <v>0.14583333333333334</v>
      </c>
      <c r="P26" s="143">
        <v>0</v>
      </c>
      <c r="Q26" s="143">
        <v>0</v>
      </c>
      <c r="R26" s="143">
        <v>0</v>
      </c>
      <c r="S26" s="143">
        <v>0</v>
      </c>
      <c r="T26" s="144">
        <f t="shared" si="4"/>
        <v>0</v>
      </c>
      <c r="U26" s="147">
        <f t="shared" si="3"/>
        <v>0.99999999999998734</v>
      </c>
      <c r="V26" s="131"/>
    </row>
    <row r="27" spans="1:22" ht="15.75" x14ac:dyDescent="0.25">
      <c r="A27" s="142">
        <v>43944</v>
      </c>
      <c r="B27" s="143">
        <f>Sheet23!D23</f>
        <v>0.27083333333331439</v>
      </c>
      <c r="C27" s="143">
        <f>Sheet23!E23</f>
        <v>206.58333333333334</v>
      </c>
      <c r="D27" s="143">
        <f>Sheet23!F23</f>
        <v>206.875</v>
      </c>
      <c r="E27" s="143">
        <f>Sheet23!G23</f>
        <v>0.29166666666665719</v>
      </c>
      <c r="F27" s="143">
        <f>Sheet23!H23</f>
        <v>206.91666666666666</v>
      </c>
      <c r="G27" s="143">
        <f>Sheet23!I23</f>
        <v>207.20833333333334</v>
      </c>
      <c r="H27" s="143">
        <f>Sheet23!J23</f>
        <v>0.29166666666668561</v>
      </c>
      <c r="I27" s="144">
        <f t="shared" si="1"/>
        <v>0.85416666666665719</v>
      </c>
      <c r="J27" s="143">
        <v>0.10069444444444443</v>
      </c>
      <c r="K27" s="143">
        <v>0</v>
      </c>
      <c r="L27" s="143">
        <v>0</v>
      </c>
      <c r="M27" s="143">
        <v>0</v>
      </c>
      <c r="N27" s="143">
        <v>4.5138888888888888E-2</v>
      </c>
      <c r="O27" s="144">
        <f>SUM(K27:M27)</f>
        <v>0</v>
      </c>
      <c r="P27" s="143">
        <v>0</v>
      </c>
      <c r="Q27" s="143">
        <v>0</v>
      </c>
      <c r="R27" s="143">
        <v>0</v>
      </c>
      <c r="S27" s="143">
        <v>0</v>
      </c>
      <c r="T27" s="144">
        <f t="shared" si="4"/>
        <v>0</v>
      </c>
      <c r="U27" s="147">
        <f t="shared" si="3"/>
        <v>0.95486111111110161</v>
      </c>
      <c r="V27" s="131"/>
    </row>
    <row r="28" spans="1:22" ht="15.75" x14ac:dyDescent="0.25">
      <c r="A28" s="142">
        <v>43945</v>
      </c>
      <c r="B28" s="143">
        <f>Sheet24!D23</f>
        <v>0.29861111111111427</v>
      </c>
      <c r="C28" s="143">
        <f>Sheet24!E23</f>
        <v>206.625</v>
      </c>
      <c r="D28" s="143">
        <f>Sheet24!F23</f>
        <v>206.875</v>
      </c>
      <c r="E28" s="143">
        <f>Sheet24!G23</f>
        <v>0.25</v>
      </c>
      <c r="F28" s="143">
        <f>Sheet24!H23</f>
        <v>206.93055555555554</v>
      </c>
      <c r="G28" s="143">
        <f>Sheet24!I23</f>
        <v>207.20833333333334</v>
      </c>
      <c r="H28" s="143">
        <f>Sheet24!J23</f>
        <v>0.27777777777779988</v>
      </c>
      <c r="I28" s="144">
        <f t="shared" si="1"/>
        <v>0.82638888888891415</v>
      </c>
      <c r="J28" s="143">
        <v>0.17361111111111113</v>
      </c>
      <c r="K28" s="143">
        <v>0</v>
      </c>
      <c r="L28" s="143">
        <v>0</v>
      </c>
      <c r="M28" s="143">
        <v>0</v>
      </c>
      <c r="N28" s="143">
        <v>0</v>
      </c>
      <c r="O28" s="144">
        <f t="shared" si="2"/>
        <v>0</v>
      </c>
      <c r="P28" s="143">
        <v>0</v>
      </c>
      <c r="Q28" s="143">
        <v>0</v>
      </c>
      <c r="R28" s="143">
        <v>0</v>
      </c>
      <c r="S28" s="143">
        <v>0</v>
      </c>
      <c r="T28" s="144">
        <f t="shared" si="4"/>
        <v>0</v>
      </c>
      <c r="U28" s="147">
        <f t="shared" si="3"/>
        <v>1.0000000000000253</v>
      </c>
      <c r="V28" s="131" t="s">
        <v>108</v>
      </c>
    </row>
    <row r="29" spans="1:22" ht="15.75" x14ac:dyDescent="0.25">
      <c r="A29" s="142">
        <v>43946</v>
      </c>
      <c r="B29" s="143">
        <f>Sheet25!D23</f>
        <v>0.27777777777777146</v>
      </c>
      <c r="C29" s="143">
        <f>Sheet25!E23</f>
        <v>206.6875</v>
      </c>
      <c r="D29" s="143">
        <f>Sheet25!F23</f>
        <v>206.875</v>
      </c>
      <c r="E29" s="143">
        <f>Sheet25!G23</f>
        <v>0.1875</v>
      </c>
      <c r="F29" s="143">
        <f>Sheet25!H23</f>
        <v>206.91666666666666</v>
      </c>
      <c r="G29" s="143">
        <f>Sheet25!I23</f>
        <v>207.20833333333334</v>
      </c>
      <c r="H29" s="143">
        <f>Sheet25!J23</f>
        <v>0.29166666666668561</v>
      </c>
      <c r="I29" s="144">
        <f t="shared" si="1"/>
        <v>0.75694444444445708</v>
      </c>
      <c r="J29" s="143">
        <v>0.1875</v>
      </c>
      <c r="K29" s="143">
        <v>5.5555555555555552E-2</v>
      </c>
      <c r="L29" s="143">
        <v>0</v>
      </c>
      <c r="M29" s="143">
        <v>0</v>
      </c>
      <c r="N29" s="143">
        <v>0</v>
      </c>
      <c r="O29" s="144">
        <f>SUM(K29:M29)</f>
        <v>5.5555555555555552E-2</v>
      </c>
      <c r="P29" s="143">
        <v>0</v>
      </c>
      <c r="Q29" s="143">
        <v>0</v>
      </c>
      <c r="R29" s="143">
        <v>0</v>
      </c>
      <c r="S29" s="143">
        <v>0</v>
      </c>
      <c r="T29" s="144">
        <f t="shared" si="4"/>
        <v>0</v>
      </c>
      <c r="U29" s="147">
        <f t="shared" si="3"/>
        <v>1.0000000000000127</v>
      </c>
      <c r="V29" s="150"/>
    </row>
    <row r="30" spans="1:22" ht="15.75" x14ac:dyDescent="0.25">
      <c r="A30" s="142">
        <v>43947</v>
      </c>
      <c r="B30" s="143">
        <f>Sheet26!D23</f>
        <v>0.29166666666665719</v>
      </c>
      <c r="C30" s="143">
        <f>Sheet26!E23</f>
        <v>206.63194444444446</v>
      </c>
      <c r="D30" s="143">
        <f>Sheet26!F23</f>
        <v>206.875</v>
      </c>
      <c r="E30" s="143">
        <f>Sheet26!G23</f>
        <v>0.24305555555554292</v>
      </c>
      <c r="F30" s="143">
        <f>Sheet26!H23</f>
        <v>206.91666666666666</v>
      </c>
      <c r="G30" s="143">
        <f>Sheet26!I23</f>
        <v>207.20833333333334</v>
      </c>
      <c r="H30" s="143">
        <f>Sheet26!J23</f>
        <v>0.29166666666668561</v>
      </c>
      <c r="I30" s="144">
        <f t="shared" si="1"/>
        <v>0.82638888888888573</v>
      </c>
      <c r="J30" s="143">
        <v>0.17361111111111113</v>
      </c>
      <c r="K30" s="143">
        <v>0</v>
      </c>
      <c r="L30" s="143">
        <v>0</v>
      </c>
      <c r="M30" s="143">
        <v>0</v>
      </c>
      <c r="N30" s="143">
        <v>0</v>
      </c>
      <c r="O30" s="144">
        <f t="shared" si="2"/>
        <v>0</v>
      </c>
      <c r="P30" s="143">
        <v>0</v>
      </c>
      <c r="Q30" s="143">
        <v>0</v>
      </c>
      <c r="R30" s="143">
        <v>0</v>
      </c>
      <c r="S30" s="143">
        <v>0</v>
      </c>
      <c r="T30" s="144">
        <f t="shared" si="4"/>
        <v>0</v>
      </c>
      <c r="U30" s="147">
        <f t="shared" si="3"/>
        <v>0.99999999999999689</v>
      </c>
      <c r="V30" s="131" t="s">
        <v>108</v>
      </c>
    </row>
    <row r="31" spans="1:22" ht="15.75" x14ac:dyDescent="0.25">
      <c r="A31" s="142">
        <v>43948</v>
      </c>
      <c r="B31" s="143">
        <f>Sheet27!D23</f>
        <v>0.26388888888888573</v>
      </c>
      <c r="C31" s="143">
        <f>Sheet27!E23</f>
        <v>206.61458333333334</v>
      </c>
      <c r="D31" s="143">
        <f>Sheet27!F23</f>
        <v>206.875</v>
      </c>
      <c r="E31" s="143">
        <f>Sheet27!G23</f>
        <v>0.26041666666665719</v>
      </c>
      <c r="F31" s="143">
        <f>Sheet27!H23</f>
        <v>206.91666666666666</v>
      </c>
      <c r="G31" s="143">
        <f>Sheet27!I23</f>
        <v>207.20833333333334</v>
      </c>
      <c r="H31" s="143">
        <f>Sheet27!J23</f>
        <v>0.29166666666668561</v>
      </c>
      <c r="I31" s="144">
        <f t="shared" si="1"/>
        <v>0.81597222222222854</v>
      </c>
      <c r="J31" s="143">
        <v>0.18402777777777779</v>
      </c>
      <c r="K31" s="143">
        <v>0</v>
      </c>
      <c r="L31" s="143">
        <v>0</v>
      </c>
      <c r="M31" s="143">
        <v>0</v>
      </c>
      <c r="N31" s="143">
        <v>0</v>
      </c>
      <c r="O31" s="144">
        <f t="shared" si="2"/>
        <v>0</v>
      </c>
      <c r="P31" s="143">
        <v>0</v>
      </c>
      <c r="Q31" s="143">
        <v>0</v>
      </c>
      <c r="R31" s="143">
        <v>0</v>
      </c>
      <c r="S31" s="143">
        <v>0</v>
      </c>
      <c r="T31" s="144">
        <f t="shared" si="4"/>
        <v>0</v>
      </c>
      <c r="U31" s="147">
        <f t="shared" si="3"/>
        <v>1.0000000000000062</v>
      </c>
      <c r="V31" s="131" t="s">
        <v>108</v>
      </c>
    </row>
    <row r="32" spans="1:22" ht="15.75" x14ac:dyDescent="0.25">
      <c r="A32" s="142">
        <v>43949</v>
      </c>
      <c r="B32" s="143">
        <f>Sheet28!D23</f>
        <v>0.29166666666665719</v>
      </c>
      <c r="C32" s="143">
        <f>Sheet28!E23</f>
        <v>206.63888888888889</v>
      </c>
      <c r="D32" s="143">
        <f>Sheet28!F23</f>
        <v>206.875</v>
      </c>
      <c r="E32" s="143">
        <f>Sheet28!G23</f>
        <v>0.23611111111111427</v>
      </c>
      <c r="F32" s="143">
        <f>Sheet28!H23</f>
        <v>206.94097222222223</v>
      </c>
      <c r="G32" s="143">
        <f>Sheet28!I23</f>
        <v>207.20833333333334</v>
      </c>
      <c r="H32" s="143">
        <f>Sheet28!J23</f>
        <v>0.26736111111111427</v>
      </c>
      <c r="I32" s="144">
        <f t="shared" si="1"/>
        <v>0.79513888888888573</v>
      </c>
      <c r="J32" s="143">
        <v>0.20486111111111113</v>
      </c>
      <c r="K32" s="143">
        <v>0</v>
      </c>
      <c r="L32" s="143">
        <v>0</v>
      </c>
      <c r="M32" s="143">
        <v>0</v>
      </c>
      <c r="N32" s="143">
        <v>0</v>
      </c>
      <c r="O32" s="144">
        <f t="shared" si="2"/>
        <v>0</v>
      </c>
      <c r="P32" s="143">
        <v>0</v>
      </c>
      <c r="Q32" s="143">
        <v>0</v>
      </c>
      <c r="R32" s="143">
        <v>0</v>
      </c>
      <c r="S32" s="143">
        <v>0</v>
      </c>
      <c r="T32" s="144">
        <f t="shared" si="4"/>
        <v>0</v>
      </c>
      <c r="U32" s="147">
        <f t="shared" si="3"/>
        <v>0.99999999999999689</v>
      </c>
      <c r="V32" s="131" t="s">
        <v>108</v>
      </c>
    </row>
    <row r="33" spans="1:22" ht="15.75" x14ac:dyDescent="0.25">
      <c r="A33" s="142">
        <v>43950</v>
      </c>
      <c r="B33" s="143">
        <f>Sheet29!D23</f>
        <v>0.29166666666665719</v>
      </c>
      <c r="C33" s="143">
        <f>Sheet29!E23</f>
        <v>206.58333333333334</v>
      </c>
      <c r="D33" s="143">
        <f>Sheet29!F23</f>
        <v>206.875</v>
      </c>
      <c r="E33" s="143">
        <f>Sheet29!G23</f>
        <v>0.29166666666665719</v>
      </c>
      <c r="F33" s="143">
        <f>Sheet29!H23</f>
        <v>206.91666666666666</v>
      </c>
      <c r="G33" s="143">
        <f>Sheet29!I23</f>
        <v>207.20833333333334</v>
      </c>
      <c r="H33" s="143">
        <f>Sheet29!J23</f>
        <v>0.29166666666668561</v>
      </c>
      <c r="I33" s="144">
        <f t="shared" si="1"/>
        <v>0.875</v>
      </c>
      <c r="J33" s="143">
        <v>0.125</v>
      </c>
      <c r="K33" s="143">
        <v>0</v>
      </c>
      <c r="L33" s="143">
        <v>0</v>
      </c>
      <c r="M33" s="143">
        <v>0</v>
      </c>
      <c r="N33" s="143">
        <v>0</v>
      </c>
      <c r="O33" s="144">
        <f t="shared" si="2"/>
        <v>0</v>
      </c>
      <c r="P33" s="143">
        <v>0</v>
      </c>
      <c r="Q33" s="143">
        <v>0</v>
      </c>
      <c r="R33" s="143">
        <v>0</v>
      </c>
      <c r="S33" s="143">
        <v>0</v>
      </c>
      <c r="T33" s="144">
        <f t="shared" si="4"/>
        <v>0</v>
      </c>
      <c r="U33" s="147">
        <f t="shared" si="3"/>
        <v>1</v>
      </c>
      <c r="V33" s="131"/>
    </row>
    <row r="34" spans="1:22" ht="15.75" x14ac:dyDescent="0.25">
      <c r="A34" s="142">
        <v>43951</v>
      </c>
      <c r="B34" s="143">
        <f>'Sheet 30'!D23</f>
        <v>0.22916666666665719</v>
      </c>
      <c r="C34" s="143">
        <f>Sheet29!E24</f>
        <v>0</v>
      </c>
      <c r="D34" s="143">
        <f>Sheet29!F24</f>
        <v>0</v>
      </c>
      <c r="E34" s="143">
        <f>'Sheet 30'!G23</f>
        <v>0.17708333333334281</v>
      </c>
      <c r="F34" s="143">
        <f>Sheet29!H24</f>
        <v>0</v>
      </c>
      <c r="G34" s="143">
        <f>Sheet29!I24</f>
        <v>0</v>
      </c>
      <c r="H34" s="143">
        <f>'Sheet 30'!J23</f>
        <v>0.29166666666668561</v>
      </c>
      <c r="I34" s="144">
        <f t="shared" ref="I34" si="5">B34+E34+H34</f>
        <v>0.69791666666668561</v>
      </c>
      <c r="J34" s="143">
        <v>0.23958333333333334</v>
      </c>
      <c r="K34" s="143">
        <v>0</v>
      </c>
      <c r="L34" s="143">
        <v>0</v>
      </c>
      <c r="M34" s="143">
        <v>0</v>
      </c>
      <c r="N34" s="143">
        <v>6.25E-2</v>
      </c>
      <c r="O34" s="144">
        <f>SUM(K34:M34)</f>
        <v>0</v>
      </c>
      <c r="P34" s="143">
        <v>0</v>
      </c>
      <c r="Q34" s="143">
        <v>0</v>
      </c>
      <c r="R34" s="143">
        <v>0</v>
      </c>
      <c r="S34" s="143">
        <v>0</v>
      </c>
      <c r="T34" s="144">
        <f t="shared" ref="T34" si="6">SUM(P34:S34)</f>
        <v>0</v>
      </c>
      <c r="U34" s="147">
        <f t="shared" ref="U34" si="7">I34+O34+J34+T34</f>
        <v>0.93750000000001898</v>
      </c>
      <c r="V34" s="131"/>
    </row>
    <row r="35" spans="1:22" ht="15.75" x14ac:dyDescent="0.25">
      <c r="A35" s="142"/>
      <c r="B35" s="143"/>
      <c r="C35" s="143"/>
      <c r="D35" s="143"/>
      <c r="E35" s="143"/>
      <c r="F35" s="143"/>
      <c r="G35" s="143"/>
      <c r="H35" s="143"/>
      <c r="I35" s="144"/>
      <c r="J35" s="143"/>
      <c r="K35" s="143"/>
      <c r="L35" s="143"/>
      <c r="M35" s="143"/>
      <c r="N35" s="143"/>
      <c r="O35" s="144"/>
      <c r="P35" s="143"/>
      <c r="Q35" s="143"/>
      <c r="R35" s="143"/>
      <c r="S35" s="143"/>
      <c r="T35" s="144"/>
      <c r="U35" s="147"/>
      <c r="V35" s="131"/>
    </row>
    <row r="36" spans="1:22" ht="15.75" x14ac:dyDescent="0.25">
      <c r="A36" s="132" t="s">
        <v>109</v>
      </c>
      <c r="B36" s="130" t="s">
        <v>13</v>
      </c>
      <c r="C36" s="130"/>
      <c r="D36" s="130"/>
      <c r="E36" s="130"/>
      <c r="F36" s="130"/>
      <c r="G36" s="130"/>
      <c r="H36" s="130" t="s">
        <v>13</v>
      </c>
      <c r="I36" s="152">
        <f t="shared" ref="I36:T36" si="8">SUM(I5:I34)</f>
        <v>23.902777777777828</v>
      </c>
      <c r="J36" s="152">
        <f t="shared" si="8"/>
        <v>5.1076388888888875</v>
      </c>
      <c r="K36" s="152">
        <f t="shared" si="8"/>
        <v>0.10069444444444445</v>
      </c>
      <c r="L36" s="152">
        <f t="shared" si="8"/>
        <v>6.25E-2</v>
      </c>
      <c r="M36" s="152">
        <f t="shared" si="8"/>
        <v>0.23958333333333334</v>
      </c>
      <c r="N36" s="152">
        <f t="shared" si="8"/>
        <v>0.1076388888888889</v>
      </c>
      <c r="O36" s="152">
        <f t="shared" si="8"/>
        <v>0.40277777777777779</v>
      </c>
      <c r="P36" s="152">
        <f t="shared" si="8"/>
        <v>0.3125</v>
      </c>
      <c r="Q36" s="152">
        <f t="shared" si="8"/>
        <v>0.16666666666666666</v>
      </c>
      <c r="R36" s="152">
        <f t="shared" si="8"/>
        <v>0</v>
      </c>
      <c r="S36" s="152">
        <f t="shared" si="8"/>
        <v>0</v>
      </c>
      <c r="T36" s="152">
        <f t="shared" si="8"/>
        <v>0.47916666666666663</v>
      </c>
      <c r="U36" s="253">
        <f>I36+J36+O36+T36</f>
        <v>29.89236111111116</v>
      </c>
      <c r="V36" s="89"/>
    </row>
    <row r="37" spans="1:22" ht="15.75" x14ac:dyDescent="0.25">
      <c r="B37" s="133"/>
      <c r="C37" s="133"/>
      <c r="D37" s="133"/>
      <c r="E37" s="133"/>
      <c r="F37" s="133"/>
      <c r="G37" s="133"/>
      <c r="H37" s="133"/>
      <c r="I37" s="134"/>
      <c r="J37" s="135"/>
      <c r="K37" s="133"/>
      <c r="L37" s="133"/>
      <c r="M37" s="133"/>
      <c r="N37" s="133"/>
      <c r="O37" s="133"/>
      <c r="P37" s="133"/>
      <c r="Q37" s="133"/>
      <c r="R37" s="133"/>
      <c r="S37" s="133"/>
      <c r="T37" s="136"/>
      <c r="U37" s="136"/>
    </row>
    <row r="38" spans="1:22" x14ac:dyDescent="0.25">
      <c r="B38" s="133"/>
      <c r="C38" s="133"/>
      <c r="D38" s="133"/>
      <c r="E38" s="133"/>
      <c r="F38" s="133"/>
      <c r="G38" s="133"/>
      <c r="H38" s="133"/>
      <c r="I38" s="134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</row>
    <row r="39" spans="1:22" x14ac:dyDescent="0.25"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7"/>
      <c r="N39" s="133"/>
      <c r="O39" s="133"/>
      <c r="P39" s="133"/>
      <c r="Q39" s="133"/>
      <c r="R39" s="133" t="s">
        <v>398</v>
      </c>
      <c r="S39" s="133"/>
      <c r="T39" s="133"/>
      <c r="U39" s="133"/>
    </row>
    <row r="40" spans="1:22" x14ac:dyDescent="0.25">
      <c r="B40" s="133"/>
      <c r="C40" s="133"/>
      <c r="D40" s="133"/>
      <c r="E40" s="133"/>
      <c r="F40" s="133"/>
      <c r="G40" s="133"/>
      <c r="H40" s="133"/>
      <c r="I40" s="138"/>
      <c r="J40" s="138"/>
      <c r="K40" s="138"/>
      <c r="L40" s="138"/>
      <c r="M40" s="138"/>
      <c r="N40" s="138"/>
      <c r="O40" s="139"/>
      <c r="P40" s="138"/>
      <c r="Q40" s="138"/>
      <c r="R40" s="138" t="s">
        <v>110</v>
      </c>
      <c r="S40" s="138"/>
      <c r="T40" s="133"/>
      <c r="U40" s="133"/>
    </row>
    <row r="41" spans="1:22" ht="15.75" x14ac:dyDescent="0.25">
      <c r="A41" s="140" t="s">
        <v>111</v>
      </c>
      <c r="B41" s="133"/>
      <c r="C41" s="133"/>
      <c r="D41" s="133"/>
      <c r="E41" s="133"/>
      <c r="F41" s="133"/>
      <c r="G41" s="133"/>
      <c r="H41" s="133"/>
      <c r="I41" s="134"/>
      <c r="J41" s="133"/>
      <c r="K41" s="133"/>
      <c r="L41" s="133"/>
      <c r="M41" s="137"/>
      <c r="N41" s="133"/>
      <c r="O41" s="139"/>
      <c r="P41" s="133"/>
      <c r="Q41" s="133"/>
      <c r="R41" s="133"/>
      <c r="S41" s="133"/>
      <c r="T41" s="133"/>
      <c r="U41" s="133"/>
    </row>
    <row r="42" spans="1:22" ht="15.75" x14ac:dyDescent="0.25">
      <c r="A42" s="140" t="s">
        <v>112</v>
      </c>
      <c r="B42" s="133"/>
      <c r="C42" s="133"/>
      <c r="D42" s="133"/>
      <c r="E42" s="133"/>
      <c r="F42" s="133"/>
      <c r="G42" s="133"/>
      <c r="H42" s="133"/>
      <c r="I42" s="134"/>
      <c r="J42" s="133"/>
      <c r="K42" s="133"/>
      <c r="L42" s="133"/>
      <c r="M42" s="133"/>
      <c r="N42" s="133"/>
      <c r="O42" s="139"/>
      <c r="P42" s="133"/>
      <c r="Q42" s="133"/>
      <c r="R42" s="133"/>
      <c r="S42" s="133"/>
      <c r="T42" s="133"/>
      <c r="U42" s="133"/>
    </row>
    <row r="43" spans="1:22" ht="15.75" x14ac:dyDescent="0.25">
      <c r="A43" s="140">
        <v>2</v>
      </c>
      <c r="B43" s="133" t="s">
        <v>400</v>
      </c>
      <c r="C43" s="133"/>
      <c r="D43" s="133"/>
      <c r="E43" s="133"/>
      <c r="F43" s="133"/>
      <c r="G43" s="133"/>
      <c r="H43" s="133"/>
      <c r="I43" s="134"/>
      <c r="J43" s="133"/>
      <c r="K43" s="133"/>
      <c r="L43" s="133"/>
      <c r="M43" s="133"/>
      <c r="N43" s="133"/>
      <c r="O43" s="139"/>
      <c r="P43" s="133"/>
      <c r="Q43" s="133"/>
      <c r="R43" s="133"/>
      <c r="S43" s="133"/>
      <c r="T43" s="133"/>
      <c r="U43" s="133"/>
    </row>
    <row r="44" spans="1:22" ht="15.75" x14ac:dyDescent="0.25">
      <c r="A44" s="140">
        <v>3</v>
      </c>
      <c r="B44" s="133" t="s">
        <v>113</v>
      </c>
      <c r="C44" s="133"/>
      <c r="D44" s="133"/>
      <c r="E44" s="133"/>
      <c r="F44" s="133"/>
      <c r="G44" s="133"/>
      <c r="H44" s="133"/>
      <c r="I44" s="134"/>
      <c r="J44" s="133"/>
      <c r="K44" s="133"/>
      <c r="L44" s="133"/>
      <c r="M44" s="133"/>
      <c r="N44" s="133"/>
      <c r="O44" s="139"/>
      <c r="P44" s="133"/>
      <c r="Q44" s="133"/>
      <c r="R44" s="133"/>
      <c r="S44" s="133"/>
      <c r="T44" s="133"/>
      <c r="U44" s="133"/>
    </row>
    <row r="45" spans="1:22" x14ac:dyDescent="0.25">
      <c r="A45" s="141" t="s">
        <v>114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7"/>
      <c r="P45" s="133"/>
      <c r="Q45" s="133"/>
      <c r="R45" s="133"/>
      <c r="S45" s="133"/>
      <c r="T45" s="133"/>
      <c r="U45" s="133"/>
    </row>
    <row r="46" spans="1:22" ht="15.75" x14ac:dyDescent="0.25">
      <c r="A46" s="140"/>
      <c r="B46" s="133"/>
      <c r="C46" s="133"/>
      <c r="D46" s="133"/>
      <c r="E46" s="134"/>
      <c r="F46" s="133"/>
      <c r="G46" s="133"/>
      <c r="H46" s="133"/>
      <c r="I46" s="133"/>
      <c r="J46" s="133"/>
      <c r="K46" s="139"/>
      <c r="L46" s="133"/>
      <c r="M46" s="133"/>
      <c r="N46" s="133"/>
      <c r="O46" s="133"/>
      <c r="P46" s="133"/>
      <c r="Q46" s="133"/>
    </row>
    <row r="47" spans="1:22" ht="15.75" x14ac:dyDescent="0.25">
      <c r="A47" s="140"/>
      <c r="B47" s="133"/>
      <c r="C47" s="133"/>
      <c r="D47" s="133"/>
      <c r="E47" s="134"/>
      <c r="F47" s="133"/>
      <c r="G47" s="133"/>
      <c r="H47" s="133"/>
      <c r="I47" s="133"/>
      <c r="J47" s="133"/>
      <c r="K47" s="139"/>
      <c r="L47" s="133"/>
      <c r="M47" s="133"/>
      <c r="N47" s="133"/>
      <c r="O47" s="133"/>
      <c r="P47" s="133"/>
      <c r="Q47" s="133"/>
    </row>
    <row r="48" spans="1:22" ht="15.75" x14ac:dyDescent="0.25">
      <c r="A48" s="140"/>
      <c r="B48" s="133"/>
      <c r="C48" s="133"/>
      <c r="D48" s="133"/>
      <c r="E48" s="134"/>
      <c r="F48" s="133"/>
      <c r="G48" s="133"/>
      <c r="H48" s="133"/>
      <c r="I48" s="133"/>
      <c r="J48" s="133"/>
      <c r="K48" s="139"/>
      <c r="L48" s="133"/>
      <c r="M48" s="133"/>
      <c r="N48" s="133"/>
      <c r="O48" s="133"/>
      <c r="P48" s="133"/>
      <c r="Q48" s="133"/>
    </row>
    <row r="49" spans="1:17" x14ac:dyDescent="0.25">
      <c r="A49" s="141"/>
      <c r="B49" s="133"/>
      <c r="C49" s="133"/>
      <c r="D49" s="133"/>
      <c r="E49" s="133"/>
      <c r="F49" s="133"/>
      <c r="G49" s="133"/>
      <c r="H49" s="133"/>
      <c r="I49" s="133"/>
      <c r="J49" s="133"/>
      <c r="K49" s="137"/>
      <c r="L49" s="133"/>
      <c r="M49" s="133"/>
      <c r="N49" s="133"/>
      <c r="O49" s="133"/>
      <c r="P49" s="133"/>
      <c r="Q49" s="133"/>
    </row>
  </sheetData>
  <pageMargins left="0.31496062992125984" right="0.19685039370078741" top="0.23622047244094491" bottom="0.23622047244094491" header="0.31496062992125984" footer="0.31496062992125984"/>
  <pageSetup paperSize="141" scale="95" orientation="portrait" horizontalDpi="180" verticalDpi="18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P32"/>
  <sheetViews>
    <sheetView topLeftCell="A7" workbookViewId="0">
      <selection activeCell="C5" sqref="C5:N31"/>
    </sheetView>
  </sheetViews>
  <sheetFormatPr defaultRowHeight="15" x14ac:dyDescent="0.25"/>
  <cols>
    <col min="2" max="2" width="11.7109375" customWidth="1"/>
    <col min="4" max="4" width="11.42578125" bestFit="1" customWidth="1"/>
    <col min="7" max="7" width="15.140625" customWidth="1"/>
    <col min="8" max="8" width="11.5703125" customWidth="1"/>
    <col min="9" max="9" width="11.7109375" customWidth="1"/>
    <col min="10" max="10" width="12.140625" customWidth="1"/>
    <col min="11" max="11" width="17.28515625" customWidth="1"/>
    <col min="12" max="12" width="10.5703125" customWidth="1"/>
    <col min="14" max="14" width="36.140625" customWidth="1"/>
  </cols>
  <sheetData>
    <row r="5" spans="2:16" ht="15.75" x14ac:dyDescent="0.25">
      <c r="F5" s="158" t="s">
        <v>124</v>
      </c>
    </row>
    <row r="6" spans="2:16" ht="15.75" x14ac:dyDescent="0.25">
      <c r="F6" s="158" t="s">
        <v>125</v>
      </c>
    </row>
    <row r="7" spans="2:16" ht="15.75" x14ac:dyDescent="0.25">
      <c r="F7" s="159" t="s">
        <v>401</v>
      </c>
      <c r="J7" s="298"/>
      <c r="K7" s="298"/>
      <c r="L7" s="298"/>
    </row>
    <row r="9" spans="2:16" ht="42.75" x14ac:dyDescent="0.25">
      <c r="C9" s="160" t="s">
        <v>126</v>
      </c>
      <c r="D9" s="326" t="s">
        <v>127</v>
      </c>
      <c r="E9" s="326"/>
      <c r="F9" s="160" t="s">
        <v>128</v>
      </c>
      <c r="G9" s="160" t="s">
        <v>129</v>
      </c>
      <c r="H9" s="160" t="s">
        <v>130</v>
      </c>
      <c r="I9" s="160" t="s">
        <v>173</v>
      </c>
      <c r="J9" s="160" t="s">
        <v>131</v>
      </c>
      <c r="K9" s="160" t="s">
        <v>172</v>
      </c>
      <c r="L9" s="160" t="s">
        <v>133</v>
      </c>
      <c r="M9" s="250" t="s">
        <v>402</v>
      </c>
      <c r="N9" s="161" t="s">
        <v>134</v>
      </c>
    </row>
    <row r="10" spans="2:16" ht="79.5" customHeight="1" x14ac:dyDescent="0.25">
      <c r="B10" s="290">
        <v>30</v>
      </c>
      <c r="C10" s="162" t="s">
        <v>135</v>
      </c>
      <c r="D10" s="327" t="s">
        <v>432</v>
      </c>
      <c r="E10" s="327"/>
      <c r="F10" s="163">
        <f>'Feb stream I '!O36</f>
        <v>1.697916666666667</v>
      </c>
      <c r="G10" s="164">
        <f>'Feb stream I '!T36</f>
        <v>1.5659722222222223</v>
      </c>
      <c r="H10" s="165">
        <f>'Feb stream I '!J36</f>
        <v>5.3298611111111125</v>
      </c>
      <c r="I10" s="165">
        <f>'Feb stream I '!I36</f>
        <v>21.40625</v>
      </c>
      <c r="J10" s="165">
        <f>I10+H10-M10</f>
        <v>26.621527777777782</v>
      </c>
      <c r="K10" s="166">
        <f>J10/B10</f>
        <v>0.88738425925925946</v>
      </c>
      <c r="L10" s="299">
        <f>(J10-H10)/B10</f>
        <v>0.70972222222222237</v>
      </c>
      <c r="M10" s="255">
        <v>0.11458333333333333</v>
      </c>
      <c r="N10" s="167" t="s">
        <v>449</v>
      </c>
      <c r="P10" s="168"/>
    </row>
    <row r="11" spans="2:16" ht="66.75" customHeight="1" x14ac:dyDescent="0.25">
      <c r="B11" s="290">
        <v>30</v>
      </c>
      <c r="C11" s="162" t="s">
        <v>137</v>
      </c>
      <c r="D11" s="327" t="s">
        <v>432</v>
      </c>
      <c r="E11" s="327"/>
      <c r="F11" s="169">
        <f>'Feb stream II  '!O36</f>
        <v>0.89236111111111105</v>
      </c>
      <c r="G11" s="164">
        <f>'Feb stream II  '!T36</f>
        <v>1.0416666666666667</v>
      </c>
      <c r="H11" s="165">
        <f>'Feb stream II  '!J36</f>
        <v>5.125</v>
      </c>
      <c r="I11" s="165">
        <f>'Feb stream II  '!I36</f>
        <v>22.934027777777828</v>
      </c>
      <c r="J11" s="165">
        <f>I11+H11-M11</f>
        <v>27.944444444444496</v>
      </c>
      <c r="K11" s="166">
        <f t="shared" ref="K11:K12" si="0">J11/B11</f>
        <v>0.93148148148148324</v>
      </c>
      <c r="L11" s="299">
        <f t="shared" ref="L11:L12" si="1">(J11-H11)/B11</f>
        <v>0.76064814814814985</v>
      </c>
      <c r="M11" s="255">
        <v>0.11458333333333333</v>
      </c>
      <c r="N11" s="167" t="s">
        <v>450</v>
      </c>
    </row>
    <row r="12" spans="2:16" ht="51.75" customHeight="1" x14ac:dyDescent="0.25">
      <c r="B12" s="290">
        <v>30</v>
      </c>
      <c r="C12" s="162" t="s">
        <v>138</v>
      </c>
      <c r="D12" s="327" t="s">
        <v>432</v>
      </c>
      <c r="E12" s="327"/>
      <c r="F12" s="165">
        <f>'Feb stream III '!O36</f>
        <v>0.40277777777777779</v>
      </c>
      <c r="G12" s="169">
        <f>'Feb stream III '!T36</f>
        <v>0.47916666666666663</v>
      </c>
      <c r="H12" s="165">
        <f>'Feb stream III '!J36</f>
        <v>5.1076388888888875</v>
      </c>
      <c r="I12" s="165">
        <f>'Feb stream III '!I36</f>
        <v>23.902777777777828</v>
      </c>
      <c r="J12" s="165">
        <f>I12+H12-M12</f>
        <v>28.895833333333382</v>
      </c>
      <c r="K12" s="166">
        <f t="shared" si="0"/>
        <v>0.96319444444444602</v>
      </c>
      <c r="L12" s="299">
        <f t="shared" si="1"/>
        <v>0.79293981481481646</v>
      </c>
      <c r="M12" s="255">
        <v>0.11458333333333333</v>
      </c>
      <c r="N12" s="167" t="s">
        <v>451</v>
      </c>
    </row>
    <row r="13" spans="2:16" ht="51.75" customHeight="1" x14ac:dyDescent="0.25">
      <c r="B13" s="290">
        <f>SUM(B10:B12)/3</f>
        <v>30</v>
      </c>
      <c r="C13" s="251"/>
      <c r="D13" s="251"/>
      <c r="E13" s="251"/>
      <c r="F13" s="254">
        <f t="shared" ref="F13:L13" si="2">SUM(F10:F12)/3</f>
        <v>0.99768518518518523</v>
      </c>
      <c r="G13" s="254">
        <f t="shared" si="2"/>
        <v>1.0289351851851853</v>
      </c>
      <c r="H13" s="254">
        <f t="shared" si="2"/>
        <v>5.1875</v>
      </c>
      <c r="I13" s="254">
        <f t="shared" si="2"/>
        <v>22.747685185185219</v>
      </c>
      <c r="J13" s="254">
        <f t="shared" si="2"/>
        <v>27.820601851851887</v>
      </c>
      <c r="K13" s="166">
        <f t="shared" si="2"/>
        <v>0.92735339506172954</v>
      </c>
      <c r="L13" s="166">
        <f t="shared" si="2"/>
        <v>0.75443672839506293</v>
      </c>
      <c r="M13" s="254">
        <f>SUM(M10:M12)/3</f>
        <v>0.11458333333333333</v>
      </c>
      <c r="N13" s="167"/>
    </row>
    <row r="14" spans="2:16" ht="57" x14ac:dyDescent="0.25">
      <c r="C14" s="160" t="s">
        <v>139</v>
      </c>
      <c r="D14" s="160" t="s">
        <v>140</v>
      </c>
      <c r="E14" s="89"/>
      <c r="F14" s="161" t="s">
        <v>141</v>
      </c>
      <c r="G14" s="160" t="s">
        <v>142</v>
      </c>
      <c r="H14" s="161">
        <v>772986.59</v>
      </c>
      <c r="I14" s="161"/>
      <c r="J14" s="160" t="s">
        <v>143</v>
      </c>
      <c r="K14" s="328" t="s">
        <v>144</v>
      </c>
      <c r="L14" s="329"/>
      <c r="M14" s="252"/>
      <c r="N14" s="170" t="s">
        <v>145</v>
      </c>
    </row>
    <row r="15" spans="2:16" ht="45" x14ac:dyDescent="0.25">
      <c r="C15" s="171">
        <f>I10+I11+I12</f>
        <v>68.243055555555657</v>
      </c>
      <c r="D15" s="172">
        <f>'Feb 2019'!P38</f>
        <v>953773.08000000019</v>
      </c>
      <c r="E15" s="173"/>
      <c r="F15" s="174">
        <f>D15/1585</f>
        <v>601.74957728706636</v>
      </c>
      <c r="G15" s="162" t="s">
        <v>174</v>
      </c>
      <c r="H15" s="89"/>
      <c r="I15" s="175"/>
      <c r="J15" s="176" t="s">
        <v>175</v>
      </c>
      <c r="K15" s="324"/>
      <c r="L15" s="325"/>
      <c r="M15" s="249"/>
      <c r="N15" s="161"/>
    </row>
    <row r="18" spans="3:11" x14ac:dyDescent="0.25">
      <c r="C18" s="177" t="s">
        <v>146</v>
      </c>
    </row>
    <row r="19" spans="3:11" x14ac:dyDescent="0.25">
      <c r="C19" s="141"/>
    </row>
    <row r="20" spans="3:11" x14ac:dyDescent="0.25">
      <c r="C20" s="141" t="s">
        <v>147</v>
      </c>
    </row>
    <row r="21" spans="3:11" x14ac:dyDescent="0.25">
      <c r="C21" s="141" t="s">
        <v>148</v>
      </c>
    </row>
    <row r="22" spans="3:11" x14ac:dyDescent="0.25">
      <c r="C22" s="141" t="s">
        <v>149</v>
      </c>
    </row>
    <row r="23" spans="3:11" x14ac:dyDescent="0.25">
      <c r="C23" s="141" t="s">
        <v>13</v>
      </c>
      <c r="E23" s="141" t="s">
        <v>150</v>
      </c>
    </row>
    <row r="24" spans="3:11" x14ac:dyDescent="0.25">
      <c r="C24" s="141" t="s">
        <v>151</v>
      </c>
    </row>
    <row r="25" spans="3:11" ht="15.75" x14ac:dyDescent="0.25">
      <c r="K25" s="140" t="s">
        <v>152</v>
      </c>
    </row>
    <row r="26" spans="3:11" ht="15.75" x14ac:dyDescent="0.25">
      <c r="C26" s="140" t="s">
        <v>153</v>
      </c>
    </row>
    <row r="27" spans="3:11" ht="15.75" x14ac:dyDescent="0.25">
      <c r="C27" s="140" t="s">
        <v>154</v>
      </c>
    </row>
    <row r="28" spans="3:11" ht="15.75" x14ac:dyDescent="0.25">
      <c r="C28" s="140" t="s">
        <v>155</v>
      </c>
    </row>
    <row r="29" spans="3:11" ht="15.75" x14ac:dyDescent="0.25">
      <c r="C29" s="140" t="s">
        <v>156</v>
      </c>
    </row>
    <row r="30" spans="3:11" x14ac:dyDescent="0.25">
      <c r="C30" s="141" t="s">
        <v>157</v>
      </c>
    </row>
    <row r="31" spans="3:11" x14ac:dyDescent="0.25">
      <c r="C31" s="141" t="s">
        <v>158</v>
      </c>
    </row>
    <row r="32" spans="3:11" x14ac:dyDescent="0.25">
      <c r="C32" s="141"/>
    </row>
  </sheetData>
  <mergeCells count="6">
    <mergeCell ref="K15:L15"/>
    <mergeCell ref="D9:E9"/>
    <mergeCell ref="D10:E10"/>
    <mergeCell ref="D11:E11"/>
    <mergeCell ref="D12:E12"/>
    <mergeCell ref="K14:L14"/>
  </mergeCells>
  <pageMargins left="0.70866141732283472" right="0.70866141732283472" top="0.35433070866141736" bottom="0.74803149606299213" header="0.31496062992125984" footer="0.31496062992125984"/>
  <pageSetup paperSize="9" scale="68" orientation="landscape" horizontalDpi="180" verticalDpi="18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9"/>
  <sheetViews>
    <sheetView topLeftCell="A17" workbookViewId="0">
      <selection activeCell="G41" sqref="G41"/>
    </sheetView>
  </sheetViews>
  <sheetFormatPr defaultRowHeight="15" x14ac:dyDescent="0.25"/>
  <cols>
    <col min="3" max="3" width="11.7109375" customWidth="1"/>
    <col min="4" max="4" width="13.42578125" customWidth="1"/>
    <col min="6" max="6" width="21.140625" customWidth="1"/>
    <col min="7" max="7" width="19.28515625" customWidth="1"/>
    <col min="13" max="13" width="11.7109375" customWidth="1"/>
    <col min="14" max="14" width="13.42578125" customWidth="1"/>
    <col min="16" max="16" width="21.140625" customWidth="1"/>
    <col min="17" max="17" width="19.28515625" customWidth="1"/>
    <col min="21" max="21" width="17" customWidth="1"/>
    <col min="23" max="23" width="20.42578125" customWidth="1"/>
    <col min="24" max="24" width="17" customWidth="1"/>
    <col min="25" max="25" width="16.85546875" customWidth="1"/>
    <col min="29" max="29" width="15.5703125" customWidth="1"/>
    <col min="31" max="32" width="16.140625" customWidth="1"/>
    <col min="33" max="33" width="17" customWidth="1"/>
  </cols>
  <sheetData>
    <row r="2" spans="2:33" ht="28.5" customHeight="1" x14ac:dyDescent="0.25">
      <c r="C2" s="186" t="s">
        <v>126</v>
      </c>
      <c r="D2" s="326" t="s">
        <v>127</v>
      </c>
      <c r="E2" s="326"/>
      <c r="F2" s="186" t="s">
        <v>132</v>
      </c>
      <c r="G2" s="186" t="s">
        <v>133</v>
      </c>
      <c r="M2" s="186" t="s">
        <v>126</v>
      </c>
      <c r="N2" s="326" t="s">
        <v>127</v>
      </c>
      <c r="O2" s="326"/>
      <c r="P2" s="186" t="s">
        <v>132</v>
      </c>
      <c r="Q2" s="186" t="s">
        <v>133</v>
      </c>
      <c r="U2" s="186" t="s">
        <v>126</v>
      </c>
      <c r="V2" s="326" t="s">
        <v>127</v>
      </c>
      <c r="W2" s="326"/>
      <c r="X2" s="186" t="s">
        <v>132</v>
      </c>
      <c r="Y2" s="186" t="s">
        <v>133</v>
      </c>
      <c r="AC2" s="186" t="s">
        <v>126</v>
      </c>
      <c r="AD2" s="326" t="s">
        <v>127</v>
      </c>
      <c r="AE2" s="326"/>
      <c r="AF2" s="186" t="s">
        <v>132</v>
      </c>
      <c r="AG2" s="186" t="s">
        <v>133</v>
      </c>
    </row>
    <row r="3" spans="2:33" ht="15" customHeight="1" x14ac:dyDescent="0.25">
      <c r="B3" s="330">
        <v>43556</v>
      </c>
      <c r="C3" s="187" t="s">
        <v>135</v>
      </c>
      <c r="D3" s="333" t="s">
        <v>136</v>
      </c>
      <c r="E3" s="334"/>
      <c r="F3" s="166">
        <v>1.5165</v>
      </c>
      <c r="G3" s="166">
        <v>0.85650000000000004</v>
      </c>
      <c r="L3" s="330">
        <v>43191</v>
      </c>
      <c r="M3" s="187" t="s">
        <v>135</v>
      </c>
      <c r="N3" s="333" t="s">
        <v>136</v>
      </c>
      <c r="O3" s="334"/>
      <c r="P3" s="166">
        <v>1.4607000000000001</v>
      </c>
      <c r="Q3" s="166">
        <v>0.84640000000000004</v>
      </c>
      <c r="T3" s="339">
        <v>42826</v>
      </c>
      <c r="U3" s="187" t="s">
        <v>135</v>
      </c>
      <c r="V3" s="333" t="s">
        <v>136</v>
      </c>
      <c r="W3" s="334"/>
      <c r="X3" s="166">
        <v>1.3493999999999999</v>
      </c>
      <c r="Y3" s="166">
        <v>0.84189999999999998</v>
      </c>
      <c r="AB3" s="330">
        <v>42461</v>
      </c>
      <c r="AC3" s="187" t="s">
        <v>135</v>
      </c>
      <c r="AD3" s="333" t="s">
        <v>136</v>
      </c>
      <c r="AE3" s="334"/>
      <c r="AF3" s="166">
        <v>1.46</v>
      </c>
      <c r="AG3" s="166">
        <v>0.83140000000000003</v>
      </c>
    </row>
    <row r="4" spans="2:33" x14ac:dyDescent="0.25">
      <c r="B4" s="331"/>
      <c r="C4" s="187" t="s">
        <v>137</v>
      </c>
      <c r="D4" s="335"/>
      <c r="E4" s="336"/>
      <c r="F4" s="166">
        <v>1.5523</v>
      </c>
      <c r="G4" s="166">
        <v>0.86329999999999996</v>
      </c>
      <c r="L4" s="331"/>
      <c r="M4" s="187" t="s">
        <v>137</v>
      </c>
      <c r="N4" s="335"/>
      <c r="O4" s="336"/>
      <c r="P4" s="166">
        <v>1.4361999999999999</v>
      </c>
      <c r="Q4" s="166">
        <v>0.84399999999999997</v>
      </c>
      <c r="T4" s="340"/>
      <c r="U4" s="187" t="s">
        <v>137</v>
      </c>
      <c r="V4" s="342"/>
      <c r="W4" s="343"/>
      <c r="X4" s="166">
        <v>1.2831999999999999</v>
      </c>
      <c r="Y4" s="166">
        <v>0.85119999999999996</v>
      </c>
      <c r="AB4" s="331"/>
      <c r="AC4" s="187" t="s">
        <v>137</v>
      </c>
      <c r="AD4" s="335"/>
      <c r="AE4" s="336"/>
      <c r="AF4" s="166">
        <v>0.25829999999999997</v>
      </c>
      <c r="AG4" s="166">
        <v>0.71440000000000003</v>
      </c>
    </row>
    <row r="5" spans="2:33" x14ac:dyDescent="0.25">
      <c r="B5" s="332"/>
      <c r="C5" s="187" t="s">
        <v>138</v>
      </c>
      <c r="D5" s="337"/>
      <c r="E5" s="338"/>
      <c r="F5" s="166">
        <v>1.2855000000000001</v>
      </c>
      <c r="G5" s="166">
        <v>0.8679</v>
      </c>
      <c r="L5" s="332"/>
      <c r="M5" s="187" t="s">
        <v>138</v>
      </c>
      <c r="N5" s="337"/>
      <c r="O5" s="338"/>
      <c r="P5" s="166">
        <v>1.0275000000000001</v>
      </c>
      <c r="Q5" s="166">
        <v>0.78779999999999994</v>
      </c>
      <c r="T5" s="341"/>
      <c r="U5" s="187" t="s">
        <v>138</v>
      </c>
      <c r="V5" s="344"/>
      <c r="W5" s="345"/>
      <c r="X5" s="166">
        <v>1.3471</v>
      </c>
      <c r="Y5" s="166">
        <v>0.74139999999999995</v>
      </c>
      <c r="AB5" s="332"/>
      <c r="AC5" s="187" t="s">
        <v>138</v>
      </c>
      <c r="AD5" s="337"/>
      <c r="AE5" s="338"/>
      <c r="AF5" s="166">
        <v>1.1231</v>
      </c>
      <c r="AG5" s="166">
        <v>0.86860000000000004</v>
      </c>
    </row>
    <row r="6" spans="2:33" ht="15" customHeight="1" x14ac:dyDescent="0.25">
      <c r="B6" s="330">
        <v>43586</v>
      </c>
      <c r="C6" s="187" t="s">
        <v>135</v>
      </c>
      <c r="D6" s="333" t="s">
        <v>178</v>
      </c>
      <c r="E6" s="334"/>
      <c r="F6" s="166">
        <v>1.0778000000000001</v>
      </c>
      <c r="G6" s="166">
        <v>0.85640000000000005</v>
      </c>
      <c r="L6" s="330">
        <v>43221</v>
      </c>
      <c r="M6" s="187" t="s">
        <v>135</v>
      </c>
      <c r="N6" s="333" t="s">
        <v>178</v>
      </c>
      <c r="O6" s="334"/>
      <c r="P6" s="166">
        <v>1.5061</v>
      </c>
      <c r="Q6" s="166">
        <v>0.84570000000000001</v>
      </c>
      <c r="T6" s="339">
        <v>42856</v>
      </c>
      <c r="U6" s="187" t="s">
        <v>135</v>
      </c>
      <c r="V6" s="333" t="s">
        <v>178</v>
      </c>
      <c r="W6" s="334"/>
      <c r="X6" s="166">
        <v>1.3429</v>
      </c>
      <c r="Y6" s="166">
        <v>0.86980000000000002</v>
      </c>
      <c r="AB6" s="330">
        <v>42491</v>
      </c>
      <c r="AC6" s="187" t="s">
        <v>135</v>
      </c>
      <c r="AD6" s="333" t="s">
        <v>178</v>
      </c>
      <c r="AE6" s="334"/>
      <c r="AF6" s="166">
        <v>1.4374</v>
      </c>
      <c r="AG6" s="166">
        <v>0.8327</v>
      </c>
    </row>
    <row r="7" spans="2:33" x14ac:dyDescent="0.25">
      <c r="B7" s="331"/>
      <c r="C7" s="187" t="s">
        <v>137</v>
      </c>
      <c r="D7" s="335"/>
      <c r="E7" s="336"/>
      <c r="F7" s="166">
        <v>1.4538</v>
      </c>
      <c r="G7" s="166">
        <v>0.83009999999999995</v>
      </c>
      <c r="L7" s="331"/>
      <c r="M7" s="187" t="s">
        <v>137</v>
      </c>
      <c r="N7" s="335"/>
      <c r="O7" s="336"/>
      <c r="P7" s="166">
        <v>1.4451000000000001</v>
      </c>
      <c r="Q7" s="166">
        <v>0.85609999999999997</v>
      </c>
      <c r="T7" s="340"/>
      <c r="U7" s="187" t="s">
        <v>137</v>
      </c>
      <c r="V7" s="342"/>
      <c r="W7" s="343"/>
      <c r="X7" s="166">
        <v>1.3875</v>
      </c>
      <c r="Y7" s="166">
        <v>0.87150000000000005</v>
      </c>
      <c r="AB7" s="331"/>
      <c r="AC7" s="187" t="s">
        <v>137</v>
      </c>
      <c r="AD7" s="335"/>
      <c r="AE7" s="336"/>
      <c r="AF7" s="166">
        <v>1.3593</v>
      </c>
      <c r="AG7" s="166">
        <v>0.68079999999999996</v>
      </c>
    </row>
    <row r="8" spans="2:33" x14ac:dyDescent="0.25">
      <c r="B8" s="332"/>
      <c r="C8" s="187" t="s">
        <v>138</v>
      </c>
      <c r="D8" s="337"/>
      <c r="E8" s="338"/>
      <c r="F8" s="166">
        <v>1.5216000000000001</v>
      </c>
      <c r="G8" s="166">
        <v>0.78890000000000005</v>
      </c>
      <c r="L8" s="332"/>
      <c r="M8" s="187" t="s">
        <v>138</v>
      </c>
      <c r="N8" s="337"/>
      <c r="O8" s="338"/>
      <c r="P8" s="166">
        <v>1.4590000000000001</v>
      </c>
      <c r="Q8" s="166">
        <v>0.78890000000000005</v>
      </c>
      <c r="T8" s="341"/>
      <c r="U8" s="187" t="s">
        <v>138</v>
      </c>
      <c r="V8" s="344"/>
      <c r="W8" s="345"/>
      <c r="X8" s="166">
        <v>1.4437</v>
      </c>
      <c r="Y8" s="166">
        <v>0.74670000000000003</v>
      </c>
      <c r="AB8" s="332"/>
      <c r="AC8" s="187" t="s">
        <v>138</v>
      </c>
      <c r="AD8" s="337"/>
      <c r="AE8" s="338"/>
      <c r="AF8" s="166">
        <v>1.3571</v>
      </c>
      <c r="AG8" s="166">
        <v>0.62419999999999998</v>
      </c>
    </row>
    <row r="9" spans="2:33" ht="15" customHeight="1" x14ac:dyDescent="0.25">
      <c r="B9" s="330">
        <v>43617</v>
      </c>
      <c r="C9" s="187" t="s">
        <v>135</v>
      </c>
      <c r="D9" s="333" t="s">
        <v>136</v>
      </c>
      <c r="E9" s="334"/>
      <c r="F9" s="166">
        <v>1.4319999999999999</v>
      </c>
      <c r="G9" s="166">
        <v>0.86460000000000004</v>
      </c>
      <c r="L9" s="330">
        <v>43252</v>
      </c>
      <c r="M9" s="187" t="s">
        <v>135</v>
      </c>
      <c r="N9" s="333" t="s">
        <v>136</v>
      </c>
      <c r="O9" s="334"/>
      <c r="P9" s="166">
        <v>1.3777999999999999</v>
      </c>
      <c r="Q9" s="166">
        <v>0.7732</v>
      </c>
      <c r="T9" s="339">
        <v>42887</v>
      </c>
      <c r="U9" s="187" t="s">
        <v>135</v>
      </c>
      <c r="V9" s="333" t="s">
        <v>136</v>
      </c>
      <c r="W9" s="334"/>
      <c r="X9" s="166">
        <v>1.3935</v>
      </c>
      <c r="Y9" s="166">
        <v>0.84240000000000004</v>
      </c>
      <c r="AB9" s="330">
        <v>42522</v>
      </c>
      <c r="AC9" s="187" t="s">
        <v>135</v>
      </c>
      <c r="AD9" s="333" t="s">
        <v>136</v>
      </c>
      <c r="AE9" s="334"/>
      <c r="AF9" s="166">
        <v>1.4692000000000001</v>
      </c>
      <c r="AG9" s="166">
        <v>0.75249999999999995</v>
      </c>
    </row>
    <row r="10" spans="2:33" x14ac:dyDescent="0.25">
      <c r="B10" s="331"/>
      <c r="C10" s="187" t="s">
        <v>137</v>
      </c>
      <c r="D10" s="335"/>
      <c r="E10" s="336"/>
      <c r="F10" s="166">
        <v>1.4232</v>
      </c>
      <c r="G10" s="166">
        <v>0.8468</v>
      </c>
      <c r="L10" s="331"/>
      <c r="M10" s="187" t="s">
        <v>137</v>
      </c>
      <c r="N10" s="335"/>
      <c r="O10" s="336"/>
      <c r="P10" s="166">
        <v>1.5253000000000001</v>
      </c>
      <c r="Q10" s="166">
        <v>0.79620000000000002</v>
      </c>
      <c r="T10" s="340"/>
      <c r="U10" s="187" t="s">
        <v>137</v>
      </c>
      <c r="V10" s="342"/>
      <c r="W10" s="343"/>
      <c r="X10" s="166">
        <v>1.3844000000000001</v>
      </c>
      <c r="Y10" s="166">
        <v>0.83840000000000003</v>
      </c>
      <c r="AB10" s="331"/>
      <c r="AC10" s="187" t="s">
        <v>137</v>
      </c>
      <c r="AD10" s="335"/>
      <c r="AE10" s="336"/>
      <c r="AF10" s="166">
        <v>1.2202</v>
      </c>
      <c r="AG10" s="166">
        <v>0.8327</v>
      </c>
    </row>
    <row r="11" spans="2:33" x14ac:dyDescent="0.25">
      <c r="B11" s="332"/>
      <c r="C11" s="187" t="s">
        <v>138</v>
      </c>
      <c r="D11" s="337"/>
      <c r="E11" s="338"/>
      <c r="F11" s="166">
        <v>1.5</v>
      </c>
      <c r="G11" s="166">
        <v>0.82250000000000001</v>
      </c>
      <c r="L11" s="332"/>
      <c r="M11" s="187" t="s">
        <v>138</v>
      </c>
      <c r="N11" s="337"/>
      <c r="O11" s="338"/>
      <c r="P11" s="166">
        <v>1.5177</v>
      </c>
      <c r="Q11" s="166">
        <v>0.71150000000000002</v>
      </c>
      <c r="T11" s="341"/>
      <c r="U11" s="187" t="s">
        <v>138</v>
      </c>
      <c r="V11" s="344"/>
      <c r="W11" s="345"/>
      <c r="X11" s="166">
        <v>1.4055</v>
      </c>
      <c r="Y11" s="166">
        <v>0.78269999999999995</v>
      </c>
      <c r="AB11" s="332"/>
      <c r="AC11" s="187" t="s">
        <v>138</v>
      </c>
      <c r="AD11" s="337"/>
      <c r="AE11" s="338"/>
      <c r="AF11" s="166">
        <v>1.4232</v>
      </c>
      <c r="AG11" s="166">
        <v>0.69020000000000004</v>
      </c>
    </row>
    <row r="12" spans="2:33" ht="15" customHeight="1" x14ac:dyDescent="0.25">
      <c r="B12" s="330">
        <v>43647</v>
      </c>
      <c r="C12" s="187" t="s">
        <v>135</v>
      </c>
      <c r="D12" s="333" t="s">
        <v>178</v>
      </c>
      <c r="E12" s="334"/>
      <c r="F12" s="166">
        <v>1.4607000000000001</v>
      </c>
      <c r="G12" s="166">
        <v>0.82520000000000004</v>
      </c>
      <c r="L12" s="330">
        <v>43282</v>
      </c>
      <c r="M12" s="187" t="s">
        <v>135</v>
      </c>
      <c r="N12" s="333" t="s">
        <v>178</v>
      </c>
      <c r="O12" s="334"/>
      <c r="P12" s="166">
        <v>1.4519</v>
      </c>
      <c r="Q12" s="166">
        <v>0.83099999999999996</v>
      </c>
      <c r="T12" s="339">
        <v>42917</v>
      </c>
      <c r="U12" s="187" t="s">
        <v>135</v>
      </c>
      <c r="V12" s="333" t="s">
        <v>178</v>
      </c>
      <c r="W12" s="334"/>
      <c r="X12" s="166">
        <v>1.2908999999999999</v>
      </c>
      <c r="Y12" s="166">
        <v>0.8649</v>
      </c>
      <c r="AB12" s="330">
        <v>42552</v>
      </c>
      <c r="AC12" s="187" t="s">
        <v>135</v>
      </c>
      <c r="AD12" s="333" t="s">
        <v>178</v>
      </c>
      <c r="AE12" s="334"/>
      <c r="AF12" s="166">
        <v>1.32</v>
      </c>
      <c r="AG12" s="166">
        <v>0.86</v>
      </c>
    </row>
    <row r="13" spans="2:33" x14ac:dyDescent="0.25">
      <c r="B13" s="331"/>
      <c r="C13" s="187" t="s">
        <v>137</v>
      </c>
      <c r="D13" s="335"/>
      <c r="E13" s="336"/>
      <c r="F13" s="166">
        <v>1.5207999999999999</v>
      </c>
      <c r="G13" s="166">
        <v>0.85540000000000005</v>
      </c>
      <c r="L13" s="331"/>
      <c r="M13" s="187" t="s">
        <v>137</v>
      </c>
      <c r="N13" s="335"/>
      <c r="O13" s="336"/>
      <c r="P13" s="166">
        <v>1.4865999999999999</v>
      </c>
      <c r="Q13" s="166">
        <v>0.83919999999999995</v>
      </c>
      <c r="T13" s="340"/>
      <c r="U13" s="187" t="s">
        <v>137</v>
      </c>
      <c r="V13" s="342"/>
      <c r="W13" s="343"/>
      <c r="X13" s="166">
        <v>1.2477</v>
      </c>
      <c r="Y13" s="166">
        <v>0.83289999999999997</v>
      </c>
      <c r="AB13" s="331"/>
      <c r="AC13" s="187" t="s">
        <v>137</v>
      </c>
      <c r="AD13" s="335"/>
      <c r="AE13" s="336"/>
      <c r="AF13" s="166">
        <v>1.22</v>
      </c>
      <c r="AG13" s="166">
        <v>0.83</v>
      </c>
    </row>
    <row r="14" spans="2:33" x14ac:dyDescent="0.25">
      <c r="B14" s="332"/>
      <c r="C14" s="187" t="s">
        <v>138</v>
      </c>
      <c r="D14" s="337"/>
      <c r="E14" s="338"/>
      <c r="F14" s="166">
        <v>1.4629000000000001</v>
      </c>
      <c r="G14" s="166">
        <v>0.82520000000000004</v>
      </c>
      <c r="L14" s="332"/>
      <c r="M14" s="187" t="s">
        <v>138</v>
      </c>
      <c r="N14" s="337"/>
      <c r="O14" s="338"/>
      <c r="P14" s="166">
        <v>1.4261999999999999</v>
      </c>
      <c r="Q14" s="166">
        <v>0.78320000000000001</v>
      </c>
      <c r="T14" s="341"/>
      <c r="U14" s="187" t="s">
        <v>138</v>
      </c>
      <c r="V14" s="344"/>
      <c r="W14" s="345"/>
      <c r="X14" s="166">
        <v>1.1772</v>
      </c>
      <c r="Y14" s="166">
        <v>0.77180000000000004</v>
      </c>
      <c r="AB14" s="332"/>
      <c r="AC14" s="187" t="s">
        <v>138</v>
      </c>
      <c r="AD14" s="337"/>
      <c r="AE14" s="338"/>
      <c r="AF14" s="166">
        <v>0.75</v>
      </c>
      <c r="AG14" s="166">
        <v>0.72</v>
      </c>
    </row>
    <row r="15" spans="2:33" ht="15" customHeight="1" x14ac:dyDescent="0.25">
      <c r="B15" s="330">
        <v>43678</v>
      </c>
      <c r="C15" s="187" t="s">
        <v>135</v>
      </c>
      <c r="D15" s="333" t="s">
        <v>178</v>
      </c>
      <c r="E15" s="334"/>
      <c r="F15" s="166">
        <v>1.3926000000000001</v>
      </c>
      <c r="G15" s="166">
        <v>0.87</v>
      </c>
      <c r="L15" s="330">
        <v>43313</v>
      </c>
      <c r="M15" s="187" t="s">
        <v>135</v>
      </c>
      <c r="N15" s="333" t="s">
        <v>178</v>
      </c>
      <c r="O15" s="334"/>
      <c r="P15" s="166">
        <v>1.3968</v>
      </c>
      <c r="Q15" s="166">
        <v>0.81659999999999999</v>
      </c>
      <c r="T15" s="339">
        <v>42948</v>
      </c>
      <c r="U15" s="187" t="s">
        <v>135</v>
      </c>
      <c r="V15" s="333" t="s">
        <v>178</v>
      </c>
      <c r="W15" s="334"/>
      <c r="X15" s="166">
        <v>1.2907</v>
      </c>
      <c r="Y15" s="166">
        <v>0.82979999999999998</v>
      </c>
      <c r="AB15" s="330">
        <v>42583</v>
      </c>
      <c r="AC15" s="187" t="s">
        <v>135</v>
      </c>
      <c r="AD15" s="333" t="s">
        <v>178</v>
      </c>
      <c r="AE15" s="334"/>
      <c r="AF15" s="166">
        <v>1.1656</v>
      </c>
      <c r="AG15" s="166">
        <v>0.82020000000000004</v>
      </c>
    </row>
    <row r="16" spans="2:33" x14ac:dyDescent="0.25">
      <c r="B16" s="331"/>
      <c r="C16" s="187" t="s">
        <v>137</v>
      </c>
      <c r="D16" s="335"/>
      <c r="E16" s="336"/>
      <c r="F16" s="166">
        <v>1.3763000000000001</v>
      </c>
      <c r="G16" s="166">
        <v>0.88</v>
      </c>
      <c r="L16" s="331"/>
      <c r="M16" s="187" t="s">
        <v>137</v>
      </c>
      <c r="N16" s="335"/>
      <c r="O16" s="336"/>
      <c r="P16" s="166">
        <v>1.2847999999999999</v>
      </c>
      <c r="Q16" s="166">
        <v>0.84930000000000005</v>
      </c>
      <c r="T16" s="340"/>
      <c r="U16" s="187" t="s">
        <v>137</v>
      </c>
      <c r="V16" s="342"/>
      <c r="W16" s="343"/>
      <c r="X16" s="166">
        <v>1.3037000000000001</v>
      </c>
      <c r="Y16" s="166">
        <v>0.80379999999999996</v>
      </c>
      <c r="AB16" s="331"/>
      <c r="AC16" s="187" t="s">
        <v>137</v>
      </c>
      <c r="AD16" s="335"/>
      <c r="AE16" s="336"/>
      <c r="AF16" s="166">
        <v>1.1213</v>
      </c>
      <c r="AG16" s="166">
        <v>0.81969999999999998</v>
      </c>
    </row>
    <row r="17" spans="2:33" x14ac:dyDescent="0.25">
      <c r="B17" s="332"/>
      <c r="C17" s="187" t="s">
        <v>138</v>
      </c>
      <c r="D17" s="337"/>
      <c r="E17" s="338"/>
      <c r="F17" s="166">
        <v>1.5024999999999999</v>
      </c>
      <c r="G17" s="166">
        <v>0.84</v>
      </c>
      <c r="L17" s="332"/>
      <c r="M17" s="187" t="s">
        <v>138</v>
      </c>
      <c r="N17" s="337"/>
      <c r="O17" s="338"/>
      <c r="P17" s="166">
        <v>1.4603999999999999</v>
      </c>
      <c r="Q17" s="166">
        <v>0.78339999999999999</v>
      </c>
      <c r="T17" s="341"/>
      <c r="U17" s="187" t="s">
        <v>138</v>
      </c>
      <c r="V17" s="344"/>
      <c r="W17" s="345"/>
      <c r="X17" s="166">
        <v>1.3857999999999999</v>
      </c>
      <c r="Y17" s="166">
        <v>0.77429999999999999</v>
      </c>
      <c r="AB17" s="332"/>
      <c r="AC17" s="187" t="s">
        <v>138</v>
      </c>
      <c r="AD17" s="337"/>
      <c r="AE17" s="338"/>
      <c r="AF17" s="166">
        <v>0.44979999999999998</v>
      </c>
      <c r="AG17" s="166">
        <v>0.68869999999999998</v>
      </c>
    </row>
    <row r="18" spans="2:33" ht="15" customHeight="1" x14ac:dyDescent="0.25">
      <c r="B18" s="330">
        <v>43709</v>
      </c>
      <c r="C18" s="187" t="s">
        <v>135</v>
      </c>
      <c r="D18" s="333" t="s">
        <v>136</v>
      </c>
      <c r="E18" s="334"/>
      <c r="F18" s="166">
        <v>1.4087000000000001</v>
      </c>
      <c r="G18" s="166">
        <v>0.82</v>
      </c>
      <c r="L18" s="330">
        <v>43344</v>
      </c>
      <c r="M18" s="187" t="s">
        <v>135</v>
      </c>
      <c r="N18" s="333" t="s">
        <v>136</v>
      </c>
      <c r="O18" s="334"/>
      <c r="P18" s="166">
        <v>1.5044</v>
      </c>
      <c r="Q18" s="166">
        <v>0.84040000000000004</v>
      </c>
      <c r="T18" s="339">
        <v>42979</v>
      </c>
      <c r="U18" s="187" t="s">
        <v>135</v>
      </c>
      <c r="V18" s="333" t="s">
        <v>136</v>
      </c>
      <c r="W18" s="334"/>
      <c r="X18" s="166">
        <v>1.3268</v>
      </c>
      <c r="Y18" s="166">
        <v>0.81279999999999997</v>
      </c>
      <c r="AB18" s="330">
        <v>42614</v>
      </c>
      <c r="AC18" s="187" t="s">
        <v>135</v>
      </c>
      <c r="AD18" s="333" t="s">
        <v>136</v>
      </c>
      <c r="AE18" s="334"/>
      <c r="AF18" s="166">
        <v>1.1917</v>
      </c>
      <c r="AG18" s="166">
        <v>0.70689999999999997</v>
      </c>
    </row>
    <row r="19" spans="2:33" x14ac:dyDescent="0.25">
      <c r="B19" s="331"/>
      <c r="C19" s="187" t="s">
        <v>137</v>
      </c>
      <c r="D19" s="335"/>
      <c r="E19" s="336"/>
      <c r="F19" s="166">
        <v>1.4201999999999999</v>
      </c>
      <c r="G19" s="166">
        <v>0.8</v>
      </c>
      <c r="L19" s="331"/>
      <c r="M19" s="187" t="s">
        <v>137</v>
      </c>
      <c r="N19" s="335"/>
      <c r="O19" s="336"/>
      <c r="P19" s="166">
        <v>1.4492</v>
      </c>
      <c r="Q19" s="166">
        <v>0.85880000000000001</v>
      </c>
      <c r="T19" s="340"/>
      <c r="U19" s="187" t="s">
        <v>137</v>
      </c>
      <c r="V19" s="342"/>
      <c r="W19" s="343"/>
      <c r="X19" s="166">
        <v>1.4077999999999999</v>
      </c>
      <c r="Y19" s="166">
        <v>0.85399999999999998</v>
      </c>
      <c r="AB19" s="331"/>
      <c r="AC19" s="187" t="s">
        <v>137</v>
      </c>
      <c r="AD19" s="335"/>
      <c r="AE19" s="336"/>
      <c r="AF19" s="166">
        <v>1.4966999999999999</v>
      </c>
      <c r="AG19" s="166">
        <v>0.61780000000000002</v>
      </c>
    </row>
    <row r="20" spans="2:33" x14ac:dyDescent="0.25">
      <c r="B20" s="332"/>
      <c r="C20" s="187" t="s">
        <v>138</v>
      </c>
      <c r="D20" s="337"/>
      <c r="E20" s="338"/>
      <c r="F20" s="166">
        <v>1.3383</v>
      </c>
      <c r="G20" s="166">
        <v>0.8</v>
      </c>
      <c r="L20" s="332"/>
      <c r="M20" s="187" t="s">
        <v>138</v>
      </c>
      <c r="N20" s="337"/>
      <c r="O20" s="338"/>
      <c r="P20" s="166">
        <v>1.3761000000000001</v>
      </c>
      <c r="Q20" s="166">
        <v>0.80610000000000004</v>
      </c>
      <c r="T20" s="341"/>
      <c r="U20" s="187" t="s">
        <v>138</v>
      </c>
      <c r="V20" s="344"/>
      <c r="W20" s="345"/>
      <c r="X20" s="166">
        <v>1.4473</v>
      </c>
      <c r="Y20" s="166">
        <v>0.77139999999999997</v>
      </c>
      <c r="AB20" s="332"/>
      <c r="AC20" s="187" t="s">
        <v>138</v>
      </c>
      <c r="AD20" s="337"/>
      <c r="AE20" s="338"/>
      <c r="AF20" s="166">
        <v>1.3627</v>
      </c>
      <c r="AG20" s="166">
        <v>0.5716</v>
      </c>
    </row>
    <row r="21" spans="2:33" ht="15" customHeight="1" x14ac:dyDescent="0.25">
      <c r="B21" s="330">
        <v>43739</v>
      </c>
      <c r="C21" s="187" t="s">
        <v>135</v>
      </c>
      <c r="D21" s="333" t="s">
        <v>178</v>
      </c>
      <c r="E21" s="334"/>
      <c r="F21" s="166">
        <v>1.4197</v>
      </c>
      <c r="G21" s="166">
        <v>0.83640000000000003</v>
      </c>
      <c r="L21" s="330">
        <v>43374</v>
      </c>
      <c r="M21" s="187" t="s">
        <v>135</v>
      </c>
      <c r="N21" s="333" t="s">
        <v>178</v>
      </c>
      <c r="O21" s="334"/>
      <c r="P21" s="166">
        <v>1.4116</v>
      </c>
      <c r="Q21" s="166">
        <v>0.86250000000000004</v>
      </c>
      <c r="T21" s="339">
        <v>43009</v>
      </c>
      <c r="U21" s="187" t="s">
        <v>135</v>
      </c>
      <c r="V21" s="333" t="s">
        <v>178</v>
      </c>
      <c r="W21" s="334"/>
      <c r="X21" s="166">
        <v>1.4328000000000001</v>
      </c>
      <c r="Y21" s="166">
        <v>0.84740000000000004</v>
      </c>
      <c r="AB21" s="330">
        <v>42644</v>
      </c>
      <c r="AC21" s="187" t="s">
        <v>135</v>
      </c>
      <c r="AD21" s="333" t="s">
        <v>178</v>
      </c>
      <c r="AE21" s="334"/>
      <c r="AF21" s="166">
        <v>1.1937</v>
      </c>
      <c r="AG21" s="166">
        <v>0.76119999999999999</v>
      </c>
    </row>
    <row r="22" spans="2:33" x14ac:dyDescent="0.25">
      <c r="B22" s="331"/>
      <c r="C22" s="187" t="s">
        <v>137</v>
      </c>
      <c r="D22" s="335"/>
      <c r="E22" s="336"/>
      <c r="F22" s="166">
        <v>1.5263</v>
      </c>
      <c r="G22" s="166">
        <v>0.86419999999999997</v>
      </c>
      <c r="L22" s="331"/>
      <c r="M22" s="187" t="s">
        <v>137</v>
      </c>
      <c r="N22" s="335"/>
      <c r="O22" s="336"/>
      <c r="P22" s="166">
        <v>1.4455</v>
      </c>
      <c r="Q22" s="166">
        <v>0.85270000000000001</v>
      </c>
      <c r="T22" s="340"/>
      <c r="U22" s="187" t="s">
        <v>137</v>
      </c>
      <c r="V22" s="342"/>
      <c r="W22" s="343"/>
      <c r="X22" s="166">
        <v>1.4913000000000001</v>
      </c>
      <c r="Y22" s="166">
        <v>0.83389999999999997</v>
      </c>
      <c r="AB22" s="331"/>
      <c r="AC22" s="187" t="s">
        <v>137</v>
      </c>
      <c r="AD22" s="335"/>
      <c r="AE22" s="336"/>
      <c r="AF22" s="166">
        <v>1.1859</v>
      </c>
      <c r="AG22" s="166">
        <v>0.72199999999999998</v>
      </c>
    </row>
    <row r="23" spans="2:33" x14ac:dyDescent="0.25">
      <c r="B23" s="332"/>
      <c r="C23" s="187" t="s">
        <v>138</v>
      </c>
      <c r="D23" s="337"/>
      <c r="E23" s="338"/>
      <c r="F23" s="166">
        <v>1.4876</v>
      </c>
      <c r="G23" s="166">
        <v>0.81889999999999996</v>
      </c>
      <c r="L23" s="332"/>
      <c r="M23" s="187" t="s">
        <v>138</v>
      </c>
      <c r="N23" s="337"/>
      <c r="O23" s="338"/>
      <c r="P23" s="166">
        <v>1.4331</v>
      </c>
      <c r="Q23" s="166">
        <v>0.81359999999999999</v>
      </c>
      <c r="T23" s="341"/>
      <c r="U23" s="187" t="s">
        <v>138</v>
      </c>
      <c r="V23" s="344"/>
      <c r="W23" s="345"/>
      <c r="X23" s="166">
        <v>1.4826999999999999</v>
      </c>
      <c r="Y23" s="166">
        <v>0.77810000000000001</v>
      </c>
      <c r="AB23" s="332"/>
      <c r="AC23" s="187" t="s">
        <v>138</v>
      </c>
      <c r="AD23" s="337"/>
      <c r="AE23" s="338"/>
      <c r="AF23" s="166">
        <v>1.4095</v>
      </c>
      <c r="AG23" s="166">
        <v>0.67479999999999996</v>
      </c>
    </row>
    <row r="24" spans="2:33" ht="15" customHeight="1" x14ac:dyDescent="0.25">
      <c r="B24" s="330">
        <v>43770</v>
      </c>
      <c r="C24" s="187" t="s">
        <v>135</v>
      </c>
      <c r="D24" s="333" t="s">
        <v>136</v>
      </c>
      <c r="E24" s="334"/>
      <c r="F24" s="166">
        <v>1.5222</v>
      </c>
      <c r="G24" s="166">
        <v>0.84350000000000003</v>
      </c>
      <c r="L24" s="330">
        <v>43405</v>
      </c>
      <c r="M24" s="187" t="s">
        <v>135</v>
      </c>
      <c r="N24" s="333" t="s">
        <v>136</v>
      </c>
      <c r="O24" s="334"/>
      <c r="P24" s="166">
        <v>1.5034000000000001</v>
      </c>
      <c r="Q24" s="166">
        <v>0.84389999999999998</v>
      </c>
      <c r="T24" s="339">
        <v>43040</v>
      </c>
      <c r="U24" s="187" t="s">
        <v>135</v>
      </c>
      <c r="V24" s="333" t="s">
        <v>136</v>
      </c>
      <c r="W24" s="334"/>
      <c r="X24" s="166">
        <v>1.1695</v>
      </c>
      <c r="Y24" s="166">
        <v>0.87060000000000004</v>
      </c>
      <c r="AB24" s="330">
        <v>42675</v>
      </c>
      <c r="AC24" s="187" t="s">
        <v>135</v>
      </c>
      <c r="AD24" s="333" t="s">
        <v>136</v>
      </c>
      <c r="AE24" s="334"/>
      <c r="AF24" s="166">
        <v>1.5079</v>
      </c>
      <c r="AG24" s="166">
        <v>0.86570000000000003</v>
      </c>
    </row>
    <row r="25" spans="2:33" x14ac:dyDescent="0.25">
      <c r="B25" s="331"/>
      <c r="C25" s="187" t="s">
        <v>137</v>
      </c>
      <c r="D25" s="335"/>
      <c r="E25" s="336"/>
      <c r="F25" s="166">
        <v>0.86660000000000004</v>
      </c>
      <c r="G25" s="166">
        <v>0.6653</v>
      </c>
      <c r="L25" s="331"/>
      <c r="M25" s="187" t="s">
        <v>137</v>
      </c>
      <c r="N25" s="335"/>
      <c r="O25" s="336"/>
      <c r="P25" s="166">
        <v>1.5077</v>
      </c>
      <c r="Q25" s="166">
        <v>0.83779999999999999</v>
      </c>
      <c r="T25" s="340"/>
      <c r="U25" s="187" t="s">
        <v>137</v>
      </c>
      <c r="V25" s="342"/>
      <c r="W25" s="343"/>
      <c r="X25" s="166">
        <v>0.69679999999999997</v>
      </c>
      <c r="Y25" s="166">
        <v>0.8488</v>
      </c>
      <c r="AB25" s="331"/>
      <c r="AC25" s="187" t="s">
        <v>137</v>
      </c>
      <c r="AD25" s="335"/>
      <c r="AE25" s="336"/>
      <c r="AF25" s="166">
        <v>0.88680000000000003</v>
      </c>
      <c r="AG25" s="166">
        <v>0.82299999999999995</v>
      </c>
    </row>
    <row r="26" spans="2:33" x14ac:dyDescent="0.25">
      <c r="B26" s="332"/>
      <c r="C26" s="187" t="s">
        <v>138</v>
      </c>
      <c r="D26" s="337"/>
      <c r="E26" s="338"/>
      <c r="F26" s="166">
        <v>1.3783000000000001</v>
      </c>
      <c r="G26" s="166">
        <v>0.8085</v>
      </c>
      <c r="L26" s="332"/>
      <c r="M26" s="187" t="s">
        <v>138</v>
      </c>
      <c r="N26" s="337"/>
      <c r="O26" s="338"/>
      <c r="P26" s="166">
        <v>0.93430000000000002</v>
      </c>
      <c r="Q26" s="166">
        <v>0.78759999999999997</v>
      </c>
      <c r="T26" s="341"/>
      <c r="U26" s="187" t="s">
        <v>138</v>
      </c>
      <c r="V26" s="344"/>
      <c r="W26" s="345"/>
      <c r="X26" s="166">
        <v>1.4619</v>
      </c>
      <c r="Y26" s="166">
        <v>0.8125</v>
      </c>
      <c r="AB26" s="332"/>
      <c r="AC26" s="187" t="s">
        <v>138</v>
      </c>
      <c r="AD26" s="337"/>
      <c r="AE26" s="338"/>
      <c r="AF26" s="166">
        <v>1.0468</v>
      </c>
      <c r="AG26" s="166">
        <v>0.79830000000000001</v>
      </c>
    </row>
    <row r="27" spans="2:33" ht="15" customHeight="1" x14ac:dyDescent="0.25">
      <c r="B27" s="330">
        <v>43800</v>
      </c>
      <c r="C27" s="187" t="s">
        <v>135</v>
      </c>
      <c r="D27" s="333" t="s">
        <v>178</v>
      </c>
      <c r="E27" s="334"/>
      <c r="F27" s="166">
        <v>1.5333000000000001</v>
      </c>
      <c r="G27" s="166">
        <v>0.86119999999999997</v>
      </c>
      <c r="L27" s="330">
        <v>43435</v>
      </c>
      <c r="M27" s="187" t="s">
        <v>135</v>
      </c>
      <c r="N27" s="333" t="s">
        <v>178</v>
      </c>
      <c r="O27" s="334"/>
      <c r="P27" s="166">
        <v>1.4346000000000001</v>
      </c>
      <c r="Q27" s="166">
        <v>0.82620000000000005</v>
      </c>
      <c r="T27" s="339">
        <v>43070</v>
      </c>
      <c r="U27" s="187" t="s">
        <v>135</v>
      </c>
      <c r="V27" s="333" t="s">
        <v>178</v>
      </c>
      <c r="W27" s="334"/>
      <c r="X27" s="166">
        <v>1.4155</v>
      </c>
      <c r="Y27" s="166">
        <v>0.83309999999999995</v>
      </c>
      <c r="AB27" s="330">
        <v>42705</v>
      </c>
      <c r="AC27" s="187" t="s">
        <v>135</v>
      </c>
      <c r="AD27" s="333" t="s">
        <v>178</v>
      </c>
      <c r="AE27" s="334"/>
      <c r="AF27" s="166">
        <v>1.4092</v>
      </c>
      <c r="AG27" s="166">
        <v>0.85670000000000002</v>
      </c>
    </row>
    <row r="28" spans="2:33" x14ac:dyDescent="0.25">
      <c r="B28" s="331"/>
      <c r="C28" s="187" t="s">
        <v>137</v>
      </c>
      <c r="D28" s="335"/>
      <c r="E28" s="336"/>
      <c r="F28" s="166">
        <v>1.5407999999999999</v>
      </c>
      <c r="G28" s="166">
        <v>0.8548</v>
      </c>
      <c r="L28" s="331"/>
      <c r="M28" s="187" t="s">
        <v>137</v>
      </c>
      <c r="N28" s="335"/>
      <c r="O28" s="336"/>
      <c r="P28" s="166">
        <v>1.4281999999999999</v>
      </c>
      <c r="Q28" s="166">
        <v>0.83579999999999999</v>
      </c>
      <c r="T28" s="340"/>
      <c r="U28" s="187" t="s">
        <v>137</v>
      </c>
      <c r="V28" s="342"/>
      <c r="W28" s="343"/>
      <c r="X28" s="166">
        <v>1.4670000000000001</v>
      </c>
      <c r="Y28" s="166">
        <v>0.8296</v>
      </c>
      <c r="AB28" s="331"/>
      <c r="AC28" s="187" t="s">
        <v>137</v>
      </c>
      <c r="AD28" s="335"/>
      <c r="AE28" s="336"/>
      <c r="AF28" s="166">
        <v>1.1748000000000001</v>
      </c>
      <c r="AG28" s="166">
        <v>0.86260000000000003</v>
      </c>
    </row>
    <row r="29" spans="2:33" x14ac:dyDescent="0.25">
      <c r="B29" s="332"/>
      <c r="C29" s="187" t="s">
        <v>138</v>
      </c>
      <c r="D29" s="337"/>
      <c r="E29" s="338"/>
      <c r="F29" s="166">
        <v>1.4366000000000001</v>
      </c>
      <c r="G29" s="166">
        <v>0.83909999999999996</v>
      </c>
      <c r="L29" s="332"/>
      <c r="M29" s="187" t="s">
        <v>138</v>
      </c>
      <c r="N29" s="337"/>
      <c r="O29" s="338"/>
      <c r="P29" s="166">
        <v>1.4758</v>
      </c>
      <c r="Q29" s="166">
        <v>0.79310000000000003</v>
      </c>
      <c r="T29" s="341"/>
      <c r="U29" s="187" t="s">
        <v>138</v>
      </c>
      <c r="V29" s="344"/>
      <c r="W29" s="345"/>
      <c r="X29" s="166">
        <v>1.4500999999999999</v>
      </c>
      <c r="Y29" s="166">
        <v>0.78369999999999995</v>
      </c>
      <c r="AB29" s="332"/>
      <c r="AC29" s="187" t="s">
        <v>138</v>
      </c>
      <c r="AD29" s="337"/>
      <c r="AE29" s="338"/>
      <c r="AF29" s="166">
        <v>1.2559</v>
      </c>
      <c r="AG29" s="166">
        <v>0.77070000000000005</v>
      </c>
    </row>
    <row r="30" spans="2:33" ht="15" customHeight="1" x14ac:dyDescent="0.25">
      <c r="B30" s="330">
        <v>43831</v>
      </c>
      <c r="C30" s="187" t="s">
        <v>135</v>
      </c>
      <c r="D30" s="333" t="s">
        <v>178</v>
      </c>
      <c r="E30" s="334"/>
      <c r="F30" s="166">
        <v>1.4333</v>
      </c>
      <c r="G30" s="166">
        <v>0.83240000000000003</v>
      </c>
      <c r="L30" s="330">
        <v>43466</v>
      </c>
      <c r="M30" s="187" t="s">
        <v>135</v>
      </c>
      <c r="N30" s="333" t="s">
        <v>178</v>
      </c>
      <c r="O30" s="334"/>
      <c r="P30" s="166">
        <v>1.5316000000000001</v>
      </c>
      <c r="Q30" s="166">
        <v>0.86739999999999995</v>
      </c>
      <c r="T30" s="339">
        <v>43101</v>
      </c>
      <c r="U30" s="187" t="s">
        <v>135</v>
      </c>
      <c r="V30" s="333" t="s">
        <v>178</v>
      </c>
      <c r="W30" s="334"/>
      <c r="X30" s="166">
        <v>1.3487</v>
      </c>
      <c r="Y30" s="166">
        <v>0.80389999999999995</v>
      </c>
      <c r="AB30" s="339">
        <v>42736</v>
      </c>
      <c r="AC30" s="187" t="s">
        <v>135</v>
      </c>
      <c r="AD30" s="333" t="s">
        <v>178</v>
      </c>
      <c r="AE30" s="334"/>
      <c r="AF30" s="166">
        <v>1.2797000000000001</v>
      </c>
      <c r="AG30" s="166">
        <v>0.82399999999999995</v>
      </c>
    </row>
    <row r="31" spans="2:33" x14ac:dyDescent="0.25">
      <c r="B31" s="331"/>
      <c r="C31" s="187" t="s">
        <v>137</v>
      </c>
      <c r="D31" s="335"/>
      <c r="E31" s="336"/>
      <c r="F31" s="166">
        <v>1.4332</v>
      </c>
      <c r="G31" s="166">
        <v>0.83760000000000001</v>
      </c>
      <c r="L31" s="331"/>
      <c r="M31" s="187" t="s">
        <v>137</v>
      </c>
      <c r="N31" s="335"/>
      <c r="O31" s="336"/>
      <c r="P31" s="166">
        <v>0</v>
      </c>
      <c r="Q31" s="166">
        <v>0</v>
      </c>
      <c r="T31" s="340"/>
      <c r="U31" s="187" t="s">
        <v>137</v>
      </c>
      <c r="V31" s="342"/>
      <c r="W31" s="343"/>
      <c r="X31" s="166">
        <v>1.4159999999999999</v>
      </c>
      <c r="Y31" s="166">
        <v>0.7964</v>
      </c>
      <c r="AB31" s="340"/>
      <c r="AC31" s="187" t="s">
        <v>137</v>
      </c>
      <c r="AD31" s="342"/>
      <c r="AE31" s="343"/>
      <c r="AF31" s="166">
        <v>1.4</v>
      </c>
      <c r="AG31" s="166">
        <v>0.83140000000000003</v>
      </c>
    </row>
    <row r="32" spans="2:33" x14ac:dyDescent="0.25">
      <c r="B32" s="332"/>
      <c r="C32" s="187" t="s">
        <v>138</v>
      </c>
      <c r="D32" s="337"/>
      <c r="E32" s="338"/>
      <c r="F32" s="166">
        <v>1.4956</v>
      </c>
      <c r="G32" s="166">
        <v>0.83609999999999995</v>
      </c>
      <c r="L32" s="332"/>
      <c r="M32" s="187" t="s">
        <v>138</v>
      </c>
      <c r="N32" s="337"/>
      <c r="O32" s="338"/>
      <c r="P32" s="166">
        <v>1.4915</v>
      </c>
      <c r="Q32" s="166">
        <v>0.83620000000000005</v>
      </c>
      <c r="T32" s="341"/>
      <c r="U32" s="187" t="s">
        <v>138</v>
      </c>
      <c r="V32" s="344"/>
      <c r="W32" s="345"/>
      <c r="X32" s="166">
        <v>1.357</v>
      </c>
      <c r="Y32" s="166">
        <v>0.72640000000000005</v>
      </c>
      <c r="AB32" s="341"/>
      <c r="AC32" s="187" t="s">
        <v>138</v>
      </c>
      <c r="AD32" s="344"/>
      <c r="AE32" s="345"/>
      <c r="AF32" s="166">
        <v>1.3443000000000001</v>
      </c>
      <c r="AG32" s="166">
        <v>0.73799999999999999</v>
      </c>
    </row>
    <row r="33" spans="2:33" ht="15" customHeight="1" x14ac:dyDescent="0.25">
      <c r="B33" s="330">
        <v>43862</v>
      </c>
      <c r="C33" s="187" t="s">
        <v>135</v>
      </c>
      <c r="D33" s="333" t="s">
        <v>179</v>
      </c>
      <c r="E33" s="334"/>
      <c r="F33" s="166">
        <v>1.4759</v>
      </c>
      <c r="G33" s="166">
        <v>0.81359999999999999</v>
      </c>
      <c r="L33" s="330">
        <v>43497</v>
      </c>
      <c r="M33" s="187" t="s">
        <v>135</v>
      </c>
      <c r="N33" s="333" t="s">
        <v>179</v>
      </c>
      <c r="O33" s="334"/>
      <c r="P33" s="166">
        <v>0.93669999999999998</v>
      </c>
      <c r="Q33" s="166">
        <v>0.61580000000000001</v>
      </c>
      <c r="T33" s="339">
        <v>43132</v>
      </c>
      <c r="U33" s="187" t="s">
        <v>135</v>
      </c>
      <c r="V33" s="333" t="s">
        <v>179</v>
      </c>
      <c r="W33" s="334"/>
      <c r="X33" s="166">
        <v>1.4433</v>
      </c>
      <c r="Y33" s="166">
        <v>0.88959999999999995</v>
      </c>
      <c r="AB33" s="330">
        <v>42767</v>
      </c>
      <c r="AC33" s="187" t="s">
        <v>135</v>
      </c>
      <c r="AD33" s="333" t="s">
        <v>179</v>
      </c>
      <c r="AE33" s="334"/>
      <c r="AF33" s="166">
        <v>1.3677999999999999</v>
      </c>
      <c r="AG33" s="166">
        <v>0.84599999999999997</v>
      </c>
    </row>
    <row r="34" spans="2:33" x14ac:dyDescent="0.25">
      <c r="B34" s="331"/>
      <c r="C34" s="187" t="s">
        <v>137</v>
      </c>
      <c r="D34" s="335"/>
      <c r="E34" s="336"/>
      <c r="F34" s="166">
        <v>1.4598</v>
      </c>
      <c r="G34" s="166">
        <v>0.82569999999999999</v>
      </c>
      <c r="L34" s="331"/>
      <c r="M34" s="187" t="s">
        <v>137</v>
      </c>
      <c r="N34" s="335"/>
      <c r="O34" s="336"/>
      <c r="P34" s="166">
        <v>1.5336000000000001</v>
      </c>
      <c r="Q34" s="166">
        <v>0.68459999999999999</v>
      </c>
      <c r="T34" s="340"/>
      <c r="U34" s="187" t="s">
        <v>137</v>
      </c>
      <c r="V34" s="342"/>
      <c r="W34" s="343"/>
      <c r="X34" s="166">
        <v>1.3814</v>
      </c>
      <c r="Y34" s="166">
        <v>0.86719999999999997</v>
      </c>
      <c r="AB34" s="331"/>
      <c r="AC34" s="187" t="s">
        <v>137</v>
      </c>
      <c r="AD34" s="335"/>
      <c r="AE34" s="336"/>
      <c r="AF34" s="166">
        <v>1.4523999999999999</v>
      </c>
      <c r="AG34" s="166">
        <v>0.85250000000000004</v>
      </c>
    </row>
    <row r="35" spans="2:33" x14ac:dyDescent="0.25">
      <c r="B35" s="332"/>
      <c r="C35" s="187" t="s">
        <v>138</v>
      </c>
      <c r="D35" s="337"/>
      <c r="E35" s="338"/>
      <c r="F35" s="166">
        <v>1.5383</v>
      </c>
      <c r="G35" s="166">
        <v>0.80400000000000005</v>
      </c>
      <c r="L35" s="332"/>
      <c r="M35" s="187" t="s">
        <v>138</v>
      </c>
      <c r="N35" s="337"/>
      <c r="O35" s="338"/>
      <c r="P35" s="166">
        <v>1.0344</v>
      </c>
      <c r="Q35" s="166">
        <v>0.70509999999999995</v>
      </c>
      <c r="T35" s="341"/>
      <c r="U35" s="187" t="s">
        <v>138</v>
      </c>
      <c r="V35" s="344"/>
      <c r="W35" s="345"/>
      <c r="X35" s="166">
        <v>9.6100000000000005E-2</v>
      </c>
      <c r="Y35" s="166">
        <v>0.84150000000000003</v>
      </c>
      <c r="AB35" s="332"/>
      <c r="AC35" s="187" t="s">
        <v>138</v>
      </c>
      <c r="AD35" s="337"/>
      <c r="AE35" s="338"/>
      <c r="AF35" s="166">
        <v>1.1263000000000001</v>
      </c>
      <c r="AG35" s="166">
        <v>0.95779999999999998</v>
      </c>
    </row>
    <row r="36" spans="2:33" ht="15" customHeight="1" x14ac:dyDescent="0.25">
      <c r="B36" s="330">
        <v>43891</v>
      </c>
      <c r="C36" s="187" t="s">
        <v>135</v>
      </c>
      <c r="D36" s="333" t="s">
        <v>178</v>
      </c>
      <c r="E36" s="334"/>
      <c r="F36" s="166"/>
      <c r="G36" s="166"/>
      <c r="L36" s="330">
        <v>43525</v>
      </c>
      <c r="M36" s="187" t="s">
        <v>135</v>
      </c>
      <c r="N36" s="333" t="s">
        <v>178</v>
      </c>
      <c r="O36" s="334"/>
      <c r="P36" s="166">
        <v>0.35049999999999998</v>
      </c>
      <c r="Q36" s="166">
        <v>0.64600000000000002</v>
      </c>
      <c r="T36" s="339">
        <v>43160</v>
      </c>
      <c r="U36" s="187" t="s">
        <v>135</v>
      </c>
      <c r="V36" s="333" t="s">
        <v>178</v>
      </c>
      <c r="W36" s="334"/>
      <c r="X36" s="166">
        <v>1.4139999999999999</v>
      </c>
      <c r="Y36" s="166">
        <v>0.86439999999999995</v>
      </c>
      <c r="AB36" s="330">
        <v>42795</v>
      </c>
      <c r="AC36" s="187" t="s">
        <v>135</v>
      </c>
      <c r="AD36" s="333" t="s">
        <v>178</v>
      </c>
      <c r="AE36" s="334"/>
      <c r="AF36" s="166">
        <v>1.3983000000000001</v>
      </c>
      <c r="AG36" s="166">
        <v>0.85260000000000002</v>
      </c>
    </row>
    <row r="37" spans="2:33" x14ac:dyDescent="0.25">
      <c r="B37" s="331"/>
      <c r="C37" s="187" t="s">
        <v>137</v>
      </c>
      <c r="D37" s="335"/>
      <c r="E37" s="336"/>
      <c r="F37" s="166"/>
      <c r="G37" s="166"/>
      <c r="L37" s="331"/>
      <c r="M37" s="187" t="s">
        <v>137</v>
      </c>
      <c r="N37" s="335"/>
      <c r="O37" s="336"/>
      <c r="P37" s="166">
        <v>1.5253000000000001</v>
      </c>
      <c r="Q37" s="166">
        <v>0.74580000000000002</v>
      </c>
      <c r="T37" s="340"/>
      <c r="U37" s="187" t="s">
        <v>137</v>
      </c>
      <c r="V37" s="342"/>
      <c r="W37" s="343"/>
      <c r="X37" s="166">
        <v>1.4945999999999999</v>
      </c>
      <c r="Y37" s="166">
        <v>0.85629999999999995</v>
      </c>
      <c r="AB37" s="331"/>
      <c r="AC37" s="187" t="s">
        <v>137</v>
      </c>
      <c r="AD37" s="335"/>
      <c r="AE37" s="336"/>
      <c r="AF37" s="166">
        <v>1.343</v>
      </c>
      <c r="AG37" s="166">
        <v>0.85270000000000001</v>
      </c>
    </row>
    <row r="38" spans="2:33" x14ac:dyDescent="0.25">
      <c r="B38" s="332"/>
      <c r="C38" s="187" t="s">
        <v>138</v>
      </c>
      <c r="D38" s="337"/>
      <c r="E38" s="338"/>
      <c r="F38" s="166"/>
      <c r="G38" s="166"/>
      <c r="L38" s="332"/>
      <c r="M38" s="187" t="s">
        <v>138</v>
      </c>
      <c r="N38" s="337"/>
      <c r="O38" s="338"/>
      <c r="P38" s="166">
        <v>1.5424</v>
      </c>
      <c r="Q38" s="166">
        <v>0.77249999999999996</v>
      </c>
      <c r="T38" s="341"/>
      <c r="U38" s="187" t="s">
        <v>138</v>
      </c>
      <c r="V38" s="344"/>
      <c r="W38" s="345"/>
      <c r="X38" s="166">
        <v>1.5122</v>
      </c>
      <c r="Y38" s="166">
        <v>0.82199999999999995</v>
      </c>
      <c r="AB38" s="332"/>
      <c r="AC38" s="187" t="s">
        <v>138</v>
      </c>
      <c r="AD38" s="337"/>
      <c r="AE38" s="338"/>
      <c r="AF38" s="166">
        <v>1.478</v>
      </c>
      <c r="AG38" s="166">
        <v>0.80289999999999995</v>
      </c>
    </row>
    <row r="39" spans="2:33" x14ac:dyDescent="0.25">
      <c r="D39">
        <f>365*15</f>
        <v>5475</v>
      </c>
      <c r="F39" s="203">
        <f>SUM(F3:F38)/33</f>
        <v>1.4300969696969701</v>
      </c>
      <c r="G39" s="203">
        <f>SUM(G3:G38)/33</f>
        <v>0.83194242424242404</v>
      </c>
      <c r="N39">
        <f>365*15</f>
        <v>5475</v>
      </c>
      <c r="P39" s="203">
        <f>SUM(P3:P38)/36</f>
        <v>1.3364444444444445</v>
      </c>
      <c r="Q39" s="203">
        <f>SUM(Q3:Q38)/36</f>
        <v>0.77734444444444462</v>
      </c>
      <c r="U39" s="89"/>
      <c r="V39" s="89"/>
      <c r="W39" s="89"/>
      <c r="X39" s="204">
        <f>SUM(X3:X38)/36</f>
        <v>1.3262777777777777</v>
      </c>
      <c r="Y39" s="204">
        <f>SUM(Y3:Y38)/36</f>
        <v>0.82241944444444437</v>
      </c>
      <c r="AB39" s="89"/>
      <c r="AC39" s="89"/>
      <c r="AD39" s="89"/>
      <c r="AE39" s="89"/>
      <c r="AF39" s="204">
        <f t="shared" ref="AF39:AG39" si="0">SUM(AF3:AF38)/36</f>
        <v>1.2346083333333333</v>
      </c>
      <c r="AG39" s="204">
        <f t="shared" si="0"/>
        <v>0.78209166666666663</v>
      </c>
    </row>
  </sheetData>
  <mergeCells count="100">
    <mergeCell ref="D2:E2"/>
    <mergeCell ref="N2:O2"/>
    <mergeCell ref="V2:W2"/>
    <mergeCell ref="AD2:AE2"/>
    <mergeCell ref="B3:B5"/>
    <mergeCell ref="D3:E5"/>
    <mergeCell ref="L3:L5"/>
    <mergeCell ref="N3:O5"/>
    <mergeCell ref="T3:T5"/>
    <mergeCell ref="V3:W5"/>
    <mergeCell ref="AB3:AB5"/>
    <mergeCell ref="AD3:AE5"/>
    <mergeCell ref="B6:B8"/>
    <mergeCell ref="D6:E8"/>
    <mergeCell ref="L6:L8"/>
    <mergeCell ref="N6:O8"/>
    <mergeCell ref="T6:T8"/>
    <mergeCell ref="V6:W8"/>
    <mergeCell ref="AB6:AB8"/>
    <mergeCell ref="AD6:AE8"/>
    <mergeCell ref="AB9:AB11"/>
    <mergeCell ref="AD9:AE11"/>
    <mergeCell ref="V12:W14"/>
    <mergeCell ref="AB12:AB14"/>
    <mergeCell ref="AD12:AE14"/>
    <mergeCell ref="B9:B11"/>
    <mergeCell ref="D9:E11"/>
    <mergeCell ref="L9:L11"/>
    <mergeCell ref="N9:O11"/>
    <mergeCell ref="T9:T11"/>
    <mergeCell ref="V9:W11"/>
    <mergeCell ref="B12:B14"/>
    <mergeCell ref="D12:E14"/>
    <mergeCell ref="L12:L14"/>
    <mergeCell ref="N12:O14"/>
    <mergeCell ref="T12:T14"/>
    <mergeCell ref="AB15:AB17"/>
    <mergeCell ref="AD15:AE17"/>
    <mergeCell ref="B18:B20"/>
    <mergeCell ref="D18:E20"/>
    <mergeCell ref="L18:L20"/>
    <mergeCell ref="N18:O20"/>
    <mergeCell ref="T18:T20"/>
    <mergeCell ref="V18:W20"/>
    <mergeCell ref="AB18:AB20"/>
    <mergeCell ref="AD18:AE20"/>
    <mergeCell ref="B15:B17"/>
    <mergeCell ref="D15:E17"/>
    <mergeCell ref="L15:L17"/>
    <mergeCell ref="N15:O17"/>
    <mergeCell ref="T15:T17"/>
    <mergeCell ref="V15:W17"/>
    <mergeCell ref="AB21:AB23"/>
    <mergeCell ref="AD21:AE23"/>
    <mergeCell ref="B24:B26"/>
    <mergeCell ref="D24:E26"/>
    <mergeCell ref="L24:L26"/>
    <mergeCell ref="N24:O26"/>
    <mergeCell ref="T24:T26"/>
    <mergeCell ref="V24:W26"/>
    <mergeCell ref="AB24:AB26"/>
    <mergeCell ref="AD24:AE26"/>
    <mergeCell ref="B21:B23"/>
    <mergeCell ref="D21:E23"/>
    <mergeCell ref="L21:L23"/>
    <mergeCell ref="N21:O23"/>
    <mergeCell ref="T21:T23"/>
    <mergeCell ref="V21:W23"/>
    <mergeCell ref="AB27:AB29"/>
    <mergeCell ref="AD27:AE29"/>
    <mergeCell ref="B30:B32"/>
    <mergeCell ref="D30:E32"/>
    <mergeCell ref="L30:L32"/>
    <mergeCell ref="N30:O32"/>
    <mergeCell ref="T30:T32"/>
    <mergeCell ref="V30:W32"/>
    <mergeCell ref="AB30:AB32"/>
    <mergeCell ref="AD30:AE32"/>
    <mergeCell ref="B27:B29"/>
    <mergeCell ref="D27:E29"/>
    <mergeCell ref="L27:L29"/>
    <mergeCell ref="N27:O29"/>
    <mergeCell ref="T27:T29"/>
    <mergeCell ref="V27:W29"/>
    <mergeCell ref="AB33:AB35"/>
    <mergeCell ref="AD33:AE35"/>
    <mergeCell ref="B36:B38"/>
    <mergeCell ref="D36:E38"/>
    <mergeCell ref="L36:L38"/>
    <mergeCell ref="N36:O38"/>
    <mergeCell ref="T36:T38"/>
    <mergeCell ref="V36:W38"/>
    <mergeCell ref="AB36:AB38"/>
    <mergeCell ref="AD36:AE38"/>
    <mergeCell ref="B33:B35"/>
    <mergeCell ref="D33:E35"/>
    <mergeCell ref="L33:L35"/>
    <mergeCell ref="N33:O35"/>
    <mergeCell ref="T33:T35"/>
    <mergeCell ref="V33:W35"/>
  </mergeCells>
  <pageMargins left="0.7" right="0.7" top="0.75" bottom="0.75" header="0.3" footer="0.3"/>
  <pageSetup paperSize="9" orientation="portrait" horizontalDpi="180" verticalDpi="18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H25"/>
  <sheetViews>
    <sheetView topLeftCell="A4" workbookViewId="0">
      <selection activeCell="C6" sqref="C6:H25"/>
    </sheetView>
  </sheetViews>
  <sheetFormatPr defaultRowHeight="15" x14ac:dyDescent="0.25"/>
  <cols>
    <col min="4" max="4" width="11.5703125" customWidth="1"/>
    <col min="5" max="5" width="32" customWidth="1"/>
    <col min="6" max="6" width="13.140625" customWidth="1"/>
    <col min="7" max="7" width="12.85546875" customWidth="1"/>
    <col min="8" max="8" width="27.85546875" customWidth="1"/>
  </cols>
  <sheetData>
    <row r="6" spans="3:8" ht="21" x14ac:dyDescent="0.35">
      <c r="C6" s="205" t="s">
        <v>223</v>
      </c>
    </row>
    <row r="9" spans="3:8" ht="57" x14ac:dyDescent="0.25">
      <c r="C9" s="206" t="s">
        <v>181</v>
      </c>
      <c r="D9" s="206" t="s">
        <v>191</v>
      </c>
      <c r="E9" s="207" t="s">
        <v>183</v>
      </c>
      <c r="F9" s="207" t="s">
        <v>184</v>
      </c>
      <c r="G9" s="207" t="s">
        <v>185</v>
      </c>
      <c r="H9" s="208" t="s">
        <v>186</v>
      </c>
    </row>
    <row r="10" spans="3:8" x14ac:dyDescent="0.25">
      <c r="C10" s="185">
        <v>1</v>
      </c>
      <c r="D10" s="211">
        <v>43556</v>
      </c>
      <c r="E10" s="185">
        <f>30*15</f>
        <v>450</v>
      </c>
      <c r="F10" s="212">
        <f>(Sheet30!F3+Sheet30!F4+Sheet30!F5)/3</f>
        <v>1.4514333333333334</v>
      </c>
      <c r="G10" s="212">
        <f>(Sheet30!G3+Sheet30!G4+Sheet30!G5)/3</f>
        <v>0.86256666666666659</v>
      </c>
      <c r="H10" s="89"/>
    </row>
    <row r="11" spans="3:8" x14ac:dyDescent="0.25">
      <c r="C11" s="185">
        <v>2</v>
      </c>
      <c r="D11" s="211">
        <v>43586</v>
      </c>
      <c r="E11" s="185">
        <f>15*31</f>
        <v>465</v>
      </c>
      <c r="F11" s="212">
        <f>(Sheet30!F6+Sheet30!F7+Sheet30!F8)/3</f>
        <v>1.3510666666666669</v>
      </c>
      <c r="G11" s="212">
        <f>(Sheet30!G6+Sheet30!G7+Sheet30!G8)/3</f>
        <v>0.82513333333333339</v>
      </c>
      <c r="H11" s="89"/>
    </row>
    <row r="12" spans="3:8" x14ac:dyDescent="0.25">
      <c r="C12" s="185">
        <v>3</v>
      </c>
      <c r="D12" s="211">
        <v>43617</v>
      </c>
      <c r="E12" s="185">
        <f>15*30</f>
        <v>450</v>
      </c>
      <c r="F12" s="212">
        <f>(Sheet30!F9+Sheet30!F10+Sheet30!F11)/3</f>
        <v>1.4517333333333333</v>
      </c>
      <c r="G12" s="212">
        <f>(Sheet30!G9+Sheet30!G10+Sheet30!G11)/3</f>
        <v>0.84463333333333335</v>
      </c>
      <c r="H12" s="89"/>
    </row>
    <row r="13" spans="3:8" x14ac:dyDescent="0.25">
      <c r="C13" s="185">
        <v>4</v>
      </c>
      <c r="D13" s="211">
        <v>43647</v>
      </c>
      <c r="E13" s="185">
        <f>31*15</f>
        <v>465</v>
      </c>
      <c r="F13" s="212">
        <f>(Sheet30!F12+Sheet30!F13+Sheet30!F14)/3</f>
        <v>1.4814666666666667</v>
      </c>
      <c r="G13" s="212">
        <f>(Sheet30!G12+Sheet30!G13+Sheet30!G14)/3</f>
        <v>0.83526666666666671</v>
      </c>
      <c r="H13" s="89"/>
    </row>
    <row r="14" spans="3:8" x14ac:dyDescent="0.25">
      <c r="C14" s="185">
        <v>5</v>
      </c>
      <c r="D14" s="211">
        <v>43678</v>
      </c>
      <c r="E14" s="185">
        <f>31*15</f>
        <v>465</v>
      </c>
      <c r="F14" s="212">
        <f>(Sheet30!F15+Sheet30!F16+Sheet30!F17)/3</f>
        <v>1.4238</v>
      </c>
      <c r="G14" s="212">
        <f>(Sheet30!G15+Sheet30!G16+Sheet30!G17)/3</f>
        <v>0.86333333333333329</v>
      </c>
      <c r="H14" s="89"/>
    </row>
    <row r="15" spans="3:8" x14ac:dyDescent="0.25">
      <c r="C15" s="185">
        <v>6</v>
      </c>
      <c r="D15" s="211">
        <v>43709</v>
      </c>
      <c r="E15" s="185">
        <f>30*15</f>
        <v>450</v>
      </c>
      <c r="F15" s="212">
        <f>(Sheet30!F18+Sheet30!F19+Sheet30!F20)/3</f>
        <v>1.3890666666666667</v>
      </c>
      <c r="G15" s="212">
        <f>(Sheet30!G18+Sheet30!G19+Sheet30!G20)/3</f>
        <v>0.80666666666666664</v>
      </c>
      <c r="H15" s="89"/>
    </row>
    <row r="16" spans="3:8" x14ac:dyDescent="0.25">
      <c r="C16" s="185">
        <v>7</v>
      </c>
      <c r="D16" s="211">
        <v>43739</v>
      </c>
      <c r="E16" s="185">
        <f>31*15</f>
        <v>465</v>
      </c>
      <c r="F16" s="212">
        <f>(Sheet30!F21+Sheet30!F22+Sheet30!F23)/3</f>
        <v>1.4778666666666667</v>
      </c>
      <c r="G16" s="212">
        <f>(Sheet30!G21+Sheet30!G22+Sheet30!G23)/3</f>
        <v>0.83983333333333332</v>
      </c>
      <c r="H16" s="89"/>
    </row>
    <row r="17" spans="3:8" x14ac:dyDescent="0.25">
      <c r="C17" s="185">
        <v>8</v>
      </c>
      <c r="D17" s="211">
        <v>43770</v>
      </c>
      <c r="E17" s="185">
        <f>30*15</f>
        <v>450</v>
      </c>
      <c r="F17" s="212">
        <f>(Sheet30!F24+Sheet30!F25+Sheet30!F26)/3</f>
        <v>1.2557</v>
      </c>
      <c r="G17" s="212">
        <f>(Sheet30!G24+Sheet30!G25+Sheet30!G26)/3</f>
        <v>0.77243333333333331</v>
      </c>
      <c r="H17" s="89"/>
    </row>
    <row r="18" spans="3:8" x14ac:dyDescent="0.25">
      <c r="C18" s="185">
        <v>9</v>
      </c>
      <c r="D18" s="211">
        <v>43800</v>
      </c>
      <c r="E18" s="185">
        <f>31*15</f>
        <v>465</v>
      </c>
      <c r="F18" s="212">
        <f>(Sheet30!F27+Sheet30!F28+Sheet30!F29)/3</f>
        <v>1.5035666666666667</v>
      </c>
      <c r="G18" s="212">
        <f>(Sheet30!G27+Sheet30!G28+Sheet30!G29)/3</f>
        <v>0.85170000000000001</v>
      </c>
      <c r="H18" s="89"/>
    </row>
    <row r="19" spans="3:8" x14ac:dyDescent="0.25">
      <c r="C19" s="185">
        <v>10</v>
      </c>
      <c r="D19" s="211">
        <v>43831</v>
      </c>
      <c r="E19" s="185">
        <f>31*15</f>
        <v>465</v>
      </c>
      <c r="F19" s="212">
        <f>(Sheet30!F30+Sheet30!F31+Sheet30!F32)/3</f>
        <v>1.4540333333333333</v>
      </c>
      <c r="G19" s="212">
        <f>(Sheet30!G30+Sheet30!G31+Sheet30!G32)/3</f>
        <v>0.8353666666666667</v>
      </c>
      <c r="H19" s="89"/>
    </row>
    <row r="20" spans="3:8" x14ac:dyDescent="0.25">
      <c r="C20" s="185">
        <v>11</v>
      </c>
      <c r="D20" s="213">
        <v>43862</v>
      </c>
      <c r="E20" s="185">
        <f>29*15</f>
        <v>435</v>
      </c>
      <c r="F20" s="212">
        <f>(Sheet30!F33+Sheet30!F34+Sheet30!F35)/3</f>
        <v>1.4913333333333334</v>
      </c>
      <c r="G20" s="212">
        <f>(Sheet30!G33+Sheet30!G34+Sheet30!G35)/3</f>
        <v>0.81443333333333323</v>
      </c>
      <c r="H20" s="89"/>
    </row>
    <row r="21" spans="3:8" x14ac:dyDescent="0.25">
      <c r="C21" s="226">
        <v>12</v>
      </c>
      <c r="D21" s="225">
        <v>43891</v>
      </c>
      <c r="E21" s="226">
        <f>15*31</f>
        <v>465</v>
      </c>
      <c r="F21" s="89"/>
      <c r="G21" s="89"/>
      <c r="H21" s="89"/>
    </row>
    <row r="24" spans="3:8" x14ac:dyDescent="0.25">
      <c r="H24" s="210" t="s">
        <v>190</v>
      </c>
    </row>
    <row r="25" spans="3:8" x14ac:dyDescent="0.25">
      <c r="H25" s="210" t="s">
        <v>110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horizontalDpi="180" verticalDpi="18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34"/>
  <sheetViews>
    <sheetView topLeftCell="A5" workbookViewId="0">
      <selection activeCell="N22" sqref="N22"/>
    </sheetView>
  </sheetViews>
  <sheetFormatPr defaultRowHeight="15" x14ac:dyDescent="0.25"/>
  <cols>
    <col min="5" max="5" width="14.5703125" customWidth="1"/>
    <col min="6" max="6" width="36.7109375" customWidth="1"/>
    <col min="7" max="7" width="12.85546875" customWidth="1"/>
  </cols>
  <sheetData>
    <row r="6" spans="4:8" ht="21" x14ac:dyDescent="0.35">
      <c r="E6" s="205" t="s">
        <v>180</v>
      </c>
    </row>
    <row r="9" spans="4:8" ht="42.75" x14ac:dyDescent="0.25">
      <c r="D9" s="206" t="s">
        <v>181</v>
      </c>
      <c r="E9" s="206" t="s">
        <v>182</v>
      </c>
      <c r="F9" s="207" t="s">
        <v>183</v>
      </c>
      <c r="G9" s="207" t="s">
        <v>184</v>
      </c>
      <c r="H9" s="207" t="s">
        <v>185</v>
      </c>
    </row>
    <row r="10" spans="4:8" x14ac:dyDescent="0.25">
      <c r="D10" s="185">
        <v>1</v>
      </c>
      <c r="E10" s="185" t="s">
        <v>187</v>
      </c>
      <c r="F10" s="185">
        <v>5475</v>
      </c>
      <c r="G10" s="209">
        <v>1.3364444444444445</v>
      </c>
      <c r="H10" s="209">
        <v>0.77734444444444462</v>
      </c>
    </row>
    <row r="11" spans="4:8" x14ac:dyDescent="0.25">
      <c r="D11" s="185">
        <v>2</v>
      </c>
      <c r="E11" s="185" t="s">
        <v>188</v>
      </c>
      <c r="F11" s="185">
        <v>5475</v>
      </c>
      <c r="G11" s="209">
        <v>1.3262777777777777</v>
      </c>
      <c r="H11" s="209">
        <v>0.82241944444444437</v>
      </c>
    </row>
    <row r="12" spans="4:8" x14ac:dyDescent="0.25">
      <c r="D12" s="185">
        <v>3</v>
      </c>
      <c r="E12" s="185" t="s">
        <v>189</v>
      </c>
      <c r="F12" s="185">
        <v>5475</v>
      </c>
      <c r="G12" s="209">
        <v>1.2346083333333333</v>
      </c>
      <c r="H12" s="209">
        <v>0.78209166666666663</v>
      </c>
    </row>
    <row r="13" spans="4:8" x14ac:dyDescent="0.25">
      <c r="D13" s="185"/>
      <c r="E13" s="185"/>
      <c r="F13" s="185"/>
      <c r="G13" s="185"/>
      <c r="H13" s="185"/>
    </row>
    <row r="33" spans="6:6" x14ac:dyDescent="0.25">
      <c r="F33" s="210" t="s">
        <v>190</v>
      </c>
    </row>
    <row r="34" spans="6:6" x14ac:dyDescent="0.25">
      <c r="F34" s="210" t="s">
        <v>110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7" workbookViewId="0">
      <selection activeCell="I21" sqref="I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228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48</v>
      </c>
      <c r="F4" s="22">
        <v>50</v>
      </c>
      <c r="G4" s="22"/>
      <c r="H4" s="22"/>
      <c r="I4" s="22"/>
      <c r="J4" s="22"/>
      <c r="K4" s="22">
        <v>121</v>
      </c>
      <c r="L4" s="22">
        <v>53</v>
      </c>
      <c r="M4" s="93">
        <f>K4+L4</f>
        <v>174</v>
      </c>
      <c r="N4" s="104"/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/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3</v>
      </c>
      <c r="F6" s="22">
        <v>2</v>
      </c>
      <c r="G6" s="22"/>
      <c r="H6" s="22"/>
      <c r="I6" s="22"/>
      <c r="J6" s="22"/>
      <c r="K6" s="22">
        <v>15</v>
      </c>
      <c r="L6" s="22">
        <v>10</v>
      </c>
      <c r="M6" s="93">
        <f t="shared" si="0"/>
        <v>25</v>
      </c>
      <c r="N6" s="104"/>
      <c r="O6" s="96"/>
      <c r="P6" s="65"/>
      <c r="Q6" s="309" t="s">
        <v>13</v>
      </c>
    </row>
    <row r="7" spans="1:17" ht="15" customHeight="1" x14ac:dyDescent="0.25">
      <c r="A7" s="25"/>
      <c r="B7" s="21" t="s">
        <v>19</v>
      </c>
      <c r="C7" s="22"/>
      <c r="D7" s="22">
        <v>10</v>
      </c>
      <c r="E7" s="22">
        <v>4</v>
      </c>
      <c r="F7" s="22">
        <v>4</v>
      </c>
      <c r="G7" s="22"/>
      <c r="H7" s="22"/>
      <c r="I7" s="22"/>
      <c r="J7" s="22"/>
      <c r="K7" s="22">
        <v>61</v>
      </c>
      <c r="L7" s="22">
        <v>3</v>
      </c>
      <c r="M7" s="93">
        <f t="shared" si="0"/>
        <v>64</v>
      </c>
      <c r="N7" s="104"/>
      <c r="O7" s="97"/>
      <c r="P7" s="65"/>
      <c r="Q7" s="310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2" customHeight="1" x14ac:dyDescent="0.25">
      <c r="A9" s="33"/>
      <c r="B9" s="34" t="s">
        <v>14</v>
      </c>
      <c r="C9" s="22">
        <v>2</v>
      </c>
      <c r="D9" s="22">
        <v>23</v>
      </c>
      <c r="E9" s="22">
        <v>28</v>
      </c>
      <c r="F9" s="22">
        <v>22</v>
      </c>
      <c r="G9" s="22">
        <v>23</v>
      </c>
      <c r="H9" s="22">
        <v>20</v>
      </c>
      <c r="I9" s="22">
        <v>27</v>
      </c>
      <c r="J9" s="22">
        <v>25</v>
      </c>
      <c r="K9" s="22">
        <v>117</v>
      </c>
      <c r="L9" s="22">
        <v>53</v>
      </c>
      <c r="M9" s="93">
        <f t="shared" ref="M9:M12" si="1">K9+L9</f>
        <v>170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3</v>
      </c>
      <c r="F10" s="22">
        <v>4</v>
      </c>
      <c r="G10" s="22">
        <v>5</v>
      </c>
      <c r="H10" s="22">
        <v>2</v>
      </c>
      <c r="I10" s="22"/>
      <c r="J10" s="22"/>
      <c r="K10" s="22">
        <v>16</v>
      </c>
      <c r="L10" s="22">
        <v>0</v>
      </c>
      <c r="M10" s="93">
        <f t="shared" si="1"/>
        <v>16</v>
      </c>
      <c r="N10" s="82"/>
      <c r="O10" s="303" t="s">
        <v>162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9</v>
      </c>
      <c r="E11" s="22">
        <v>8</v>
      </c>
      <c r="F11" s="22">
        <v>11</v>
      </c>
      <c r="G11" s="22">
        <v>7</v>
      </c>
      <c r="H11" s="22">
        <v>2</v>
      </c>
      <c r="I11" s="22">
        <v>1</v>
      </c>
      <c r="J11" s="22">
        <v>2</v>
      </c>
      <c r="K11" s="22">
        <v>30</v>
      </c>
      <c r="L11" s="22">
        <v>10</v>
      </c>
      <c r="M11" s="93">
        <f t="shared" si="1"/>
        <v>40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3">
        <f t="shared" si="1"/>
        <v>0</v>
      </c>
      <c r="N12" s="82"/>
      <c r="O12" s="82"/>
      <c r="P12" s="82"/>
      <c r="Q12" s="37"/>
    </row>
    <row r="13" spans="1:17" ht="32.2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15</v>
      </c>
      <c r="E14" s="22">
        <v>19</v>
      </c>
      <c r="F14" s="22">
        <v>20</v>
      </c>
      <c r="G14" s="22"/>
      <c r="H14" s="22"/>
      <c r="I14" s="22"/>
      <c r="J14" s="22"/>
      <c r="K14" s="22">
        <v>117</v>
      </c>
      <c r="L14" s="22">
        <v>0</v>
      </c>
      <c r="M14" s="93">
        <f t="shared" ref="M14:M17" si="2">K14+L14</f>
        <v>117</v>
      </c>
      <c r="N14" s="103" t="s">
        <v>57</v>
      </c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</v>
      </c>
      <c r="L16" s="22">
        <v>0</v>
      </c>
      <c r="M16" s="93">
        <f t="shared" si="2"/>
        <v>5</v>
      </c>
      <c r="N16" s="103" t="s">
        <v>232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5</v>
      </c>
      <c r="F17" s="22"/>
      <c r="G17" s="22"/>
      <c r="H17" s="22"/>
      <c r="I17" s="22"/>
      <c r="J17" s="22"/>
      <c r="K17" s="22">
        <v>5</v>
      </c>
      <c r="L17" s="22">
        <v>0</v>
      </c>
      <c r="M17" s="93">
        <f t="shared" si="2"/>
        <v>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461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16</v>
      </c>
      <c r="O19" s="69">
        <v>845.76</v>
      </c>
      <c r="P19" s="46" t="s">
        <v>233</v>
      </c>
      <c r="Q19" s="65" t="s">
        <v>234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70</v>
      </c>
      <c r="O20" s="77" t="s">
        <v>65</v>
      </c>
      <c r="P20" s="75">
        <v>60</v>
      </c>
      <c r="Q20" s="65">
        <v>4022.29</v>
      </c>
    </row>
    <row r="21" spans="1:20" ht="25.5" customHeight="1" x14ac:dyDescent="0.25">
      <c r="A21" s="16" t="s">
        <v>46</v>
      </c>
      <c r="B21" s="66">
        <v>206.28125</v>
      </c>
      <c r="C21" s="66">
        <v>206.54166666666666</v>
      </c>
      <c r="D21" s="66">
        <f t="shared" ref="D21:D22" si="3">C21-B21</f>
        <v>0.26041666666665719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206.95833333333334</v>
      </c>
      <c r="I21" s="66">
        <v>207.10416666666666</v>
      </c>
      <c r="J21" s="71">
        <f>I21-H21-K21</f>
        <v>0.14583333333331439</v>
      </c>
      <c r="K21" s="66"/>
      <c r="L21" s="73">
        <f>D21+G21+J21</f>
        <v>0.69791666666662877</v>
      </c>
      <c r="M21" s="154" t="s">
        <v>47</v>
      </c>
      <c r="N21" s="65">
        <f>M17+M12+M7</f>
        <v>69</v>
      </c>
      <c r="O21" s="78" t="s">
        <v>69</v>
      </c>
      <c r="P21" s="75">
        <v>246</v>
      </c>
      <c r="Q21" s="65">
        <v>7408.62</v>
      </c>
    </row>
    <row r="22" spans="1:20" ht="27" customHeight="1" x14ac:dyDescent="0.25">
      <c r="A22" s="16" t="s">
        <v>48</v>
      </c>
      <c r="B22" s="66">
        <v>206.26388888888889</v>
      </c>
      <c r="C22" s="66">
        <v>206.45486111111111</v>
      </c>
      <c r="D22" s="66">
        <f t="shared" si="3"/>
        <v>0.19097222222222854</v>
      </c>
      <c r="E22" s="66">
        <v>206.58680555555554</v>
      </c>
      <c r="F22" s="66">
        <v>206.875</v>
      </c>
      <c r="G22" s="66">
        <f t="shared" ref="G22" si="4">F22-E22</f>
        <v>0.28819444444445708</v>
      </c>
      <c r="H22" s="66">
        <v>206.93055555555554</v>
      </c>
      <c r="I22" s="66">
        <v>207.20833333333334</v>
      </c>
      <c r="J22" s="71">
        <f>I22-H22-K22</f>
        <v>0.27777777777779988</v>
      </c>
      <c r="K22" s="75"/>
      <c r="L22" s="73">
        <f>D22+G22+J22</f>
        <v>0.7569444444444855</v>
      </c>
      <c r="M22" s="49" t="s">
        <v>49</v>
      </c>
      <c r="N22" s="65">
        <v>27695.759999999998</v>
      </c>
      <c r="O22" s="80" t="s">
        <v>66</v>
      </c>
      <c r="P22" s="75">
        <v>164</v>
      </c>
      <c r="Q22" s="65">
        <v>4109.9399999999996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ref="D23" si="5">C23-B23</f>
        <v>0.29166666666665719</v>
      </c>
      <c r="E23" s="66">
        <v>206.58680555555554</v>
      </c>
      <c r="F23" s="66">
        <v>206.875</v>
      </c>
      <c r="G23" s="66">
        <f t="shared" ref="G23" si="6">F23-E23</f>
        <v>0.28819444444445708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0.87152777777779988</v>
      </c>
      <c r="M23" s="154" t="s">
        <v>64</v>
      </c>
      <c r="N23" s="85">
        <v>8</v>
      </c>
      <c r="O23" s="86" t="s">
        <v>67</v>
      </c>
      <c r="P23" s="76">
        <v>37</v>
      </c>
      <c r="Q23" s="65">
        <v>1162.24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0.74305555555554292</v>
      </c>
      <c r="E24" s="68"/>
      <c r="F24" s="68"/>
      <c r="G24" s="66">
        <f>SUM(G21:G23)</f>
        <v>0.86805555555557135</v>
      </c>
      <c r="H24" s="68"/>
      <c r="I24" s="68"/>
      <c r="J24" s="71">
        <f>SUM(J21:J23)</f>
        <v>0.71527777777779988</v>
      </c>
      <c r="K24" s="75"/>
      <c r="L24" s="83">
        <f>SUM(L21:L23)</f>
        <v>2.3263888888889142</v>
      </c>
      <c r="M24" s="65" t="s">
        <v>78</v>
      </c>
      <c r="N24" s="65">
        <v>29632.97</v>
      </c>
      <c r="P24" s="79" t="s">
        <v>68</v>
      </c>
      <c r="Q24" s="43">
        <v>38504.620000000003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N24+Sheet3!O25</f>
        <v>112130.32</v>
      </c>
      <c r="P25" s="154" t="s">
        <v>77</v>
      </c>
      <c r="Q25" s="87">
        <v>42526.91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45000</v>
      </c>
      <c r="P26" s="51" t="s">
        <v>87</v>
      </c>
      <c r="Q26" s="69">
        <v>50386.26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55.5</v>
      </c>
      <c r="M27" s="55"/>
      <c r="N27" s="88">
        <f>N22/L27</f>
        <v>499.0227027027027</v>
      </c>
      <c r="O27" s="81" t="s">
        <v>74</v>
      </c>
      <c r="P27" s="69"/>
      <c r="Q27" s="65" t="s">
        <v>235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5"/>
  <sheetViews>
    <sheetView topLeftCell="A34" workbookViewId="0">
      <selection activeCell="D38" sqref="D38"/>
    </sheetView>
  </sheetViews>
  <sheetFormatPr defaultRowHeight="15" x14ac:dyDescent="0.25"/>
  <cols>
    <col min="2" max="2" width="14.140625" customWidth="1"/>
    <col min="3" max="3" width="22.85546875" customWidth="1"/>
    <col min="4" max="4" width="12.7109375" customWidth="1"/>
    <col min="5" max="5" width="16.7109375" customWidth="1"/>
    <col min="6" max="6" width="13.28515625" customWidth="1"/>
    <col min="7" max="7" width="13.7109375" customWidth="1"/>
    <col min="8" max="8" width="16.7109375" customWidth="1"/>
    <col min="9" max="10" width="16.28515625" customWidth="1"/>
    <col min="11" max="11" width="16.7109375" customWidth="1"/>
    <col min="13" max="13" width="13.7109375" customWidth="1"/>
    <col min="14" max="14" width="15.140625" customWidth="1"/>
  </cols>
  <sheetData>
    <row r="1" spans="2:14" ht="20.25" x14ac:dyDescent="0.3">
      <c r="B1" t="s">
        <v>207</v>
      </c>
      <c r="C1" s="228" t="s">
        <v>208</v>
      </c>
    </row>
    <row r="2" spans="2:14" ht="20.25" x14ac:dyDescent="0.3">
      <c r="B2" s="229"/>
      <c r="C2" s="228" t="s">
        <v>209</v>
      </c>
      <c r="E2" s="229"/>
      <c r="F2" s="229"/>
    </row>
    <row r="4" spans="2:14" ht="20.25" customHeight="1" x14ac:dyDescent="0.4">
      <c r="B4" s="230" t="s">
        <v>210</v>
      </c>
      <c r="C4" s="231"/>
      <c r="D4" s="229"/>
      <c r="E4" s="229"/>
      <c r="F4" s="229"/>
    </row>
    <row r="5" spans="2:14" ht="20.25" customHeight="1" x14ac:dyDescent="0.4">
      <c r="B5" s="230" t="s">
        <v>211</v>
      </c>
      <c r="C5" s="231"/>
      <c r="D5" s="229"/>
      <c r="E5" s="229"/>
      <c r="F5" s="229"/>
    </row>
    <row r="7" spans="2:14" ht="0.75" customHeight="1" x14ac:dyDescent="0.25"/>
    <row r="10" spans="2:14" ht="45" x14ac:dyDescent="0.25">
      <c r="B10" s="227" t="s">
        <v>212</v>
      </c>
      <c r="C10" s="232" t="s">
        <v>213</v>
      </c>
      <c r="D10" s="232" t="s">
        <v>214</v>
      </c>
      <c r="E10" s="232" t="s">
        <v>215</v>
      </c>
      <c r="F10" s="232" t="s">
        <v>216</v>
      </c>
      <c r="G10" s="232" t="s">
        <v>217</v>
      </c>
      <c r="H10" s="232" t="s">
        <v>218</v>
      </c>
      <c r="I10" s="232" t="s">
        <v>219</v>
      </c>
      <c r="J10" s="232"/>
      <c r="K10" s="233" t="s">
        <v>220</v>
      </c>
      <c r="M10" s="234">
        <v>833333.3</v>
      </c>
      <c r="N10" s="235">
        <v>862193.73</v>
      </c>
    </row>
    <row r="11" spans="2:14" s="239" customFormat="1" x14ac:dyDescent="0.25">
      <c r="B11" s="185" t="s">
        <v>54</v>
      </c>
      <c r="C11" s="185">
        <f>8*3*31</f>
        <v>744</v>
      </c>
      <c r="D11" s="237">
        <f>(51.3+44+31.05)/3</f>
        <v>42.116666666666667</v>
      </c>
      <c r="E11" s="185">
        <f>(35.1+33.15+17.1)/3</f>
        <v>28.45</v>
      </c>
      <c r="F11" s="185">
        <f>57/60</f>
        <v>0.95</v>
      </c>
      <c r="G11" s="185">
        <f>(110.1+108.15+114)/3</f>
        <v>110.75</v>
      </c>
      <c r="H11" s="237">
        <f>C11-(D11+E11+F11)</f>
        <v>672.48333333333335</v>
      </c>
      <c r="I11" s="238">
        <f>H11/C11</f>
        <v>0.90387544802867381</v>
      </c>
      <c r="J11" s="238"/>
      <c r="K11" s="238">
        <f>N10/M10</f>
        <v>1.0346325173853006</v>
      </c>
    </row>
    <row r="12" spans="2:14" x14ac:dyDescent="0.25">
      <c r="D12" t="s">
        <v>221</v>
      </c>
    </row>
    <row r="17" spans="2:14" ht="45" x14ac:dyDescent="0.25">
      <c r="B17" s="227" t="s">
        <v>212</v>
      </c>
      <c r="C17" s="232" t="s">
        <v>213</v>
      </c>
      <c r="D17" s="232" t="s">
        <v>214</v>
      </c>
      <c r="E17" s="232" t="s">
        <v>215</v>
      </c>
      <c r="F17" s="232" t="s">
        <v>216</v>
      </c>
      <c r="G17" s="232" t="s">
        <v>217</v>
      </c>
      <c r="H17" s="232" t="s">
        <v>218</v>
      </c>
      <c r="I17" s="236" t="s">
        <v>219</v>
      </c>
      <c r="J17" s="236"/>
      <c r="K17" s="233" t="s">
        <v>220</v>
      </c>
      <c r="M17" s="234">
        <v>833333.3</v>
      </c>
      <c r="N17" s="235">
        <v>772986.59</v>
      </c>
    </row>
    <row r="18" spans="2:14" x14ac:dyDescent="0.25">
      <c r="B18" s="185" t="s">
        <v>54</v>
      </c>
      <c r="C18" s="185">
        <f>8*3*29</f>
        <v>696</v>
      </c>
      <c r="D18" s="237">
        <f>(33+4.05+13.35)/3</f>
        <v>16.8</v>
      </c>
      <c r="E18" s="185">
        <f>(45+8.5+13.1)/3</f>
        <v>22.2</v>
      </c>
      <c r="F18" s="185">
        <f>54/60</f>
        <v>0.9</v>
      </c>
      <c r="G18" s="237">
        <f>(119.3+110.35+131.05)/3</f>
        <v>120.23333333333333</v>
      </c>
      <c r="H18" s="237">
        <f>C18-(D18+E18+F18)</f>
        <v>656.1</v>
      </c>
      <c r="I18" s="238">
        <f>H18/C18</f>
        <v>0.94267241379310351</v>
      </c>
      <c r="J18" s="238"/>
      <c r="K18" s="238">
        <f>N17/M17</f>
        <v>0.92758394510335773</v>
      </c>
    </row>
    <row r="21" spans="2:14" x14ac:dyDescent="0.25">
      <c r="B21" t="s">
        <v>222</v>
      </c>
    </row>
    <row r="25" spans="2:14" x14ac:dyDescent="0.25">
      <c r="I25" t="s">
        <v>53</v>
      </c>
    </row>
    <row r="26" spans="2:14" x14ac:dyDescent="0.25">
      <c r="I26" t="s">
        <v>110</v>
      </c>
    </row>
    <row r="28" spans="2:14" ht="20.25" x14ac:dyDescent="0.3">
      <c r="E28" s="228" t="s">
        <v>208</v>
      </c>
    </row>
    <row r="29" spans="2:14" ht="20.25" x14ac:dyDescent="0.3">
      <c r="E29" s="228" t="s">
        <v>209</v>
      </c>
    </row>
    <row r="31" spans="2:14" ht="18.75" x14ac:dyDescent="0.3">
      <c r="C31" s="259" t="s">
        <v>435</v>
      </c>
      <c r="E31" s="159"/>
    </row>
    <row r="32" spans="2:14" ht="18.75" x14ac:dyDescent="0.3">
      <c r="C32" s="259"/>
      <c r="E32" s="159"/>
    </row>
    <row r="33" spans="2:14" ht="18.75" x14ac:dyDescent="0.3">
      <c r="C33" s="259"/>
      <c r="E33" s="159"/>
    </row>
    <row r="34" spans="2:14" ht="15.75" x14ac:dyDescent="0.25">
      <c r="B34" s="230" t="s">
        <v>210</v>
      </c>
    </row>
    <row r="35" spans="2:14" ht="15.75" x14ac:dyDescent="0.25">
      <c r="B35" s="230" t="s">
        <v>211</v>
      </c>
    </row>
    <row r="36" spans="2:14" ht="15.75" x14ac:dyDescent="0.25">
      <c r="B36" s="230"/>
    </row>
    <row r="37" spans="2:14" ht="93.75" x14ac:dyDescent="0.25">
      <c r="B37" s="291" t="s">
        <v>433</v>
      </c>
      <c r="C37" s="291" t="s">
        <v>443</v>
      </c>
      <c r="D37" s="291" t="s">
        <v>444</v>
      </c>
      <c r="E37" s="291" t="s">
        <v>445</v>
      </c>
      <c r="F37" s="291" t="s">
        <v>446</v>
      </c>
      <c r="G37" s="291" t="s">
        <v>447</v>
      </c>
      <c r="H37" s="291" t="s">
        <v>218</v>
      </c>
      <c r="I37" s="291" t="s">
        <v>430</v>
      </c>
      <c r="J37" s="291" t="s">
        <v>431</v>
      </c>
      <c r="K37" s="292" t="s">
        <v>448</v>
      </c>
      <c r="M37" s="234">
        <v>833333.3</v>
      </c>
      <c r="N37" s="235">
        <v>860562.42</v>
      </c>
    </row>
    <row r="38" spans="2:14" ht="18.75" x14ac:dyDescent="0.25">
      <c r="B38" s="256" t="s">
        <v>54</v>
      </c>
      <c r="C38" s="257">
        <f>Sheet33!B13</f>
        <v>30</v>
      </c>
      <c r="D38" s="257">
        <f>Sheet33!G13</f>
        <v>1.0289351851851853</v>
      </c>
      <c r="E38" s="257">
        <f>Sheet33!F13</f>
        <v>0.99768518518518523</v>
      </c>
      <c r="F38" s="257">
        <f>Sheet33!M13</f>
        <v>0.11458333333333333</v>
      </c>
      <c r="G38" s="257">
        <f>Sheet33!H13</f>
        <v>5.1875</v>
      </c>
      <c r="H38" s="257">
        <f>C38-D38-E38-F38</f>
        <v>27.858796296296294</v>
      </c>
      <c r="I38" s="258">
        <f>H38/C38</f>
        <v>0.92862654320987648</v>
      </c>
      <c r="J38" s="293">
        <f>H38-G38</f>
        <v>22.671296296296294</v>
      </c>
      <c r="K38" s="258">
        <f>J38/C38</f>
        <v>0.75570987654320976</v>
      </c>
    </row>
    <row r="41" spans="2:14" x14ac:dyDescent="0.25">
      <c r="F41" s="138"/>
    </row>
    <row r="44" spans="2:14" ht="18.75" x14ac:dyDescent="0.3">
      <c r="I44" s="259" t="s">
        <v>53</v>
      </c>
      <c r="J44" s="259"/>
    </row>
    <row r="45" spans="2:14" ht="18.75" x14ac:dyDescent="0.3">
      <c r="I45" s="259" t="s">
        <v>110</v>
      </c>
      <c r="J45" s="259"/>
    </row>
    <row r="47" spans="2:14" ht="15.75" x14ac:dyDescent="0.25">
      <c r="B47" s="188" t="s">
        <v>419</v>
      </c>
    </row>
    <row r="48" spans="2:14" ht="15.75" x14ac:dyDescent="0.25">
      <c r="B48" s="188" t="s">
        <v>420</v>
      </c>
    </row>
    <row r="49" spans="2:14" ht="15.75" x14ac:dyDescent="0.25">
      <c r="B49" s="188" t="s">
        <v>421</v>
      </c>
    </row>
    <row r="51" spans="2:14" ht="20.25" x14ac:dyDescent="0.3">
      <c r="C51" s="228"/>
    </row>
    <row r="52" spans="2:14" ht="20.25" x14ac:dyDescent="0.3">
      <c r="C52" s="228"/>
    </row>
    <row r="57" spans="2:14" ht="45" x14ac:dyDescent="0.25">
      <c r="B57" s="245" t="s">
        <v>212</v>
      </c>
      <c r="C57" s="232" t="s">
        <v>213</v>
      </c>
      <c r="D57" s="232" t="s">
        <v>214</v>
      </c>
      <c r="E57" s="232" t="s">
        <v>215</v>
      </c>
      <c r="F57" s="232" t="s">
        <v>216</v>
      </c>
      <c r="G57" s="232" t="s">
        <v>217</v>
      </c>
      <c r="H57" s="232" t="s">
        <v>218</v>
      </c>
      <c r="I57" s="236" t="s">
        <v>219</v>
      </c>
      <c r="J57" s="236"/>
      <c r="K57" s="233" t="s">
        <v>220</v>
      </c>
      <c r="M57" s="234">
        <v>833333.3</v>
      </c>
      <c r="N57" s="235">
        <v>860562.42</v>
      </c>
    </row>
    <row r="58" spans="2:14" x14ac:dyDescent="0.25">
      <c r="B58" s="185" t="s">
        <v>54</v>
      </c>
      <c r="C58" s="185">
        <f>8*3*31</f>
        <v>744</v>
      </c>
      <c r="D58" s="237">
        <v>33.5</v>
      </c>
      <c r="E58" s="185">
        <v>80</v>
      </c>
      <c r="F58" s="185">
        <v>0.3</v>
      </c>
      <c r="G58" s="237">
        <v>108</v>
      </c>
      <c r="H58" s="237">
        <f>C58-(D58+E58+F58)</f>
        <v>630.20000000000005</v>
      </c>
      <c r="I58" s="238">
        <f>H58/C58</f>
        <v>0.84704301075268829</v>
      </c>
      <c r="J58" s="238"/>
      <c r="K58" s="238">
        <f>N57/M57</f>
        <v>1.0326749453069979</v>
      </c>
    </row>
    <row r="61" spans="2:14" x14ac:dyDescent="0.25">
      <c r="F61" s="138"/>
    </row>
    <row r="64" spans="2:14" x14ac:dyDescent="0.25">
      <c r="I64" t="s">
        <v>53</v>
      </c>
    </row>
    <row r="65" spans="9:9" x14ac:dyDescent="0.25">
      <c r="I65" t="s">
        <v>110</v>
      </c>
    </row>
  </sheetData>
  <pageMargins left="0.70866141732283472" right="0.70866141732283472" top="1.3385826771653544" bottom="0.74803149606299213" header="0.31496062992125984" footer="0.31496062992125984"/>
  <pageSetup paperSize="9" scale="37" orientation="landscape" horizontalDpi="180" verticalDpi="18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76"/>
  <sheetViews>
    <sheetView topLeftCell="A60" workbookViewId="0">
      <selection activeCell="N69" sqref="N69"/>
    </sheetView>
  </sheetViews>
  <sheetFormatPr defaultRowHeight="15" x14ac:dyDescent="0.25"/>
  <cols>
    <col min="2" max="3" width="11.28515625" customWidth="1"/>
    <col min="4" max="4" width="13.85546875" customWidth="1"/>
    <col min="5" max="5" width="14" customWidth="1"/>
    <col min="6" max="6" width="14.7109375" customWidth="1"/>
    <col min="7" max="7" width="13" customWidth="1"/>
    <col min="8" max="8" width="10.140625" customWidth="1"/>
    <col min="9" max="9" width="13.42578125" customWidth="1"/>
    <col min="10" max="10" width="13.85546875" customWidth="1"/>
    <col min="11" max="11" width="14.140625" customWidth="1"/>
    <col min="12" max="12" width="12.42578125" customWidth="1"/>
    <col min="13" max="13" width="16.140625" customWidth="1"/>
    <col min="14" max="14" width="14" customWidth="1"/>
  </cols>
  <sheetData>
    <row r="5" spans="2:13" ht="23.25" x14ac:dyDescent="0.35">
      <c r="B5" t="s">
        <v>207</v>
      </c>
      <c r="F5" s="260" t="s">
        <v>208</v>
      </c>
    </row>
    <row r="6" spans="2:13" ht="20.25" x14ac:dyDescent="0.3">
      <c r="B6" s="229"/>
      <c r="C6" s="229"/>
      <c r="D6" s="229"/>
      <c r="E6" s="229"/>
      <c r="F6" s="228" t="s">
        <v>209</v>
      </c>
      <c r="H6" s="229"/>
      <c r="I6" s="229"/>
      <c r="J6" s="229"/>
      <c r="K6" s="229"/>
      <c r="L6" s="229"/>
      <c r="M6" s="229"/>
    </row>
    <row r="8" spans="2:13" ht="26.25" x14ac:dyDescent="0.4">
      <c r="B8" s="230" t="s">
        <v>210</v>
      </c>
      <c r="C8" s="230"/>
      <c r="D8" s="188"/>
      <c r="E8" s="229"/>
      <c r="F8" s="231"/>
      <c r="G8" s="229"/>
      <c r="H8" s="229"/>
      <c r="I8" s="229"/>
      <c r="J8" s="229"/>
      <c r="K8" s="229"/>
      <c r="L8" s="229"/>
      <c r="M8" s="229"/>
    </row>
    <row r="9" spans="2:13" ht="26.25" x14ac:dyDescent="0.4">
      <c r="B9" s="230" t="s">
        <v>211</v>
      </c>
      <c r="C9" s="230"/>
      <c r="D9" s="188"/>
      <c r="E9" s="229"/>
      <c r="F9" s="231"/>
      <c r="G9" s="229"/>
      <c r="H9" s="229"/>
      <c r="I9" s="229"/>
      <c r="J9" s="229"/>
      <c r="K9" s="229"/>
      <c r="L9" s="229"/>
      <c r="M9" s="229"/>
    </row>
    <row r="10" spans="2:13" ht="21" thickBot="1" x14ac:dyDescent="0.35">
      <c r="B10" s="229"/>
      <c r="C10" s="229"/>
      <c r="D10" s="229"/>
      <c r="E10" s="229"/>
      <c r="F10" s="261" t="s">
        <v>403</v>
      </c>
      <c r="G10" s="229"/>
      <c r="H10" s="229"/>
      <c r="I10" s="229"/>
      <c r="J10" s="229"/>
      <c r="K10" s="229"/>
      <c r="L10" s="229"/>
      <c r="M10" s="229"/>
    </row>
    <row r="11" spans="2:13" ht="57.75" thickBot="1" x14ac:dyDescent="0.3">
      <c r="B11" s="262" t="s">
        <v>404</v>
      </c>
      <c r="C11" s="294"/>
      <c r="D11" s="263" t="s">
        <v>405</v>
      </c>
      <c r="E11" s="263" t="s">
        <v>406</v>
      </c>
      <c r="F11" s="263" t="s">
        <v>407</v>
      </c>
      <c r="G11" s="263" t="s">
        <v>408</v>
      </c>
      <c r="H11" s="263" t="s">
        <v>409</v>
      </c>
      <c r="I11" s="263" t="s">
        <v>410</v>
      </c>
      <c r="J11" s="263" t="s">
        <v>411</v>
      </c>
      <c r="K11" s="263" t="s">
        <v>412</v>
      </c>
      <c r="L11" s="263" t="s">
        <v>413</v>
      </c>
      <c r="M11" s="264" t="s">
        <v>414</v>
      </c>
    </row>
    <row r="12" spans="2:13" ht="23.25" x14ac:dyDescent="0.25">
      <c r="B12" s="265"/>
      <c r="C12" s="295"/>
      <c r="D12" s="266"/>
      <c r="E12" s="267"/>
      <c r="F12" s="267"/>
      <c r="G12" s="267"/>
      <c r="H12" s="268"/>
      <c r="I12" s="266"/>
      <c r="J12" s="267"/>
      <c r="K12" s="267"/>
      <c r="L12" s="267"/>
      <c r="M12" s="269"/>
    </row>
    <row r="13" spans="2:13" x14ac:dyDescent="0.25">
      <c r="B13" s="270" t="s">
        <v>55</v>
      </c>
      <c r="C13" s="266"/>
      <c r="D13" s="271">
        <v>833333.3</v>
      </c>
      <c r="E13" s="234">
        <v>800000</v>
      </c>
      <c r="F13" s="235">
        <v>862193.73</v>
      </c>
      <c r="G13" s="272" t="s">
        <v>415</v>
      </c>
      <c r="H13" s="273">
        <v>1</v>
      </c>
      <c r="I13" s="274">
        <f>F13/E13</f>
        <v>1.0777421624999999</v>
      </c>
      <c r="J13" s="275">
        <f>F13/D13</f>
        <v>1.0346325173853006</v>
      </c>
      <c r="K13" s="235">
        <v>888734.4</v>
      </c>
      <c r="L13" s="275">
        <v>-3.0779999999999998E-2</v>
      </c>
      <c r="M13" s="276">
        <v>27586.21</v>
      </c>
    </row>
    <row r="14" spans="2:13" ht="43.5" thickBot="1" x14ac:dyDescent="0.3">
      <c r="B14" s="277"/>
      <c r="C14" s="296"/>
      <c r="D14" s="278" t="s">
        <v>416</v>
      </c>
      <c r="E14" s="279"/>
      <c r="F14" s="280"/>
      <c r="G14" s="280"/>
      <c r="H14" s="281"/>
      <c r="I14" s="282"/>
      <c r="J14" s="283"/>
      <c r="K14" s="280"/>
      <c r="L14" s="283"/>
      <c r="M14" s="284"/>
    </row>
    <row r="15" spans="2:13" x14ac:dyDescent="0.25"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</row>
    <row r="16" spans="2:13" ht="15.75" x14ac:dyDescent="0.25">
      <c r="B16" s="230" t="s">
        <v>417</v>
      </c>
      <c r="C16" s="230"/>
      <c r="D16" s="285"/>
      <c r="E16" s="285"/>
      <c r="F16" s="285"/>
      <c r="G16" s="285"/>
      <c r="H16" s="285"/>
      <c r="I16" s="285"/>
      <c r="J16" s="285"/>
      <c r="K16" s="285"/>
      <c r="L16" s="285"/>
      <c r="M16" s="285"/>
    </row>
    <row r="17" spans="2:13" ht="18.75" x14ac:dyDescent="0.25">
      <c r="B17" s="286"/>
      <c r="C17" s="286"/>
      <c r="D17" s="285"/>
      <c r="E17" s="285"/>
      <c r="F17" s="285"/>
      <c r="G17" s="285"/>
      <c r="H17" s="285"/>
      <c r="I17" s="1"/>
      <c r="J17" s="285"/>
      <c r="K17" s="285"/>
      <c r="L17" s="285"/>
      <c r="M17" s="285"/>
    </row>
    <row r="18" spans="2:13" ht="15.75" x14ac:dyDescent="0.25">
      <c r="B18" s="285"/>
      <c r="C18" s="285"/>
      <c r="D18" s="285"/>
      <c r="E18" s="285"/>
      <c r="F18" s="285"/>
      <c r="G18" s="285"/>
      <c r="H18" s="285"/>
      <c r="I18" s="285"/>
      <c r="J18" s="285"/>
      <c r="L18" s="230" t="s">
        <v>53</v>
      </c>
      <c r="M18" s="285"/>
    </row>
    <row r="19" spans="2:13" ht="15.75" x14ac:dyDescent="0.25">
      <c r="B19" s="285"/>
      <c r="C19" s="285"/>
      <c r="D19" s="285"/>
      <c r="E19" s="285"/>
      <c r="F19" s="285"/>
      <c r="G19" s="285"/>
      <c r="H19" s="285"/>
      <c r="I19" s="285"/>
      <c r="J19" s="285"/>
      <c r="L19" s="230" t="s">
        <v>418</v>
      </c>
      <c r="M19" s="285"/>
    </row>
    <row r="20" spans="2:13" ht="15.75" x14ac:dyDescent="0.25">
      <c r="B20" s="188" t="s">
        <v>419</v>
      </c>
      <c r="C20" s="188"/>
      <c r="D20" s="287"/>
      <c r="E20" s="287"/>
      <c r="F20" s="229"/>
      <c r="G20" s="229"/>
      <c r="H20" s="229"/>
      <c r="I20" s="229"/>
      <c r="J20" s="229"/>
      <c r="K20" s="229"/>
      <c r="L20" s="229"/>
      <c r="M20" s="229"/>
    </row>
    <row r="21" spans="2:13" ht="15.75" x14ac:dyDescent="0.25">
      <c r="B21" s="188" t="s">
        <v>420</v>
      </c>
      <c r="C21" s="188"/>
      <c r="D21" s="288"/>
      <c r="E21" s="288"/>
      <c r="F21" s="289"/>
      <c r="G21" s="289"/>
      <c r="H21" s="289"/>
      <c r="I21" s="289"/>
      <c r="J21" s="289"/>
      <c r="K21" s="289"/>
      <c r="L21" s="289"/>
      <c r="M21" s="289"/>
    </row>
    <row r="22" spans="2:13" ht="15.75" x14ac:dyDescent="0.25">
      <c r="B22" s="188" t="s">
        <v>421</v>
      </c>
      <c r="C22" s="188"/>
      <c r="D22" s="289"/>
      <c r="E22" s="289"/>
      <c r="F22" s="289"/>
      <c r="G22" s="289"/>
      <c r="H22" s="289"/>
      <c r="I22" s="289"/>
      <c r="J22" s="289"/>
      <c r="K22" s="289"/>
      <c r="L22" s="289"/>
      <c r="M22" s="289"/>
    </row>
    <row r="30" spans="2:13" ht="23.25" x14ac:dyDescent="0.35">
      <c r="B30" t="s">
        <v>207</v>
      </c>
      <c r="F30" s="260" t="s">
        <v>208</v>
      </c>
    </row>
    <row r="31" spans="2:13" ht="20.25" x14ac:dyDescent="0.3">
      <c r="B31" s="229"/>
      <c r="C31" s="229"/>
      <c r="D31" s="229"/>
      <c r="E31" s="229"/>
      <c r="F31" s="228" t="s">
        <v>209</v>
      </c>
      <c r="H31" s="229"/>
      <c r="I31" s="229"/>
      <c r="J31" s="229"/>
      <c r="K31" s="229"/>
      <c r="L31" s="229"/>
      <c r="M31" s="229"/>
    </row>
    <row r="33" spans="2:13" ht="26.25" x14ac:dyDescent="0.4">
      <c r="B33" s="230" t="s">
        <v>210</v>
      </c>
      <c r="C33" s="230"/>
      <c r="D33" s="188"/>
      <c r="E33" s="229"/>
      <c r="F33" s="231"/>
      <c r="G33" s="229"/>
      <c r="H33" s="229"/>
      <c r="I33" s="229"/>
      <c r="J33" s="229"/>
      <c r="K33" s="229"/>
      <c r="L33" s="229"/>
      <c r="M33" s="229"/>
    </row>
    <row r="34" spans="2:13" ht="26.25" x14ac:dyDescent="0.4">
      <c r="B34" s="230" t="s">
        <v>211</v>
      </c>
      <c r="C34" s="230"/>
      <c r="D34" s="188"/>
      <c r="E34" s="229"/>
      <c r="F34" s="231"/>
      <c r="G34" s="229"/>
      <c r="H34" s="229"/>
      <c r="I34" s="229"/>
      <c r="J34" s="229"/>
      <c r="K34" s="229"/>
      <c r="L34" s="229"/>
      <c r="M34" s="229"/>
    </row>
    <row r="35" spans="2:13" ht="21" thickBot="1" x14ac:dyDescent="0.35">
      <c r="B35" s="229"/>
      <c r="C35" s="229"/>
      <c r="D35" s="229"/>
      <c r="E35" s="229"/>
      <c r="F35" s="261" t="s">
        <v>422</v>
      </c>
      <c r="G35" s="229"/>
      <c r="H35" s="229"/>
      <c r="I35" s="229"/>
      <c r="J35" s="229"/>
      <c r="K35" s="229"/>
      <c r="L35" s="229"/>
      <c r="M35" s="229"/>
    </row>
    <row r="36" spans="2:13" ht="57.75" thickBot="1" x14ac:dyDescent="0.3">
      <c r="B36" s="262" t="s">
        <v>404</v>
      </c>
      <c r="C36" s="294"/>
      <c r="D36" s="263" t="s">
        <v>405</v>
      </c>
      <c r="E36" s="263" t="s">
        <v>423</v>
      </c>
      <c r="F36" s="263" t="s">
        <v>424</v>
      </c>
      <c r="G36" s="263" t="s">
        <v>408</v>
      </c>
      <c r="H36" s="263" t="s">
        <v>409</v>
      </c>
      <c r="I36" s="263" t="s">
        <v>410</v>
      </c>
      <c r="J36" s="263" t="s">
        <v>411</v>
      </c>
      <c r="K36" s="263" t="s">
        <v>425</v>
      </c>
      <c r="L36" s="263" t="s">
        <v>413</v>
      </c>
      <c r="M36" s="264" t="s">
        <v>426</v>
      </c>
    </row>
    <row r="37" spans="2:13" ht="23.25" x14ac:dyDescent="0.25">
      <c r="B37" s="265"/>
      <c r="C37" s="295"/>
      <c r="D37" s="266"/>
      <c r="E37" s="267"/>
      <c r="F37" s="267"/>
      <c r="G37" s="267"/>
      <c r="H37" s="268"/>
      <c r="I37" s="266"/>
      <c r="J37" s="267"/>
      <c r="K37" s="267"/>
      <c r="L37" s="267"/>
      <c r="M37" s="269"/>
    </row>
    <row r="38" spans="2:13" x14ac:dyDescent="0.25">
      <c r="B38" s="270" t="s">
        <v>55</v>
      </c>
      <c r="C38" s="266"/>
      <c r="D38" s="271">
        <v>833333.3</v>
      </c>
      <c r="E38" s="234">
        <v>800000</v>
      </c>
      <c r="F38" s="235">
        <v>772986.59</v>
      </c>
      <c r="G38" s="272" t="s">
        <v>415</v>
      </c>
      <c r="H38" s="273">
        <v>1</v>
      </c>
      <c r="I38" s="274">
        <f>F38/E38</f>
        <v>0.96623323750000001</v>
      </c>
      <c r="J38" s="275">
        <f>F38/D38</f>
        <v>0.92758394510335773</v>
      </c>
      <c r="K38" s="235">
        <v>641154.82999999996</v>
      </c>
      <c r="L38" s="275">
        <f>F38/K38</f>
        <v>1.2056161067990394</v>
      </c>
      <c r="M38" s="276">
        <f>E38/31</f>
        <v>25806.451612903227</v>
      </c>
    </row>
    <row r="39" spans="2:13" ht="43.5" thickBot="1" x14ac:dyDescent="0.3">
      <c r="B39" s="277"/>
      <c r="C39" s="296"/>
      <c r="D39" s="278" t="s">
        <v>416</v>
      </c>
      <c r="E39" s="279"/>
      <c r="F39" s="280"/>
      <c r="G39" s="280"/>
      <c r="H39" s="281"/>
      <c r="I39" s="282"/>
      <c r="J39" s="283"/>
      <c r="K39" s="280"/>
      <c r="L39" s="283"/>
      <c r="M39" s="284"/>
    </row>
    <row r="40" spans="2:13" x14ac:dyDescent="0.25"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</row>
    <row r="41" spans="2:13" ht="15.75" x14ac:dyDescent="0.25">
      <c r="B41" s="230" t="s">
        <v>427</v>
      </c>
      <c r="C41" s="230"/>
      <c r="D41" s="285"/>
      <c r="E41" s="285"/>
      <c r="F41" s="285"/>
      <c r="G41" s="285"/>
      <c r="H41" s="285"/>
      <c r="I41" s="285"/>
      <c r="J41" s="285"/>
      <c r="K41" s="285"/>
      <c r="L41" s="285"/>
      <c r="M41" s="285"/>
    </row>
    <row r="42" spans="2:13" ht="18.75" x14ac:dyDescent="0.25">
      <c r="B42" s="286" t="s">
        <v>428</v>
      </c>
      <c r="C42" s="286"/>
      <c r="D42" s="285"/>
      <c r="E42" s="285"/>
      <c r="F42" s="285"/>
      <c r="G42" s="285"/>
      <c r="H42" s="285"/>
      <c r="I42" s="1"/>
      <c r="J42" s="285"/>
      <c r="K42" s="285"/>
      <c r="L42" s="285"/>
      <c r="M42" s="285"/>
    </row>
    <row r="43" spans="2:13" ht="18.75" x14ac:dyDescent="0.25">
      <c r="B43" s="286"/>
      <c r="C43" s="286"/>
      <c r="D43" s="285"/>
      <c r="E43" s="285"/>
      <c r="F43" s="285"/>
      <c r="G43" s="285"/>
      <c r="H43" s="285"/>
      <c r="I43" s="1"/>
      <c r="J43" s="285"/>
      <c r="K43" s="285"/>
      <c r="L43" s="285"/>
      <c r="M43" s="285"/>
    </row>
    <row r="44" spans="2:13" ht="18.75" x14ac:dyDescent="0.25">
      <c r="B44" s="286"/>
      <c r="C44" s="286"/>
      <c r="D44" s="285"/>
      <c r="E44" s="285"/>
      <c r="F44" s="285"/>
      <c r="G44" s="285"/>
      <c r="H44" s="285"/>
      <c r="I44" s="1"/>
      <c r="J44" s="285"/>
      <c r="K44" s="285"/>
      <c r="L44" s="285"/>
      <c r="M44" s="285"/>
    </row>
    <row r="45" spans="2:13" ht="15.75" x14ac:dyDescent="0.25">
      <c r="B45" s="285"/>
      <c r="C45" s="285"/>
      <c r="D45" s="285"/>
      <c r="E45" s="285"/>
      <c r="F45" s="285"/>
      <c r="G45" s="285"/>
      <c r="H45" s="285"/>
      <c r="I45" s="285"/>
      <c r="J45" s="285"/>
      <c r="L45" s="230" t="s">
        <v>53</v>
      </c>
      <c r="M45" s="285"/>
    </row>
    <row r="46" spans="2:13" ht="15.75" x14ac:dyDescent="0.25">
      <c r="B46" s="285"/>
      <c r="C46" s="285"/>
      <c r="D46" s="285"/>
      <c r="E46" s="285"/>
      <c r="F46" s="285"/>
      <c r="G46" s="285"/>
      <c r="H46" s="285"/>
      <c r="I46" s="285"/>
      <c r="J46" s="285"/>
      <c r="L46" s="230" t="s">
        <v>418</v>
      </c>
      <c r="M46" s="285"/>
    </row>
    <row r="47" spans="2:13" ht="15.75" x14ac:dyDescent="0.25">
      <c r="B47" s="188" t="s">
        <v>419</v>
      </c>
      <c r="C47" s="188"/>
      <c r="D47" s="287"/>
      <c r="E47" s="287"/>
      <c r="F47" s="229"/>
      <c r="G47" s="229"/>
      <c r="H47" s="229"/>
      <c r="I47" s="229"/>
      <c r="J47" s="229"/>
      <c r="K47" s="229"/>
      <c r="L47" s="229"/>
      <c r="M47" s="229"/>
    </row>
    <row r="48" spans="2:13" ht="15.75" x14ac:dyDescent="0.25">
      <c r="B48" s="188" t="s">
        <v>420</v>
      </c>
      <c r="C48" s="188"/>
      <c r="D48" s="288"/>
      <c r="E48" s="288"/>
      <c r="F48" s="289"/>
      <c r="G48" s="289"/>
      <c r="H48" s="289"/>
      <c r="I48" s="289"/>
      <c r="J48" s="289"/>
      <c r="K48" s="289"/>
      <c r="L48" s="289"/>
      <c r="M48" s="289"/>
    </row>
    <row r="49" spans="2:13" ht="15.75" x14ac:dyDescent="0.25">
      <c r="B49" s="188" t="s">
        <v>421</v>
      </c>
      <c r="C49" s="188"/>
      <c r="D49" s="289"/>
      <c r="E49" s="289"/>
      <c r="F49" s="289"/>
      <c r="G49" s="289"/>
      <c r="H49" s="289"/>
      <c r="I49" s="289"/>
      <c r="J49" s="289"/>
      <c r="K49" s="289"/>
      <c r="L49" s="289"/>
      <c r="M49" s="289"/>
    </row>
    <row r="57" spans="2:13" ht="23.25" x14ac:dyDescent="0.35">
      <c r="B57" t="s">
        <v>207</v>
      </c>
      <c r="F57" s="260" t="s">
        <v>208</v>
      </c>
    </row>
    <row r="58" spans="2:13" ht="20.25" x14ac:dyDescent="0.3">
      <c r="B58" s="229"/>
      <c r="C58" s="229"/>
      <c r="D58" s="229"/>
      <c r="E58" s="229"/>
      <c r="F58" s="228" t="s">
        <v>209</v>
      </c>
      <c r="H58" s="229"/>
      <c r="I58" s="229"/>
      <c r="J58" s="229"/>
      <c r="K58" s="229"/>
      <c r="L58" s="229"/>
      <c r="M58" s="229"/>
    </row>
    <row r="60" spans="2:13" ht="26.25" x14ac:dyDescent="0.4">
      <c r="B60" s="230" t="s">
        <v>210</v>
      </c>
      <c r="C60" s="230"/>
      <c r="D60" s="188"/>
      <c r="E60" s="229"/>
      <c r="F60" s="231"/>
      <c r="G60" s="229"/>
      <c r="H60" s="229"/>
      <c r="I60" s="229"/>
      <c r="J60" s="229"/>
      <c r="K60" s="229"/>
      <c r="L60" s="229"/>
      <c r="M60" s="229"/>
    </row>
    <row r="61" spans="2:13" ht="26.25" x14ac:dyDescent="0.4">
      <c r="B61" s="230" t="s">
        <v>211</v>
      </c>
      <c r="C61" s="230"/>
      <c r="D61" s="188"/>
      <c r="E61" s="229"/>
      <c r="F61" s="231"/>
      <c r="G61" s="229"/>
      <c r="H61" s="229"/>
      <c r="I61" s="229"/>
      <c r="J61" s="229"/>
      <c r="K61" s="229"/>
      <c r="L61" s="229"/>
      <c r="M61" s="229"/>
    </row>
    <row r="62" spans="2:13" ht="21" thickBot="1" x14ac:dyDescent="0.35">
      <c r="B62" s="229"/>
      <c r="C62" s="229"/>
      <c r="D62" s="261" t="s">
        <v>434</v>
      </c>
      <c r="E62" s="229"/>
      <c r="G62" s="229"/>
      <c r="H62" s="229"/>
      <c r="I62" s="229"/>
      <c r="J62" s="229"/>
      <c r="K62" s="229"/>
      <c r="L62" s="229"/>
      <c r="M62" s="229"/>
    </row>
    <row r="63" spans="2:13" ht="57.75" thickBot="1" x14ac:dyDescent="0.3">
      <c r="B63" s="262" t="s">
        <v>404</v>
      </c>
      <c r="C63" s="297" t="s">
        <v>436</v>
      </c>
      <c r="D63" s="263" t="s">
        <v>438</v>
      </c>
      <c r="E63" s="263" t="s">
        <v>441</v>
      </c>
      <c r="F63" s="263" t="s">
        <v>442</v>
      </c>
      <c r="G63" s="263" t="s">
        <v>408</v>
      </c>
      <c r="H63" s="263" t="s">
        <v>409</v>
      </c>
      <c r="I63" s="263" t="s">
        <v>410</v>
      </c>
      <c r="J63" s="263" t="s">
        <v>411</v>
      </c>
      <c r="K63" s="263" t="s">
        <v>439</v>
      </c>
      <c r="L63" s="263" t="s">
        <v>413</v>
      </c>
      <c r="M63" s="264" t="s">
        <v>440</v>
      </c>
    </row>
    <row r="64" spans="2:13" ht="23.25" x14ac:dyDescent="0.25">
      <c r="B64" s="265"/>
      <c r="C64" s="295"/>
      <c r="D64" s="266"/>
      <c r="E64" s="267"/>
      <c r="F64" s="267"/>
      <c r="G64" s="267"/>
      <c r="H64" s="268"/>
      <c r="I64" s="266"/>
      <c r="J64" s="267"/>
      <c r="K64" s="267"/>
      <c r="L64" s="267"/>
      <c r="M64" s="269"/>
    </row>
    <row r="65" spans="2:13" x14ac:dyDescent="0.25">
      <c r="B65" s="270" t="s">
        <v>55</v>
      </c>
      <c r="C65" s="266" t="s">
        <v>437</v>
      </c>
      <c r="D65" s="271">
        <v>833333.3</v>
      </c>
      <c r="E65" s="234">
        <v>1060000</v>
      </c>
      <c r="F65" s="235">
        <v>929100.47</v>
      </c>
      <c r="G65" s="272" t="s">
        <v>415</v>
      </c>
      <c r="H65" s="273">
        <v>1</v>
      </c>
      <c r="I65" s="274">
        <f>F65/E65</f>
        <v>0.87650987735849051</v>
      </c>
      <c r="J65" s="275">
        <f>F65/D65</f>
        <v>1.1149206085968242</v>
      </c>
      <c r="K65" s="235">
        <v>928091.1</v>
      </c>
      <c r="L65" s="275">
        <f>(F65-K65)/K65</f>
        <v>1.0875764243402349E-3</v>
      </c>
      <c r="M65" s="276">
        <f>1080000/31</f>
        <v>34838.709677419356</v>
      </c>
    </row>
    <row r="66" spans="2:13" ht="15.75" thickBot="1" x14ac:dyDescent="0.3">
      <c r="B66" s="277"/>
      <c r="C66" s="296"/>
      <c r="D66" s="278"/>
      <c r="E66" s="279"/>
      <c r="F66" s="280"/>
      <c r="G66" s="280"/>
      <c r="H66" s="281"/>
      <c r="I66" s="282"/>
      <c r="J66" s="283"/>
      <c r="K66" s="280"/>
      <c r="L66" s="283"/>
      <c r="M66" s="284"/>
    </row>
    <row r="67" spans="2:13" x14ac:dyDescent="0.25"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</row>
    <row r="68" spans="2:13" ht="15.75" x14ac:dyDescent="0.25">
      <c r="B68" s="230" t="s">
        <v>429</v>
      </c>
      <c r="C68" s="230"/>
      <c r="D68" s="285"/>
      <c r="E68" s="285"/>
      <c r="F68" s="285"/>
      <c r="G68" s="285"/>
      <c r="H68" s="285"/>
      <c r="I68" s="285"/>
      <c r="J68" s="285"/>
      <c r="K68" s="285"/>
      <c r="L68" s="285"/>
      <c r="M68" s="285"/>
    </row>
    <row r="69" spans="2:13" ht="18.75" x14ac:dyDescent="0.25">
      <c r="B69" s="286" t="s">
        <v>428</v>
      </c>
      <c r="C69" s="286"/>
      <c r="D69" s="285"/>
      <c r="E69" s="285"/>
      <c r="F69" s="285"/>
      <c r="G69" s="285"/>
      <c r="H69" s="285"/>
      <c r="I69" s="1"/>
      <c r="J69" s="285"/>
      <c r="K69" s="285"/>
      <c r="L69" s="285"/>
      <c r="M69" s="285"/>
    </row>
    <row r="70" spans="2:13" ht="18.75" x14ac:dyDescent="0.25">
      <c r="B70" s="286"/>
      <c r="C70" s="286"/>
      <c r="D70" s="285"/>
      <c r="E70" s="285"/>
      <c r="F70" s="285"/>
      <c r="G70" s="285"/>
      <c r="H70" s="285"/>
      <c r="I70" s="1"/>
      <c r="J70" s="285"/>
      <c r="K70" s="285"/>
      <c r="L70" s="285"/>
      <c r="M70" s="285"/>
    </row>
    <row r="71" spans="2:13" ht="18.75" x14ac:dyDescent="0.25">
      <c r="B71" s="286"/>
      <c r="C71" s="286"/>
      <c r="D71" s="285"/>
      <c r="E71" s="285"/>
      <c r="F71" s="285"/>
      <c r="G71" s="285"/>
      <c r="H71" s="285"/>
      <c r="I71" s="1"/>
      <c r="J71" s="285"/>
      <c r="K71" s="285"/>
      <c r="L71" s="285"/>
      <c r="M71" s="285"/>
    </row>
    <row r="72" spans="2:13" ht="15.75" x14ac:dyDescent="0.25">
      <c r="B72" s="285"/>
      <c r="C72" s="285"/>
      <c r="D72" s="285"/>
      <c r="E72" s="285"/>
      <c r="F72" s="285"/>
      <c r="G72" s="285"/>
      <c r="H72" s="285"/>
      <c r="I72" s="285"/>
      <c r="J72" s="285"/>
      <c r="L72" s="230" t="s">
        <v>53</v>
      </c>
      <c r="M72" s="285"/>
    </row>
    <row r="73" spans="2:13" ht="15.75" x14ac:dyDescent="0.25">
      <c r="B73" s="285"/>
      <c r="C73" s="285"/>
      <c r="D73" s="285"/>
      <c r="E73" s="285"/>
      <c r="F73" s="285"/>
      <c r="G73" s="285"/>
      <c r="H73" s="285"/>
      <c r="I73" s="285"/>
      <c r="J73" s="285"/>
      <c r="L73" s="230" t="s">
        <v>418</v>
      </c>
      <c r="M73" s="285"/>
    </row>
    <row r="74" spans="2:13" ht="15.75" x14ac:dyDescent="0.25">
      <c r="B74" s="188" t="s">
        <v>419</v>
      </c>
      <c r="C74" s="188"/>
      <c r="D74" s="287"/>
      <c r="E74" s="287"/>
      <c r="F74" s="229"/>
      <c r="G74" s="229"/>
      <c r="H74" s="229"/>
      <c r="I74" s="229"/>
      <c r="J74" s="229"/>
      <c r="K74" s="229"/>
      <c r="L74" s="229"/>
      <c r="M74" s="229"/>
    </row>
    <row r="75" spans="2:13" ht="15.75" x14ac:dyDescent="0.25">
      <c r="B75" s="188" t="s">
        <v>420</v>
      </c>
      <c r="C75" s="188"/>
      <c r="D75" s="288"/>
      <c r="E75" s="288"/>
      <c r="F75" s="289"/>
      <c r="G75" s="289"/>
      <c r="H75" s="289"/>
      <c r="I75" s="289"/>
      <c r="J75" s="289"/>
      <c r="K75" s="289"/>
      <c r="L75" s="289"/>
      <c r="M75" s="289"/>
    </row>
    <row r="76" spans="2:13" ht="15.75" x14ac:dyDescent="0.25">
      <c r="B76" s="188" t="s">
        <v>421</v>
      </c>
      <c r="C76" s="188"/>
      <c r="D76" s="289"/>
      <c r="E76" s="289"/>
      <c r="F76" s="289"/>
      <c r="G76" s="289"/>
      <c r="H76" s="289"/>
      <c r="I76" s="289"/>
      <c r="J76" s="289"/>
      <c r="K76" s="289"/>
      <c r="L76" s="289"/>
      <c r="M76" s="289"/>
    </row>
  </sheetData>
  <pageMargins left="0.70866141732283472" right="0.70866141732283472" top="0.74803149606299213" bottom="0.74803149606299213" header="0.31496062992125984" footer="0.31496062992125984"/>
  <pageSetup paperSize="9" scale="32" orientation="landscape" horizontalDpi="180" verticalDpi="18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22"/>
  <sheetViews>
    <sheetView topLeftCell="A5" workbookViewId="0">
      <selection activeCell="B4" sqref="B4:M22"/>
    </sheetView>
  </sheetViews>
  <sheetFormatPr defaultRowHeight="15" x14ac:dyDescent="0.25"/>
  <cols>
    <col min="2" max="3" width="11.28515625" customWidth="1"/>
    <col min="4" max="4" width="13.85546875" customWidth="1"/>
    <col min="5" max="5" width="14" customWidth="1"/>
    <col min="6" max="6" width="14.7109375" customWidth="1"/>
    <col min="7" max="7" width="13" customWidth="1"/>
    <col min="8" max="8" width="10.140625" customWidth="1"/>
    <col min="9" max="9" width="13.42578125" customWidth="1"/>
    <col min="10" max="10" width="13.85546875" customWidth="1"/>
    <col min="11" max="11" width="14.140625" customWidth="1"/>
    <col min="12" max="12" width="12.42578125" customWidth="1"/>
    <col min="13" max="13" width="16.140625" customWidth="1"/>
    <col min="14" max="14" width="14" customWidth="1"/>
  </cols>
  <sheetData>
    <row r="3" spans="2:13" ht="23.25" x14ac:dyDescent="0.35">
      <c r="B3" t="s">
        <v>207</v>
      </c>
      <c r="F3" s="260" t="s">
        <v>208</v>
      </c>
    </row>
    <row r="4" spans="2:13" ht="20.25" x14ac:dyDescent="0.3">
      <c r="B4" s="229"/>
      <c r="C4" s="229"/>
      <c r="D4" s="229"/>
      <c r="E4" s="229"/>
      <c r="F4" s="228" t="s">
        <v>209</v>
      </c>
      <c r="H4" s="229"/>
      <c r="I4" s="229"/>
      <c r="J4" s="229"/>
      <c r="K4" s="229"/>
      <c r="L4" s="229"/>
      <c r="M4" s="229"/>
    </row>
    <row r="6" spans="2:13" ht="26.25" x14ac:dyDescent="0.4">
      <c r="B6" s="230" t="s">
        <v>210</v>
      </c>
      <c r="C6" s="230"/>
      <c r="D6" s="188"/>
      <c r="E6" s="229"/>
      <c r="F6" s="231"/>
      <c r="G6" s="229"/>
      <c r="H6" s="229"/>
      <c r="I6" s="229"/>
      <c r="J6" s="229"/>
      <c r="K6" s="229"/>
      <c r="L6" s="229"/>
      <c r="M6" s="229"/>
    </row>
    <row r="7" spans="2:13" ht="26.25" x14ac:dyDescent="0.4">
      <c r="B7" s="230" t="s">
        <v>211</v>
      </c>
      <c r="C7" s="230"/>
      <c r="D7" s="188"/>
      <c r="E7" s="229"/>
      <c r="F7" s="231"/>
      <c r="G7" s="229"/>
      <c r="H7" s="229"/>
      <c r="I7" s="229"/>
      <c r="J7" s="229"/>
      <c r="K7" s="229"/>
      <c r="L7" s="229"/>
      <c r="M7" s="229"/>
    </row>
    <row r="8" spans="2:13" ht="21" thickBot="1" x14ac:dyDescent="0.35">
      <c r="B8" s="229"/>
      <c r="C8" s="229"/>
      <c r="D8" s="261" t="s">
        <v>452</v>
      </c>
      <c r="E8" s="229"/>
      <c r="G8" s="229"/>
      <c r="H8" s="229"/>
      <c r="I8" s="229"/>
      <c r="J8" s="229"/>
      <c r="K8" s="229"/>
      <c r="L8" s="229"/>
      <c r="M8" s="229"/>
    </row>
    <row r="9" spans="2:13" ht="57.75" thickBot="1" x14ac:dyDescent="0.3">
      <c r="B9" s="262" t="s">
        <v>404</v>
      </c>
      <c r="C9" s="297" t="s">
        <v>436</v>
      </c>
      <c r="D9" s="263" t="s">
        <v>438</v>
      </c>
      <c r="E9" s="263" t="s">
        <v>453</v>
      </c>
      <c r="F9" s="263" t="s">
        <v>454</v>
      </c>
      <c r="G9" s="263" t="s">
        <v>408</v>
      </c>
      <c r="H9" s="263" t="s">
        <v>409</v>
      </c>
      <c r="I9" s="263" t="s">
        <v>410</v>
      </c>
      <c r="J9" s="263" t="s">
        <v>411</v>
      </c>
      <c r="K9" s="263" t="s">
        <v>455</v>
      </c>
      <c r="L9" s="263" t="s">
        <v>413</v>
      </c>
      <c r="M9" s="264" t="s">
        <v>456</v>
      </c>
    </row>
    <row r="10" spans="2:13" ht="23.25" x14ac:dyDescent="0.25">
      <c r="B10" s="265"/>
      <c r="C10" s="295"/>
      <c r="D10" s="266"/>
      <c r="E10" s="267"/>
      <c r="F10" s="267"/>
      <c r="G10" s="267"/>
      <c r="H10" s="268"/>
      <c r="I10" s="266"/>
      <c r="J10" s="267"/>
      <c r="K10" s="267"/>
      <c r="L10" s="267"/>
      <c r="M10" s="269"/>
    </row>
    <row r="11" spans="2:13" x14ac:dyDescent="0.25">
      <c r="B11" s="270" t="s">
        <v>55</v>
      </c>
      <c r="C11" s="266" t="s">
        <v>437</v>
      </c>
      <c r="D11" s="271">
        <v>833333.3</v>
      </c>
      <c r="E11" s="234">
        <v>990000</v>
      </c>
      <c r="F11" s="235">
        <v>982258.04</v>
      </c>
      <c r="G11" s="272" t="s">
        <v>415</v>
      </c>
      <c r="H11" s="273">
        <v>1</v>
      </c>
      <c r="I11" s="274">
        <f>F11/E11</f>
        <v>0.99217983838383839</v>
      </c>
      <c r="J11" s="275">
        <f>F11/D11</f>
        <v>1.1787096951483877</v>
      </c>
      <c r="K11" s="235">
        <v>1022191.47</v>
      </c>
      <c r="L11" s="275">
        <f>(F11-K11)/K11</f>
        <v>-3.9066487220833425E-2</v>
      </c>
      <c r="M11" s="276">
        <f>E11/31</f>
        <v>31935.483870967742</v>
      </c>
    </row>
    <row r="12" spans="2:13" ht="15.75" thickBot="1" x14ac:dyDescent="0.3">
      <c r="B12" s="277"/>
      <c r="C12" s="296"/>
      <c r="D12" s="278"/>
      <c r="E12" s="279"/>
      <c r="F12" s="280"/>
      <c r="G12" s="280"/>
      <c r="H12" s="281"/>
      <c r="I12" s="282"/>
      <c r="J12" s="283"/>
      <c r="K12" s="280"/>
      <c r="L12" s="283"/>
      <c r="M12" s="284"/>
    </row>
    <row r="13" spans="2:13" x14ac:dyDescent="0.25"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5"/>
    </row>
    <row r="14" spans="2:13" ht="15.75" x14ac:dyDescent="0.25">
      <c r="B14" s="230" t="s">
        <v>457</v>
      </c>
      <c r="C14" s="230"/>
      <c r="D14" s="285"/>
      <c r="E14" s="285"/>
      <c r="F14" s="285"/>
      <c r="G14" s="285"/>
      <c r="H14" s="285"/>
      <c r="I14" s="285"/>
      <c r="J14" s="285"/>
      <c r="K14" s="285"/>
      <c r="L14" s="285"/>
      <c r="M14" s="285"/>
    </row>
    <row r="15" spans="2:13" ht="18.75" x14ac:dyDescent="0.25">
      <c r="B15" s="286" t="s">
        <v>458</v>
      </c>
      <c r="C15" s="286"/>
      <c r="D15" s="285"/>
      <c r="E15" s="285"/>
      <c r="F15" s="285"/>
      <c r="G15" s="285"/>
      <c r="H15" s="285"/>
      <c r="I15" s="1"/>
      <c r="J15" s="285"/>
      <c r="K15" s="285"/>
      <c r="L15" s="285"/>
      <c r="M15" s="285"/>
    </row>
    <row r="16" spans="2:13" ht="18.75" x14ac:dyDescent="0.25">
      <c r="B16" s="286"/>
      <c r="C16" s="286"/>
      <c r="D16" s="285"/>
      <c r="E16" s="285"/>
      <c r="F16" s="285"/>
      <c r="G16" s="285"/>
      <c r="H16" s="285"/>
      <c r="I16" s="1"/>
      <c r="J16" s="285"/>
      <c r="K16" s="285"/>
      <c r="L16" s="285"/>
      <c r="M16" s="285"/>
    </row>
    <row r="17" spans="2:13" ht="18.75" x14ac:dyDescent="0.25">
      <c r="B17" s="286"/>
      <c r="C17" s="286"/>
      <c r="D17" s="285"/>
      <c r="E17" s="285"/>
      <c r="F17" s="285"/>
      <c r="G17" s="285"/>
      <c r="H17" s="285"/>
      <c r="I17" s="1"/>
      <c r="J17" s="285"/>
      <c r="K17" s="285"/>
      <c r="L17" s="285"/>
      <c r="M17" s="285"/>
    </row>
    <row r="18" spans="2:13" ht="15.75" x14ac:dyDescent="0.25">
      <c r="B18" s="285"/>
      <c r="C18" s="285"/>
      <c r="D18" s="285"/>
      <c r="E18" s="285"/>
      <c r="F18" s="285"/>
      <c r="G18" s="285"/>
      <c r="H18" s="285"/>
      <c r="I18" s="285"/>
      <c r="J18" s="285"/>
      <c r="L18" s="230" t="s">
        <v>53</v>
      </c>
      <c r="M18" s="285"/>
    </row>
    <row r="19" spans="2:13" ht="15.75" x14ac:dyDescent="0.25">
      <c r="B19" s="285"/>
      <c r="C19" s="285"/>
      <c r="D19" s="285"/>
      <c r="E19" s="285"/>
      <c r="F19" s="285"/>
      <c r="G19" s="285"/>
      <c r="H19" s="285"/>
      <c r="I19" s="285"/>
      <c r="J19" s="285"/>
      <c r="L19" s="230" t="s">
        <v>418</v>
      </c>
      <c r="M19" s="285"/>
    </row>
    <row r="20" spans="2:13" ht="15.75" x14ac:dyDescent="0.25">
      <c r="B20" s="188" t="s">
        <v>419</v>
      </c>
      <c r="C20" s="188"/>
      <c r="D20" s="287"/>
      <c r="E20" s="287"/>
      <c r="F20" s="229"/>
      <c r="G20" s="229"/>
      <c r="H20" s="229"/>
      <c r="I20" s="229"/>
      <c r="J20" s="229"/>
      <c r="K20" s="229"/>
      <c r="L20" s="229"/>
      <c r="M20" s="229"/>
    </row>
    <row r="21" spans="2:13" ht="15.75" x14ac:dyDescent="0.25">
      <c r="B21" s="188" t="s">
        <v>420</v>
      </c>
      <c r="C21" s="188"/>
      <c r="D21" s="288"/>
      <c r="E21" s="288"/>
      <c r="F21" s="289"/>
      <c r="G21" s="289"/>
      <c r="H21" s="289"/>
      <c r="I21" s="289"/>
      <c r="J21" s="289"/>
      <c r="K21" s="289"/>
      <c r="L21" s="289"/>
      <c r="M21" s="289"/>
    </row>
    <row r="22" spans="2:13" ht="15.75" x14ac:dyDescent="0.25">
      <c r="B22" s="188" t="s">
        <v>421</v>
      </c>
      <c r="C22" s="188"/>
      <c r="D22" s="289"/>
      <c r="E22" s="289"/>
      <c r="F22" s="289"/>
      <c r="G22" s="289"/>
      <c r="H22" s="289"/>
      <c r="I22" s="289"/>
      <c r="J22" s="289"/>
      <c r="K22" s="289"/>
      <c r="L22" s="289"/>
      <c r="M22" s="289"/>
    </row>
  </sheetData>
  <pageMargins left="0.70866141732283472" right="0.70866141732283472" top="0.74803149606299213" bottom="0.74803149606299213" header="0.31496062992125984" footer="0.31496062992125984"/>
  <pageSetup paperSize="9" scale="78" orientation="landscape" horizontalDpi="180" verticalDpi="18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7.7109375" customWidth="1"/>
  </cols>
  <sheetData>
    <row r="1" spans="1:1" x14ac:dyDescent="0.25">
      <c r="A1">
        <v>86800</v>
      </c>
    </row>
    <row r="2" spans="1:1" x14ac:dyDescent="0.25">
      <c r="A2">
        <v>16475</v>
      </c>
    </row>
    <row r="3" spans="1:1" x14ac:dyDescent="0.25">
      <c r="A3">
        <f>SUM(A1:A2)</f>
        <v>103275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8" workbookViewId="0">
      <selection activeCell="I21" sqref="I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20.42578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236</v>
      </c>
    </row>
    <row r="3" spans="1:17" ht="28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27</v>
      </c>
      <c r="E4" s="22">
        <v>33</v>
      </c>
      <c r="F4" s="22">
        <v>38</v>
      </c>
      <c r="G4" s="22">
        <v>29</v>
      </c>
      <c r="H4" s="22">
        <v>23</v>
      </c>
      <c r="I4" s="22">
        <v>20</v>
      </c>
      <c r="J4" s="22">
        <v>26</v>
      </c>
      <c r="K4" s="22">
        <v>115</v>
      </c>
      <c r="L4" s="22">
        <v>81</v>
      </c>
      <c r="M4" s="93">
        <f t="shared" ref="M4" si="0">K4+L4</f>
        <v>196</v>
      </c>
      <c r="N4" s="104"/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>
        <v>2</v>
      </c>
      <c r="G5" s="22">
        <v>5</v>
      </c>
      <c r="H5" s="22">
        <v>3</v>
      </c>
      <c r="I5" s="22"/>
      <c r="J5" s="22"/>
      <c r="K5" s="22">
        <v>0</v>
      </c>
      <c r="L5" s="22">
        <v>10</v>
      </c>
      <c r="M5" s="93">
        <f t="shared" ref="M5:M7" si="1">K5+L5</f>
        <v>10</v>
      </c>
      <c r="N5" s="104"/>
      <c r="O5" s="66"/>
      <c r="P5" s="66"/>
      <c r="Q5" s="66">
        <f t="shared" ref="Q5" si="2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1"/>
        <v>0</v>
      </c>
      <c r="N6" s="104"/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>
        <v>2</v>
      </c>
      <c r="E7" s="22"/>
      <c r="F7" s="22"/>
      <c r="G7" s="22"/>
      <c r="H7" s="22"/>
      <c r="I7" s="22">
        <v>6</v>
      </c>
      <c r="J7" s="22">
        <v>6</v>
      </c>
      <c r="K7" s="22">
        <v>9</v>
      </c>
      <c r="L7" s="22">
        <v>5</v>
      </c>
      <c r="M7" s="93">
        <f t="shared" si="1"/>
        <v>14</v>
      </c>
      <c r="N7" s="104"/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5" customHeight="1" x14ac:dyDescent="0.25">
      <c r="A9" s="33"/>
      <c r="B9" s="34" t="s">
        <v>14</v>
      </c>
      <c r="C9" s="22"/>
      <c r="D9" s="22">
        <v>28</v>
      </c>
      <c r="E9" s="22">
        <v>26</v>
      </c>
      <c r="F9" s="22">
        <v>29</v>
      </c>
      <c r="G9" s="22">
        <v>27</v>
      </c>
      <c r="H9" s="22">
        <v>28</v>
      </c>
      <c r="I9" s="22">
        <v>32</v>
      </c>
      <c r="J9" s="22">
        <v>30</v>
      </c>
      <c r="K9" s="22">
        <v>145</v>
      </c>
      <c r="L9" s="22">
        <v>55</v>
      </c>
      <c r="M9" s="93">
        <f t="shared" ref="M9:M12" si="3">K9+L9</f>
        <v>200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3"/>
        <v>0</v>
      </c>
      <c r="N10" s="82" t="s">
        <v>57</v>
      </c>
      <c r="O10" s="303" t="s">
        <v>159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>
        <v>3</v>
      </c>
      <c r="J11" s="22">
        <v>2</v>
      </c>
      <c r="K11" s="22">
        <v>5</v>
      </c>
      <c r="L11" s="22">
        <v>0</v>
      </c>
      <c r="M11" s="93">
        <f t="shared" si="3"/>
        <v>5</v>
      </c>
      <c r="N11" s="82" t="s">
        <v>57</v>
      </c>
      <c r="O11" s="82"/>
      <c r="P11" s="82"/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>
        <v>2</v>
      </c>
      <c r="F12" s="22">
        <v>2</v>
      </c>
      <c r="G12" s="22"/>
      <c r="H12" s="22"/>
      <c r="I12" s="22">
        <v>3</v>
      </c>
      <c r="J12" s="22">
        <v>1</v>
      </c>
      <c r="K12" s="22">
        <v>8</v>
      </c>
      <c r="L12" s="22">
        <v>0</v>
      </c>
      <c r="M12" s="93">
        <f t="shared" si="3"/>
        <v>8</v>
      </c>
      <c r="N12" s="82"/>
      <c r="O12" s="82"/>
      <c r="P12" s="82"/>
      <c r="Q12" s="37"/>
    </row>
    <row r="13" spans="1:17" ht="33.7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36</v>
      </c>
      <c r="E14" s="22">
        <v>42</v>
      </c>
      <c r="F14" s="22">
        <v>45</v>
      </c>
      <c r="G14" s="22">
        <v>45</v>
      </c>
      <c r="H14" s="22">
        <v>37</v>
      </c>
      <c r="I14" s="22">
        <v>39</v>
      </c>
      <c r="J14" s="22">
        <v>35</v>
      </c>
      <c r="K14" s="22">
        <v>199</v>
      </c>
      <c r="L14" s="22">
        <v>80</v>
      </c>
      <c r="M14" s="93">
        <f t="shared" ref="M14:M17" si="4">K14+L14</f>
        <v>279</v>
      </c>
      <c r="N14" s="103"/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/>
      <c r="O15" s="101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/>
      <c r="O16" s="311" t="s">
        <v>192</v>
      </c>
      <c r="P16" s="308"/>
      <c r="Q16" s="37"/>
    </row>
    <row r="17" spans="1:20" ht="17.25" customHeight="1" x14ac:dyDescent="0.25">
      <c r="A17" s="37"/>
      <c r="B17" s="21" t="s">
        <v>19</v>
      </c>
      <c r="C17" s="22"/>
      <c r="D17" s="22">
        <v>1</v>
      </c>
      <c r="E17" s="22">
        <v>1</v>
      </c>
      <c r="F17" s="22"/>
      <c r="G17" s="22"/>
      <c r="H17" s="22"/>
      <c r="I17" s="22"/>
      <c r="J17" s="22"/>
      <c r="K17" s="22">
        <v>2</v>
      </c>
      <c r="L17" s="22">
        <v>0</v>
      </c>
      <c r="M17" s="93">
        <f t="shared" si="4"/>
        <v>2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675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10</v>
      </c>
      <c r="O19" s="69">
        <v>811.54</v>
      </c>
      <c r="P19" s="46" t="s">
        <v>230</v>
      </c>
      <c r="Q19" s="65" t="s">
        <v>237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5</v>
      </c>
      <c r="O20" s="77" t="s">
        <v>65</v>
      </c>
      <c r="P20" s="75">
        <v>60</v>
      </c>
      <c r="Q20" s="65">
        <v>4183.21</v>
      </c>
    </row>
    <row r="21" spans="1:20" ht="25.5" customHeight="1" x14ac:dyDescent="0.25">
      <c r="A21" s="16" t="s">
        <v>46</v>
      </c>
      <c r="B21" s="66">
        <v>206.28125</v>
      </c>
      <c r="C21" s="66">
        <v>206.54166666666666</v>
      </c>
      <c r="D21" s="66">
        <f t="shared" ref="D21:D22" si="5">C21-B21</f>
        <v>0.26041666666665719</v>
      </c>
      <c r="E21" s="66">
        <v>206.64236111111111</v>
      </c>
      <c r="F21" s="66">
        <v>206.875</v>
      </c>
      <c r="G21" s="66">
        <f>F21-E21</f>
        <v>0.23263888888888573</v>
      </c>
      <c r="H21" s="66">
        <v>206.95833333333334</v>
      </c>
      <c r="I21" s="66">
        <v>207.20833333333334</v>
      </c>
      <c r="J21" s="71">
        <f>I21-H21-K21</f>
        <v>0.25</v>
      </c>
      <c r="K21" s="66"/>
      <c r="L21" s="73">
        <f>D21+G21+J21</f>
        <v>0.74305555555554292</v>
      </c>
      <c r="M21" s="154" t="s">
        <v>47</v>
      </c>
      <c r="N21" s="65">
        <f>M17+M12+M7</f>
        <v>24</v>
      </c>
      <c r="O21" s="78" t="s">
        <v>69</v>
      </c>
      <c r="P21" s="75">
        <v>293</v>
      </c>
      <c r="Q21" s="65">
        <v>8635.59</v>
      </c>
    </row>
    <row r="22" spans="1:20" ht="27" customHeight="1" x14ac:dyDescent="0.25">
      <c r="A22" s="16" t="s">
        <v>48</v>
      </c>
      <c r="B22" s="66">
        <v>206.34722222222223</v>
      </c>
      <c r="C22" s="66">
        <v>206.54166666666666</v>
      </c>
      <c r="D22" s="66">
        <f t="shared" si="5"/>
        <v>0.19444444444442865</v>
      </c>
      <c r="E22" s="66">
        <v>206.60069444444446</v>
      </c>
      <c r="F22" s="66">
        <v>206.875</v>
      </c>
      <c r="G22" s="66">
        <f t="shared" ref="G22:G23" si="6">F22-E22</f>
        <v>0.27430555555554292</v>
      </c>
      <c r="H22" s="66">
        <v>206.94097222222223</v>
      </c>
      <c r="I22" s="66">
        <v>207.20833333333334</v>
      </c>
      <c r="J22" s="71">
        <f>I22-H22-K22</f>
        <v>0.26736111111111427</v>
      </c>
      <c r="K22" s="75"/>
      <c r="L22" s="73">
        <f>D22+G22+J22</f>
        <v>0.73611111111108585</v>
      </c>
      <c r="M22" s="49" t="s">
        <v>49</v>
      </c>
      <c r="N22" s="65">
        <v>34861.54</v>
      </c>
      <c r="O22" s="80" t="s">
        <v>66</v>
      </c>
      <c r="P22" s="75">
        <v>141</v>
      </c>
      <c r="Q22" s="65">
        <v>3623.5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ref="D23" si="7">C23-B23</f>
        <v>0.27083333333331439</v>
      </c>
      <c r="E23" s="66">
        <v>206.625</v>
      </c>
      <c r="F23" s="66">
        <v>206.875</v>
      </c>
      <c r="G23" s="66">
        <f t="shared" si="6"/>
        <v>0.25</v>
      </c>
      <c r="H23" s="66">
        <v>206.9375</v>
      </c>
      <c r="I23" s="66">
        <v>207.20833333333334</v>
      </c>
      <c r="J23" s="71">
        <f>I23-H23-K23</f>
        <v>0.27083333333334281</v>
      </c>
      <c r="K23" s="155"/>
      <c r="L23" s="156">
        <f>D23+G23+J23</f>
        <v>0.79166666666665719</v>
      </c>
      <c r="M23" s="154" t="s">
        <v>64</v>
      </c>
      <c r="N23" s="85">
        <v>8</v>
      </c>
      <c r="O23" s="86" t="s">
        <v>67</v>
      </c>
      <c r="P23" s="76">
        <v>4</v>
      </c>
      <c r="Q23" s="65">
        <v>120.7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0.72569444444440023</v>
      </c>
      <c r="E24" s="68"/>
      <c r="F24" s="68"/>
      <c r="G24" s="66">
        <f>SUM(G21:G23)</f>
        <v>0.75694444444442865</v>
      </c>
      <c r="H24" s="68"/>
      <c r="I24" s="68"/>
      <c r="J24" s="71">
        <f>SUM(J21:J23)</f>
        <v>0.78819444444445708</v>
      </c>
      <c r="K24" s="75"/>
      <c r="L24" s="83">
        <f>SUM(L21:L23)</f>
        <v>2.270833333333286</v>
      </c>
      <c r="M24" s="65" t="s">
        <v>78</v>
      </c>
      <c r="N24" s="65">
        <v>29687.41</v>
      </c>
      <c r="P24" s="79" t="s">
        <v>68</v>
      </c>
      <c r="Q24" s="43">
        <v>37756.22</v>
      </c>
    </row>
    <row r="25" spans="1:20" ht="20.25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N24+Sheet4!O25</f>
        <v>141817.73000000001</v>
      </c>
      <c r="P25" s="154" t="s">
        <v>77</v>
      </c>
      <c r="Q25" s="87">
        <v>41939.43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49000</v>
      </c>
      <c r="P26" s="51" t="s">
        <v>87</v>
      </c>
      <c r="Q26" s="69">
        <f>Q24+Sheet4!Q26</f>
        <v>88142.48000000001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54.3</v>
      </c>
      <c r="M27" s="55"/>
      <c r="N27" s="88">
        <f>N22/L27</f>
        <v>642.01731123388583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8">
    <mergeCell ref="O3:P3"/>
    <mergeCell ref="Q6:Q7"/>
    <mergeCell ref="O10:P10"/>
    <mergeCell ref="O18:P18"/>
    <mergeCell ref="B19:D19"/>
    <mergeCell ref="E19:G19"/>
    <mergeCell ref="H19:J19"/>
    <mergeCell ref="O16:P16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I21" sqref="I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238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30</v>
      </c>
      <c r="F4" s="22">
        <v>25</v>
      </c>
      <c r="G4" s="22">
        <v>8</v>
      </c>
      <c r="H4" s="22">
        <v>20</v>
      </c>
      <c r="I4" s="22">
        <v>35</v>
      </c>
      <c r="J4" s="22">
        <v>39</v>
      </c>
      <c r="K4" s="22">
        <v>112</v>
      </c>
      <c r="L4" s="22">
        <v>70</v>
      </c>
      <c r="M4" s="93">
        <f>K4+L4</f>
        <v>182</v>
      </c>
      <c r="N4" s="104" t="s">
        <v>232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2</v>
      </c>
      <c r="F5" s="22">
        <v>1</v>
      </c>
      <c r="G5" s="22"/>
      <c r="H5" s="22">
        <v>1</v>
      </c>
      <c r="I5" s="22"/>
      <c r="J5" s="22"/>
      <c r="K5" s="22">
        <v>4</v>
      </c>
      <c r="L5" s="22">
        <v>0</v>
      </c>
      <c r="M5" s="93">
        <f t="shared" ref="M5:M7" si="0">K5+L5</f>
        <v>4</v>
      </c>
      <c r="N5" s="104" t="s">
        <v>232</v>
      </c>
      <c r="O5" s="66"/>
      <c r="P5" s="66"/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4</v>
      </c>
      <c r="F6" s="22">
        <v>3</v>
      </c>
      <c r="G6" s="22">
        <v>6</v>
      </c>
      <c r="H6" s="22">
        <v>2</v>
      </c>
      <c r="I6" s="22">
        <v>2</v>
      </c>
      <c r="J6" s="22">
        <v>3</v>
      </c>
      <c r="K6" s="22">
        <v>15</v>
      </c>
      <c r="L6" s="22">
        <v>8</v>
      </c>
      <c r="M6" s="93">
        <f t="shared" si="0"/>
        <v>23</v>
      </c>
      <c r="N6" s="104" t="s">
        <v>57</v>
      </c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>
        <v>4</v>
      </c>
      <c r="E7" s="22">
        <v>6</v>
      </c>
      <c r="F7" s="22">
        <v>7</v>
      </c>
      <c r="G7" s="22"/>
      <c r="H7" s="22">
        <v>5</v>
      </c>
      <c r="I7" s="22">
        <v>3</v>
      </c>
      <c r="J7" s="22">
        <v>4</v>
      </c>
      <c r="K7" s="22">
        <v>15</v>
      </c>
      <c r="L7" s="22">
        <v>14</v>
      </c>
      <c r="M7" s="93">
        <f t="shared" si="0"/>
        <v>29</v>
      </c>
      <c r="N7" s="104"/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24</v>
      </c>
      <c r="E9" s="22">
        <v>26</v>
      </c>
      <c r="F9" s="22">
        <v>25</v>
      </c>
      <c r="G9" s="22">
        <v>11</v>
      </c>
      <c r="H9" s="22">
        <v>25</v>
      </c>
      <c r="I9" s="22">
        <v>32</v>
      </c>
      <c r="J9" s="22">
        <v>28</v>
      </c>
      <c r="K9" s="22">
        <v>106</v>
      </c>
      <c r="L9" s="22">
        <v>65</v>
      </c>
      <c r="M9" s="93">
        <f t="shared" ref="M9:M12" si="1">K9+L9</f>
        <v>171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57</v>
      </c>
      <c r="O10" s="303" t="s">
        <v>160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4</v>
      </c>
      <c r="F11" s="22">
        <v>4</v>
      </c>
      <c r="G11" s="22">
        <v>2</v>
      </c>
      <c r="H11" s="22"/>
      <c r="I11" s="22"/>
      <c r="J11" s="22"/>
      <c r="K11" s="22">
        <v>13</v>
      </c>
      <c r="L11" s="22">
        <v>0</v>
      </c>
      <c r="M11" s="93">
        <f t="shared" si="1"/>
        <v>13</v>
      </c>
      <c r="N11" s="82" t="s">
        <v>232</v>
      </c>
      <c r="O11" s="66">
        <v>206.16666666666666</v>
      </c>
      <c r="P11" s="66">
        <v>206.58333333333334</v>
      </c>
      <c r="Q11" s="180" t="s">
        <v>241</v>
      </c>
    </row>
    <row r="12" spans="1:17" ht="13.5" customHeight="1" x14ac:dyDescent="0.25">
      <c r="A12" s="36"/>
      <c r="B12" s="34" t="s">
        <v>19</v>
      </c>
      <c r="C12" s="22"/>
      <c r="D12" s="22"/>
      <c r="E12" s="22">
        <v>3</v>
      </c>
      <c r="F12" s="22">
        <v>2</v>
      </c>
      <c r="G12" s="22"/>
      <c r="H12" s="22">
        <v>3</v>
      </c>
      <c r="I12" s="22">
        <v>2</v>
      </c>
      <c r="J12" s="22"/>
      <c r="K12" s="22">
        <v>10</v>
      </c>
      <c r="L12" s="22">
        <v>0</v>
      </c>
      <c r="M12" s="93">
        <f t="shared" si="1"/>
        <v>10</v>
      </c>
      <c r="N12" s="82"/>
      <c r="O12" s="82"/>
      <c r="P12" s="82"/>
      <c r="Q12" s="181" t="s">
        <v>242</v>
      </c>
    </row>
    <row r="13" spans="1:17" ht="33.7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179"/>
      <c r="Q13" s="178"/>
    </row>
    <row r="14" spans="1:17" x14ac:dyDescent="0.25">
      <c r="A14" s="33"/>
      <c r="B14" s="21" t="s">
        <v>14</v>
      </c>
      <c r="C14" s="22"/>
      <c r="D14" s="22">
        <v>34</v>
      </c>
      <c r="E14" s="22">
        <v>36</v>
      </c>
      <c r="F14" s="22">
        <v>44</v>
      </c>
      <c r="G14" s="22">
        <v>26</v>
      </c>
      <c r="H14" s="22">
        <v>32</v>
      </c>
      <c r="I14" s="22">
        <v>30</v>
      </c>
      <c r="J14" s="22">
        <v>32</v>
      </c>
      <c r="K14" s="22">
        <v>146</v>
      </c>
      <c r="L14" s="22">
        <v>88</v>
      </c>
      <c r="M14" s="93">
        <f t="shared" ref="M14:M17" si="2">K14+L14</f>
        <v>234</v>
      </c>
      <c r="N14" s="103" t="s">
        <v>57</v>
      </c>
      <c r="O14" s="103"/>
      <c r="P14" s="82"/>
      <c r="Q14" s="37"/>
    </row>
    <row r="15" spans="1:17" ht="15.7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1</v>
      </c>
      <c r="F16" s="22">
        <v>2</v>
      </c>
      <c r="G16" s="22"/>
      <c r="H16" s="22"/>
      <c r="I16" s="22">
        <v>2</v>
      </c>
      <c r="J16" s="22">
        <v>3</v>
      </c>
      <c r="K16" s="22">
        <v>5</v>
      </c>
      <c r="L16" s="22">
        <v>5</v>
      </c>
      <c r="M16" s="93">
        <f t="shared" si="2"/>
        <v>10</v>
      </c>
      <c r="N16" s="103" t="s">
        <v>57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3</v>
      </c>
      <c r="G17" s="22">
        <v>2</v>
      </c>
      <c r="H17" s="22"/>
      <c r="I17" s="22"/>
      <c r="J17" s="22"/>
      <c r="K17" s="22">
        <v>5</v>
      </c>
      <c r="L17" s="22">
        <v>0</v>
      </c>
      <c r="M17" s="93">
        <f t="shared" si="2"/>
        <v>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587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4</v>
      </c>
      <c r="O19" s="69">
        <v>840.56</v>
      </c>
      <c r="P19" s="46" t="s">
        <v>239</v>
      </c>
      <c r="Q19" s="65" t="s">
        <v>240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46</v>
      </c>
      <c r="O20" s="77" t="s">
        <v>65</v>
      </c>
      <c r="P20" s="75">
        <v>40</v>
      </c>
      <c r="Q20" s="65">
        <v>2722.63</v>
      </c>
    </row>
    <row r="21" spans="1:20" ht="25.5" customHeight="1" x14ac:dyDescent="0.25">
      <c r="A21" s="16" t="s">
        <v>46</v>
      </c>
      <c r="B21" s="66">
        <v>0</v>
      </c>
      <c r="C21" s="66">
        <v>0</v>
      </c>
      <c r="D21" s="66">
        <f t="shared" ref="D21" si="3">C21-B21</f>
        <v>0</v>
      </c>
      <c r="E21" s="66">
        <v>206.65277777777777</v>
      </c>
      <c r="F21" s="66">
        <v>206.83333333333334</v>
      </c>
      <c r="G21" s="66">
        <f>F21-E21</f>
        <v>0.18055555555557135</v>
      </c>
      <c r="H21" s="66">
        <v>206.94444444444446</v>
      </c>
      <c r="I21" s="66">
        <v>207.20833333333334</v>
      </c>
      <c r="J21" s="71">
        <f>I21-H21-K21</f>
        <v>0.26388888888888573</v>
      </c>
      <c r="K21" s="66"/>
      <c r="L21" s="73">
        <f>D21+G21+J21</f>
        <v>0.44444444444445708</v>
      </c>
      <c r="M21" s="154" t="s">
        <v>47</v>
      </c>
      <c r="N21" s="65">
        <f>M17+M12+M7</f>
        <v>44</v>
      </c>
      <c r="O21" s="78" t="s">
        <v>69</v>
      </c>
      <c r="P21" s="75">
        <v>268</v>
      </c>
      <c r="Q21" s="65">
        <v>8288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ref="D22" si="4">C22-B22</f>
        <v>0.29166666666665719</v>
      </c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0.88194444444442865</v>
      </c>
      <c r="M22" s="49" t="s">
        <v>49</v>
      </c>
      <c r="N22" s="65">
        <v>31340.560000000001</v>
      </c>
      <c r="O22" s="80" t="s">
        <v>66</v>
      </c>
      <c r="P22" s="75">
        <v>131</v>
      </c>
      <c r="Q22" s="65">
        <v>3367.67</v>
      </c>
    </row>
    <row r="23" spans="1:20" ht="27" customHeight="1" x14ac:dyDescent="0.25">
      <c r="A23" s="157" t="s">
        <v>50</v>
      </c>
      <c r="B23" s="66">
        <v>206.24305555555554</v>
      </c>
      <c r="C23" s="66">
        <v>206.54166666666666</v>
      </c>
      <c r="D23" s="66">
        <f t="shared" ref="D23" si="6">C23-B23</f>
        <v>0.29861111111111427</v>
      </c>
      <c r="E23" s="66">
        <v>206.57638888888889</v>
      </c>
      <c r="F23" s="66">
        <v>206.875</v>
      </c>
      <c r="G23" s="66">
        <f t="shared" si="5"/>
        <v>0.29861111111111427</v>
      </c>
      <c r="H23" s="66">
        <v>206.90972222222223</v>
      </c>
      <c r="I23" s="66">
        <v>207.20833333333334</v>
      </c>
      <c r="J23" s="71">
        <f>I23-H23-K23</f>
        <v>0.29861111111111427</v>
      </c>
      <c r="K23" s="155"/>
      <c r="L23" s="156">
        <f>D23+G23+J23</f>
        <v>0.89583333333334281</v>
      </c>
      <c r="M23" s="154" t="s">
        <v>64</v>
      </c>
      <c r="N23" s="85">
        <v>9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0.59027777777777146</v>
      </c>
      <c r="E24" s="68"/>
      <c r="F24" s="68"/>
      <c r="G24" s="66">
        <f>SUM(G21:G23)</f>
        <v>0.77083333333334281</v>
      </c>
      <c r="H24" s="68"/>
      <c r="I24" s="68"/>
      <c r="J24" s="71">
        <f>SUM(J21:J23)</f>
        <v>0.86111111111111427</v>
      </c>
      <c r="K24" s="75"/>
      <c r="L24" s="83">
        <f>SUM(L21:L23)</f>
        <v>2.2222222222222285</v>
      </c>
      <c r="M24" s="65" t="s">
        <v>78</v>
      </c>
      <c r="N24" s="65">
        <v>33299.050000000003</v>
      </c>
      <c r="P24" s="79" t="s">
        <v>68</v>
      </c>
      <c r="Q24" s="65">
        <v>38595.67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v>179152.52</v>
      </c>
      <c r="P25" s="154" t="s">
        <v>77</v>
      </c>
      <c r="Q25" s="87">
        <v>41318.300000000003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45000</v>
      </c>
      <c r="P26" s="51" t="s">
        <v>87</v>
      </c>
      <c r="Q26" s="69">
        <f>Q24+Sheet5!Q26</f>
        <v>126738.15000000001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53.2</v>
      </c>
      <c r="M27" s="55"/>
      <c r="N27" s="88">
        <f>N22/L27</f>
        <v>589.10827067669175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2" workbookViewId="0">
      <selection activeCell="J21" sqref="J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3.5703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243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35</v>
      </c>
      <c r="F4" s="22">
        <v>42</v>
      </c>
      <c r="G4" s="22">
        <v>17</v>
      </c>
      <c r="H4" s="22">
        <v>20</v>
      </c>
      <c r="I4" s="22">
        <v>22</v>
      </c>
      <c r="J4" s="22">
        <v>18</v>
      </c>
      <c r="K4" s="22">
        <v>126</v>
      </c>
      <c r="L4" s="22">
        <v>58</v>
      </c>
      <c r="M4" s="93">
        <f>K4+L4</f>
        <v>184</v>
      </c>
      <c r="N4" s="104"/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3</v>
      </c>
      <c r="J5" s="22">
        <v>1</v>
      </c>
      <c r="K5" s="22">
        <v>5</v>
      </c>
      <c r="L5" s="22">
        <v>0</v>
      </c>
      <c r="M5" s="93">
        <f>K5+L5</f>
        <v>5</v>
      </c>
      <c r="N5" s="104"/>
      <c r="O5" s="66"/>
      <c r="P5" s="66"/>
      <c r="Q5" s="66">
        <f t="shared" ref="Q5" si="0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>
        <v>3</v>
      </c>
      <c r="J6" s="22">
        <v>2</v>
      </c>
      <c r="K6" s="22">
        <v>5</v>
      </c>
      <c r="L6" s="22">
        <v>0</v>
      </c>
      <c r="M6" s="93">
        <f t="shared" ref="M6:M7" si="1">K6+L6</f>
        <v>5</v>
      </c>
      <c r="N6" s="104"/>
      <c r="O6" s="96"/>
      <c r="P6" s="65"/>
      <c r="Q6" s="301"/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2</v>
      </c>
      <c r="F7" s="22">
        <v>4</v>
      </c>
      <c r="G7" s="22"/>
      <c r="H7" s="22">
        <v>2</v>
      </c>
      <c r="I7" s="22">
        <v>3</v>
      </c>
      <c r="J7" s="22">
        <v>1</v>
      </c>
      <c r="K7" s="22">
        <v>7</v>
      </c>
      <c r="L7" s="22">
        <v>8</v>
      </c>
      <c r="M7" s="93">
        <f t="shared" si="1"/>
        <v>15</v>
      </c>
      <c r="N7" s="104"/>
      <c r="O7" s="97"/>
      <c r="P7" s="65"/>
      <c r="Q7" s="302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61</v>
      </c>
      <c r="L8" s="18" t="s">
        <v>62</v>
      </c>
      <c r="M8" s="92" t="s">
        <v>86</v>
      </c>
      <c r="N8" s="32" t="s">
        <v>12</v>
      </c>
      <c r="O8" s="98"/>
      <c r="P8" s="82"/>
      <c r="Q8" s="37"/>
    </row>
    <row r="9" spans="1:17" ht="17.25" customHeight="1" x14ac:dyDescent="0.25">
      <c r="A9" s="33"/>
      <c r="B9" s="34" t="s">
        <v>14</v>
      </c>
      <c r="C9" s="22"/>
      <c r="D9" s="22">
        <v>18</v>
      </c>
      <c r="E9" s="22">
        <v>17</v>
      </c>
      <c r="F9" s="93">
        <v>15</v>
      </c>
      <c r="G9" s="22">
        <v>17</v>
      </c>
      <c r="H9" s="22">
        <v>27</v>
      </c>
      <c r="I9" s="22">
        <v>30</v>
      </c>
      <c r="J9" s="22">
        <v>30</v>
      </c>
      <c r="K9" s="22">
        <v>97</v>
      </c>
      <c r="L9" s="22">
        <v>57</v>
      </c>
      <c r="M9" s="93">
        <f t="shared" ref="M9:M12" si="2">K9+L9</f>
        <v>154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2"/>
        <v>0</v>
      </c>
      <c r="N10" s="82"/>
      <c r="O10" s="303" t="s">
        <v>72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2"/>
        <v>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4</v>
      </c>
      <c r="E12" s="22"/>
      <c r="F12" s="22">
        <v>8</v>
      </c>
      <c r="G12" s="22">
        <v>1</v>
      </c>
      <c r="H12" s="22">
        <v>4</v>
      </c>
      <c r="I12" s="22">
        <v>5</v>
      </c>
      <c r="J12" s="22"/>
      <c r="K12" s="22">
        <v>20</v>
      </c>
      <c r="L12" s="22">
        <v>2</v>
      </c>
      <c r="M12" s="93">
        <f t="shared" si="2"/>
        <v>22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61</v>
      </c>
      <c r="L13" s="18" t="s">
        <v>62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34</v>
      </c>
      <c r="E14" s="22">
        <v>36</v>
      </c>
      <c r="F14" s="22">
        <v>40</v>
      </c>
      <c r="G14" s="22">
        <v>45</v>
      </c>
      <c r="H14" s="22">
        <v>25</v>
      </c>
      <c r="I14" s="22"/>
      <c r="J14" s="22"/>
      <c r="K14" s="22">
        <v>225</v>
      </c>
      <c r="L14" s="22">
        <v>0</v>
      </c>
      <c r="M14" s="93">
        <f t="shared" ref="M14:M17" si="3">K14+L14</f>
        <v>225</v>
      </c>
      <c r="N14" s="103" t="s">
        <v>57</v>
      </c>
      <c r="O14" s="101"/>
      <c r="P14" s="82"/>
      <c r="Q14" s="37"/>
    </row>
    <row r="15" spans="1:17" ht="14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3"/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3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4</v>
      </c>
      <c r="F17" s="22">
        <v>6</v>
      </c>
      <c r="G17" s="22">
        <v>5</v>
      </c>
      <c r="H17" s="22"/>
      <c r="I17" s="22"/>
      <c r="J17" s="22"/>
      <c r="K17" s="22">
        <v>16</v>
      </c>
      <c r="L17" s="22">
        <v>0</v>
      </c>
      <c r="M17" s="93">
        <f t="shared" si="3"/>
        <v>16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563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5</v>
      </c>
      <c r="O19" s="69">
        <v>1117.5</v>
      </c>
      <c r="P19" s="46" t="s">
        <v>244</v>
      </c>
      <c r="Q19" s="65" t="s">
        <v>245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5</v>
      </c>
      <c r="O20" s="77" t="s">
        <v>65</v>
      </c>
      <c r="P20" s="75">
        <v>40</v>
      </c>
      <c r="Q20" s="65">
        <v>2069.75</v>
      </c>
    </row>
    <row r="21" spans="1:20" ht="25.5" customHeight="1" x14ac:dyDescent="0.25">
      <c r="A21" s="16" t="s">
        <v>46</v>
      </c>
      <c r="B21" s="66">
        <v>206.23958333333334</v>
      </c>
      <c r="C21" s="66">
        <v>206.54166666666666</v>
      </c>
      <c r="D21" s="66">
        <f t="shared" ref="D21:D22" si="4">C21-B21</f>
        <v>0.30208333333331439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0.88541666666665719</v>
      </c>
      <c r="M21" s="154" t="s">
        <v>47</v>
      </c>
      <c r="N21" s="65">
        <v>53</v>
      </c>
      <c r="O21" s="78" t="s">
        <v>69</v>
      </c>
      <c r="P21" s="75">
        <v>195</v>
      </c>
      <c r="Q21" s="65">
        <v>6097.77</v>
      </c>
    </row>
    <row r="22" spans="1:20" ht="27" customHeight="1" x14ac:dyDescent="0.25">
      <c r="A22" s="16" t="s">
        <v>48</v>
      </c>
      <c r="B22" s="66">
        <v>206.24305555555554</v>
      </c>
      <c r="C22" s="66">
        <v>206.53472222222223</v>
      </c>
      <c r="D22" s="66">
        <f t="shared" si="4"/>
        <v>0.29166666666668561</v>
      </c>
      <c r="E22" s="66">
        <v>206.58680555555554</v>
      </c>
      <c r="F22" s="66">
        <v>206.875</v>
      </c>
      <c r="G22" s="66">
        <f>F22-E22</f>
        <v>0.28819444444445708</v>
      </c>
      <c r="H22" s="66">
        <v>206.98958333333334</v>
      </c>
      <c r="I22" s="66">
        <v>207.20833333333334</v>
      </c>
      <c r="J22" s="71">
        <f>I22-H22-K22</f>
        <v>0.21875</v>
      </c>
      <c r="K22" s="75"/>
      <c r="L22" s="73">
        <f>D22+G22+J22</f>
        <v>0.79861111111114269</v>
      </c>
      <c r="M22" s="49" t="s">
        <v>49</v>
      </c>
      <c r="N22" s="65">
        <v>29417.55</v>
      </c>
      <c r="O22" s="80" t="s">
        <v>66</v>
      </c>
      <c r="P22" s="75">
        <v>84</v>
      </c>
      <c r="Q22" s="65">
        <v>2130.98</v>
      </c>
    </row>
    <row r="23" spans="1:20" ht="27" customHeight="1" x14ac:dyDescent="0.25">
      <c r="A23" s="157" t="s">
        <v>50</v>
      </c>
      <c r="B23" s="66">
        <v>206.24652777777777</v>
      </c>
      <c r="C23" s="66">
        <v>206.54166666666666</v>
      </c>
      <c r="D23" s="66">
        <f t="shared" ref="D23" si="5">C23-B23</f>
        <v>0.29513888888888573</v>
      </c>
      <c r="E23" s="66">
        <v>206.58333333333334</v>
      </c>
      <c r="F23" s="66">
        <v>206.875</v>
      </c>
      <c r="G23" s="66">
        <f>F23-E23</f>
        <v>0.29166666666665719</v>
      </c>
      <c r="H23" s="66">
        <v>206.94444444444446</v>
      </c>
      <c r="I23" s="66">
        <v>207.20833333333334</v>
      </c>
      <c r="J23" s="71">
        <f>I23-H23-K23</f>
        <v>0.26388888888888573</v>
      </c>
      <c r="K23" s="155"/>
      <c r="L23" s="156">
        <f>D23+G23+J23</f>
        <v>0.85069444444442865</v>
      </c>
      <c r="M23" s="154" t="s">
        <v>64</v>
      </c>
      <c r="N23" s="85">
        <v>9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0.88888888888888573</v>
      </c>
      <c r="E24" s="68"/>
      <c r="F24" s="68"/>
      <c r="G24" s="66">
        <f>SUM(G21:G23)</f>
        <v>0.87152777777777146</v>
      </c>
      <c r="H24" s="68"/>
      <c r="I24" s="68"/>
      <c r="J24" s="71">
        <f>SUM(J21:J23)</f>
        <v>0.77430555555557135</v>
      </c>
      <c r="K24" s="75"/>
      <c r="L24" s="83">
        <f>SUM(L21:L23)</f>
        <v>2.5347222222222285</v>
      </c>
      <c r="M24" s="65" t="s">
        <v>78</v>
      </c>
      <c r="N24" s="65">
        <v>33388.6</v>
      </c>
      <c r="P24" s="79" t="s">
        <v>68</v>
      </c>
      <c r="Q24" s="43">
        <v>38789.620000000003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N24+Sheet6!O25</f>
        <v>212541.12</v>
      </c>
      <c r="P25" s="154" t="s">
        <v>77</v>
      </c>
      <c r="Q25" s="87">
        <v>41559.370000000003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43000</v>
      </c>
      <c r="P26" s="51" t="s">
        <v>87</v>
      </c>
      <c r="Q26" s="69">
        <f>Q24+Sheet6!Q26</f>
        <v>165527.77000000002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</v>
      </c>
      <c r="M27" s="55"/>
      <c r="N27" s="88">
        <f>N22/L27</f>
        <v>486.24049586776857</v>
      </c>
      <c r="O27" s="81" t="s">
        <v>74</v>
      </c>
      <c r="P27" s="69"/>
      <c r="Q27" s="65" t="s">
        <v>246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6" workbookViewId="0">
      <selection activeCell="K21" sqref="K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247</v>
      </c>
    </row>
    <row r="3" spans="1:17" ht="29.2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 t="s">
        <v>13</v>
      </c>
      <c r="D4" s="22">
        <v>24</v>
      </c>
      <c r="E4" s="22">
        <v>26</v>
      </c>
      <c r="F4" s="22">
        <v>30</v>
      </c>
      <c r="G4" s="22">
        <v>22</v>
      </c>
      <c r="H4" s="22"/>
      <c r="I4" s="22"/>
      <c r="J4" s="22"/>
      <c r="K4" s="22">
        <v>50</v>
      </c>
      <c r="L4" s="22">
        <v>52</v>
      </c>
      <c r="M4" s="93">
        <f>K4+L4</f>
        <v>102</v>
      </c>
      <c r="N4" s="104" t="s">
        <v>57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 t="s">
        <v>13</v>
      </c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 t="s">
        <v>250</v>
      </c>
      <c r="O5" s="66" t="s">
        <v>13</v>
      </c>
      <c r="P5" s="66" t="s">
        <v>13</v>
      </c>
      <c r="Q5" s="66" t="s">
        <v>194</v>
      </c>
    </row>
    <row r="6" spans="1:17" ht="15.75" customHeight="1" x14ac:dyDescent="0.25">
      <c r="A6" s="23" t="s">
        <v>17</v>
      </c>
      <c r="B6" s="21" t="s">
        <v>18</v>
      </c>
      <c r="C6" s="22"/>
      <c r="D6" s="22" t="s">
        <v>13</v>
      </c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57</v>
      </c>
      <c r="O6" s="96"/>
      <c r="P6" s="65"/>
      <c r="Q6" s="309" t="s">
        <v>195</v>
      </c>
    </row>
    <row r="7" spans="1:17" ht="15" customHeight="1" x14ac:dyDescent="0.25">
      <c r="A7" s="25"/>
      <c r="B7" s="21" t="s">
        <v>19</v>
      </c>
      <c r="C7" s="22"/>
      <c r="D7" s="22">
        <v>4</v>
      </c>
      <c r="E7" s="22">
        <v>9</v>
      </c>
      <c r="F7" s="22">
        <v>15</v>
      </c>
      <c r="G7" s="22">
        <v>10</v>
      </c>
      <c r="H7" s="22"/>
      <c r="I7" s="22"/>
      <c r="J7" s="22"/>
      <c r="K7" s="22">
        <v>36</v>
      </c>
      <c r="L7" s="22">
        <v>2</v>
      </c>
      <c r="M7" s="93">
        <f t="shared" si="0"/>
        <v>38</v>
      </c>
      <c r="N7" s="104"/>
      <c r="O7" s="97"/>
      <c r="P7" s="65"/>
      <c r="Q7" s="310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61</v>
      </c>
      <c r="L8" s="18" t="s">
        <v>62</v>
      </c>
      <c r="M8" s="92" t="s">
        <v>86</v>
      </c>
      <c r="N8" s="32" t="s">
        <v>12</v>
      </c>
      <c r="O8" s="98"/>
      <c r="P8" s="82"/>
      <c r="Q8" s="37"/>
    </row>
    <row r="9" spans="1:17" ht="14.25" customHeight="1" x14ac:dyDescent="0.25">
      <c r="A9" s="33"/>
      <c r="B9" s="34" t="s">
        <v>14</v>
      </c>
      <c r="C9" s="22"/>
      <c r="D9" s="22">
        <v>10</v>
      </c>
      <c r="E9" s="22">
        <v>12</v>
      </c>
      <c r="F9" s="22">
        <v>12</v>
      </c>
      <c r="G9" s="22">
        <v>22</v>
      </c>
      <c r="H9" s="22">
        <v>19</v>
      </c>
      <c r="I9" s="22">
        <v>20</v>
      </c>
      <c r="J9" s="22">
        <v>19</v>
      </c>
      <c r="K9" s="22">
        <v>87</v>
      </c>
      <c r="L9" s="22">
        <v>27</v>
      </c>
      <c r="M9" s="93">
        <f t="shared" ref="M9:M12" si="1">K9+L9</f>
        <v>114</v>
      </c>
      <c r="N9" s="82" t="s">
        <v>232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57</v>
      </c>
      <c r="O10" s="303" t="s">
        <v>165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13</v>
      </c>
      <c r="O11" s="240">
        <v>0.15625</v>
      </c>
      <c r="P11" s="240">
        <v>8.3333333333333329E-2</v>
      </c>
      <c r="Q11" s="33" t="s">
        <v>248</v>
      </c>
    </row>
    <row r="12" spans="1:17" ht="13.5" customHeight="1" x14ac:dyDescent="0.25">
      <c r="A12" s="36"/>
      <c r="B12" s="34" t="s">
        <v>19</v>
      </c>
      <c r="C12" s="22"/>
      <c r="D12" s="22">
        <v>20</v>
      </c>
      <c r="E12" s="22">
        <v>15</v>
      </c>
      <c r="F12" s="22">
        <v>13</v>
      </c>
      <c r="G12" s="22"/>
      <c r="H12" s="22"/>
      <c r="I12" s="22">
        <v>4</v>
      </c>
      <c r="J12" s="22"/>
      <c r="K12" s="22">
        <v>48</v>
      </c>
      <c r="L12" s="22">
        <v>4</v>
      </c>
      <c r="M12" s="93">
        <f t="shared" si="1"/>
        <v>52</v>
      </c>
      <c r="N12" s="82"/>
      <c r="O12" s="82"/>
      <c r="P12" s="82"/>
      <c r="Q12" s="37" t="s">
        <v>249</v>
      </c>
    </row>
    <row r="13" spans="1:17" ht="32.2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61</v>
      </c>
      <c r="L13" s="18" t="s">
        <v>62</v>
      </c>
      <c r="M13" s="92" t="s">
        <v>86</v>
      </c>
      <c r="N13" s="32" t="s">
        <v>12</v>
      </c>
      <c r="O13" s="241" t="s">
        <v>253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35</v>
      </c>
      <c r="E14" s="22">
        <v>35</v>
      </c>
      <c r="F14" s="22">
        <v>45</v>
      </c>
      <c r="G14" s="22">
        <v>45</v>
      </c>
      <c r="H14" s="22"/>
      <c r="I14" s="22"/>
      <c r="J14" s="22"/>
      <c r="K14" s="22">
        <v>272</v>
      </c>
      <c r="L14" s="22">
        <v>0</v>
      </c>
      <c r="M14" s="93">
        <f t="shared" ref="M14:M17" si="2">K14+L14</f>
        <v>272</v>
      </c>
      <c r="N14" s="103" t="s">
        <v>57</v>
      </c>
      <c r="O14" s="101" t="s">
        <v>254</v>
      </c>
      <c r="P14" s="82" t="s">
        <v>255</v>
      </c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5</v>
      </c>
      <c r="E16" s="22">
        <v>5</v>
      </c>
      <c r="F16" s="22"/>
      <c r="G16" s="22"/>
      <c r="H16" s="22"/>
      <c r="I16" s="22"/>
      <c r="J16" s="22"/>
      <c r="K16" s="22">
        <v>15</v>
      </c>
      <c r="L16" s="22">
        <v>0</v>
      </c>
      <c r="M16" s="93">
        <f t="shared" si="2"/>
        <v>15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1</v>
      </c>
      <c r="F17" s="22">
        <v>2</v>
      </c>
      <c r="G17" s="22">
        <v>1</v>
      </c>
      <c r="H17" s="22"/>
      <c r="I17" s="22"/>
      <c r="J17" s="22"/>
      <c r="K17" s="22">
        <v>19</v>
      </c>
      <c r="L17" s="22">
        <v>0</v>
      </c>
      <c r="M17" s="93">
        <f t="shared" si="2"/>
        <v>19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488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0</v>
      </c>
      <c r="O19" s="69" t="s">
        <v>13</v>
      </c>
      <c r="P19" s="46" t="s">
        <v>121</v>
      </c>
      <c r="Q19" s="65" t="s">
        <v>251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15</v>
      </c>
      <c r="O20" s="77" t="s">
        <v>65</v>
      </c>
      <c r="P20" s="75">
        <v>60</v>
      </c>
      <c r="Q20" s="65">
        <v>4114.95</v>
      </c>
    </row>
    <row r="21" spans="1:20" ht="25.5" customHeight="1" x14ac:dyDescent="0.25">
      <c r="A21" s="16" t="s">
        <v>46</v>
      </c>
      <c r="B21" s="66">
        <v>206.25</v>
      </c>
      <c r="C21" s="66">
        <v>206.41666666666666</v>
      </c>
      <c r="D21" s="66">
        <f t="shared" ref="D21:D22" si="3">C21-B21</f>
        <v>0.16666666666665719</v>
      </c>
      <c r="E21" s="66">
        <v>206.625</v>
      </c>
      <c r="F21" s="66">
        <v>206.875</v>
      </c>
      <c r="G21" s="66">
        <f t="shared" ref="G21" si="4">F21-E21</f>
        <v>0.25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0.70833333333334281</v>
      </c>
      <c r="M21" s="154" t="s">
        <v>47</v>
      </c>
      <c r="N21" s="65">
        <f>M17+M12+M7</f>
        <v>109</v>
      </c>
      <c r="O21" s="78" t="s">
        <v>69</v>
      </c>
      <c r="P21" s="75">
        <v>340</v>
      </c>
      <c r="Q21" s="65">
        <v>9837.16</v>
      </c>
    </row>
    <row r="22" spans="1:20" ht="27" customHeight="1" x14ac:dyDescent="0.25">
      <c r="A22" s="16" t="s">
        <v>48</v>
      </c>
      <c r="B22" s="66">
        <v>0</v>
      </c>
      <c r="C22" s="66">
        <v>0</v>
      </c>
      <c r="D22" s="66">
        <f t="shared" si="3"/>
        <v>0</v>
      </c>
      <c r="E22" s="66">
        <v>206.60416666666666</v>
      </c>
      <c r="F22" s="66">
        <v>206.875</v>
      </c>
      <c r="G22" s="66">
        <f t="shared" ref="G22:G23" si="5">F22-E22</f>
        <v>0.27083333333334281</v>
      </c>
      <c r="H22" s="66">
        <v>206.91666666666666</v>
      </c>
      <c r="I22" s="66">
        <v>207.16666666666666</v>
      </c>
      <c r="J22" s="71">
        <f>I22-H22-K22</f>
        <v>0.25</v>
      </c>
      <c r="K22" s="75"/>
      <c r="L22" s="73">
        <f>D22+G22+J22</f>
        <v>0.52083333333334281</v>
      </c>
      <c r="M22" s="49" t="s">
        <v>49</v>
      </c>
      <c r="N22" s="65">
        <v>26367.7</v>
      </c>
      <c r="O22" s="80" t="s">
        <v>66</v>
      </c>
      <c r="P22" s="75">
        <v>152</v>
      </c>
      <c r="Q22" s="65">
        <v>3767.63</v>
      </c>
    </row>
    <row r="23" spans="1:20" ht="27" customHeight="1" x14ac:dyDescent="0.25">
      <c r="A23" s="157" t="s">
        <v>50</v>
      </c>
      <c r="B23" s="66">
        <v>206.25</v>
      </c>
      <c r="C23" s="66">
        <v>206.41666666666666</v>
      </c>
      <c r="D23" s="66">
        <f t="shared" ref="D23" si="6">C23-B23</f>
        <v>0.16666666666665719</v>
      </c>
      <c r="E23" s="66">
        <v>206.64583333333334</v>
      </c>
      <c r="F23" s="66">
        <v>206.86458333333334</v>
      </c>
      <c r="G23" s="66">
        <f t="shared" si="5"/>
        <v>0.21875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0.67708333333334281</v>
      </c>
      <c r="M23" s="154" t="s">
        <v>64</v>
      </c>
      <c r="N23" s="85">
        <v>7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0.33333333333331439</v>
      </c>
      <c r="E24" s="68"/>
      <c r="F24" s="68"/>
      <c r="G24" s="66">
        <f>SUM(G21:G23)</f>
        <v>0.73958333333334281</v>
      </c>
      <c r="H24" s="68"/>
      <c r="I24" s="68"/>
      <c r="J24" s="71">
        <f>SUM(J21:J23)</f>
        <v>0.83333333333337123</v>
      </c>
      <c r="K24" s="75"/>
      <c r="L24" s="83">
        <f>SUM(L21:L23)</f>
        <v>1.9062500000000284</v>
      </c>
      <c r="M24" s="65" t="s">
        <v>78</v>
      </c>
      <c r="N24" s="65">
        <v>25926.41</v>
      </c>
      <c r="P24" s="79" t="s">
        <v>68</v>
      </c>
      <c r="Q24" s="43">
        <v>33813.42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v>258454.53</v>
      </c>
      <c r="P25" s="154" t="s">
        <v>77</v>
      </c>
      <c r="Q25" s="87">
        <v>37928.370000000003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55000</v>
      </c>
      <c r="P26" s="51" t="s">
        <v>87</v>
      </c>
      <c r="Q26" s="69">
        <f>Q24+Sheet7!Q26</f>
        <v>199341.19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45.45</v>
      </c>
      <c r="M27" s="55"/>
      <c r="N27" s="88">
        <f>N22/L27</f>
        <v>580.14741474147411</v>
      </c>
      <c r="O27" s="81" t="s">
        <v>74</v>
      </c>
      <c r="P27" s="69"/>
      <c r="Q27" s="65" t="s">
        <v>252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8" workbookViewId="0">
      <selection activeCell="K21" sqref="K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42578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258</v>
      </c>
    </row>
    <row r="3" spans="1:17" ht="37.5" customHeight="1" x14ac:dyDescent="0.25">
      <c r="A3" s="15" t="s">
        <v>2</v>
      </c>
      <c r="B3" s="16" t="s">
        <v>3</v>
      </c>
      <c r="C3" s="17" t="s">
        <v>118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86</v>
      </c>
      <c r="N3" s="19" t="s">
        <v>12</v>
      </c>
      <c r="O3" s="303" t="s">
        <v>72</v>
      </c>
      <c r="P3" s="304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24</v>
      </c>
      <c r="E4" s="22">
        <v>26</v>
      </c>
      <c r="F4" s="22">
        <v>30</v>
      </c>
      <c r="G4" s="22">
        <v>23</v>
      </c>
      <c r="H4" s="22">
        <v>31</v>
      </c>
      <c r="I4" s="22">
        <v>36</v>
      </c>
      <c r="J4" s="22">
        <v>30</v>
      </c>
      <c r="K4" s="22">
        <v>153</v>
      </c>
      <c r="L4" s="22">
        <v>47</v>
      </c>
      <c r="M4" s="93">
        <f>K4+L4</f>
        <v>200</v>
      </c>
      <c r="N4" s="104" t="s">
        <v>232</v>
      </c>
      <c r="O4" s="95" t="s">
        <v>88</v>
      </c>
      <c r="P4" s="105" t="s">
        <v>89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>
        <v>3</v>
      </c>
      <c r="G5" s="22">
        <v>2</v>
      </c>
      <c r="H5" s="22"/>
      <c r="I5" s="22">
        <v>2</v>
      </c>
      <c r="J5" s="22">
        <v>3</v>
      </c>
      <c r="K5" s="22">
        <v>10</v>
      </c>
      <c r="L5" s="22">
        <v>10</v>
      </c>
      <c r="M5" s="93">
        <f t="shared" ref="M5:M7" si="0">K5+L5</f>
        <v>20</v>
      </c>
      <c r="N5" s="104" t="s">
        <v>232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2</v>
      </c>
      <c r="F6" s="22">
        <v>3</v>
      </c>
      <c r="G6" s="22">
        <v>5</v>
      </c>
      <c r="H6" s="22">
        <v>2</v>
      </c>
      <c r="I6" s="22">
        <v>3</v>
      </c>
      <c r="J6" s="22"/>
      <c r="K6" s="22">
        <v>5</v>
      </c>
      <c r="L6" s="22">
        <v>10</v>
      </c>
      <c r="M6" s="93">
        <f t="shared" si="0"/>
        <v>15</v>
      </c>
      <c r="N6" s="104" t="s">
        <v>57</v>
      </c>
      <c r="O6" s="96"/>
      <c r="P6" s="65"/>
      <c r="Q6" s="312" t="s">
        <v>13</v>
      </c>
    </row>
    <row r="7" spans="1:17" ht="15" customHeight="1" x14ac:dyDescent="0.25">
      <c r="A7" s="25"/>
      <c r="B7" s="21" t="s">
        <v>19</v>
      </c>
      <c r="C7" s="22">
        <v>3</v>
      </c>
      <c r="D7" s="22">
        <v>2</v>
      </c>
      <c r="E7" s="22">
        <v>8</v>
      </c>
      <c r="F7" s="22">
        <v>5</v>
      </c>
      <c r="G7" s="22">
        <v>10</v>
      </c>
      <c r="H7" s="22">
        <v>7</v>
      </c>
      <c r="I7" s="22">
        <v>9</v>
      </c>
      <c r="J7" s="22">
        <v>10</v>
      </c>
      <c r="K7" s="22">
        <v>50</v>
      </c>
      <c r="L7" s="22">
        <v>4</v>
      </c>
      <c r="M7" s="93">
        <f t="shared" si="0"/>
        <v>54</v>
      </c>
      <c r="N7" s="104"/>
      <c r="O7" s="97"/>
      <c r="P7" s="65"/>
      <c r="Q7" s="313"/>
    </row>
    <row r="8" spans="1:17" ht="28.5" customHeight="1" x14ac:dyDescent="0.25">
      <c r="A8" s="30" t="s">
        <v>2</v>
      </c>
      <c r="B8" s="31" t="s">
        <v>3</v>
      </c>
      <c r="C8" s="17" t="s">
        <v>119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86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20</v>
      </c>
      <c r="E9" s="22">
        <v>23</v>
      </c>
      <c r="F9" s="22">
        <v>21</v>
      </c>
      <c r="G9" s="22">
        <v>33</v>
      </c>
      <c r="H9" s="22">
        <v>20</v>
      </c>
      <c r="I9" s="22">
        <v>25</v>
      </c>
      <c r="J9" s="22">
        <v>23</v>
      </c>
      <c r="K9" s="22">
        <v>113</v>
      </c>
      <c r="L9" s="22">
        <v>52</v>
      </c>
      <c r="M9" s="93">
        <f t="shared" ref="M9:M12" si="1">K9+L9</f>
        <v>165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57</v>
      </c>
      <c r="O10" s="303" t="s">
        <v>167</v>
      </c>
      <c r="P10" s="304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13</v>
      </c>
      <c r="O11" s="240">
        <v>0.23958333333333334</v>
      </c>
      <c r="P11" s="240">
        <v>0.70833333333333337</v>
      </c>
      <c r="Q11" s="33" t="s">
        <v>257</v>
      </c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>
        <v>3</v>
      </c>
      <c r="F12" s="22">
        <v>3</v>
      </c>
      <c r="G12" s="22">
        <v>1</v>
      </c>
      <c r="H12" s="22">
        <v>6</v>
      </c>
      <c r="I12" s="22">
        <v>4</v>
      </c>
      <c r="J12" s="22">
        <v>4</v>
      </c>
      <c r="K12" s="22">
        <v>5</v>
      </c>
      <c r="L12" s="22">
        <v>18</v>
      </c>
      <c r="M12" s="93">
        <f t="shared" si="1"/>
        <v>23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120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86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110</v>
      </c>
      <c r="L14" s="22">
        <v>65</v>
      </c>
      <c r="M14" s="93">
        <f t="shared" ref="M14:M17" si="2">K14+L14</f>
        <v>175</v>
      </c>
      <c r="N14" s="103" t="s">
        <v>57</v>
      </c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15</v>
      </c>
      <c r="L16" s="22">
        <v>5</v>
      </c>
      <c r="M16" s="93">
        <f t="shared" si="2"/>
        <v>20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75</v>
      </c>
      <c r="L17" s="22">
        <v>12</v>
      </c>
      <c r="M17" s="93">
        <f t="shared" si="2"/>
        <v>87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540</v>
      </c>
      <c r="O18" s="305" t="s">
        <v>71</v>
      </c>
      <c r="P18" s="306"/>
      <c r="Q18" s="65" t="s">
        <v>13</v>
      </c>
    </row>
    <row r="19" spans="1:20" ht="15" customHeight="1" x14ac:dyDescent="0.25">
      <c r="A19" s="16" t="s">
        <v>39</v>
      </c>
      <c r="B19" s="307" t="s">
        <v>40</v>
      </c>
      <c r="C19" s="304"/>
      <c r="D19" s="308"/>
      <c r="E19" s="307" t="s">
        <v>59</v>
      </c>
      <c r="F19" s="304"/>
      <c r="G19" s="308"/>
      <c r="H19" s="307" t="s">
        <v>58</v>
      </c>
      <c r="I19" s="304"/>
      <c r="J19" s="308"/>
      <c r="K19" s="45" t="s">
        <v>13</v>
      </c>
      <c r="L19" s="45"/>
      <c r="M19" s="154" t="s">
        <v>41</v>
      </c>
      <c r="N19" s="65">
        <f>M5+M10+M15</f>
        <v>20</v>
      </c>
      <c r="O19" s="69">
        <v>2034.28</v>
      </c>
      <c r="P19" s="46" t="s">
        <v>225</v>
      </c>
      <c r="Q19" s="65" t="s">
        <v>256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4" t="s">
        <v>75</v>
      </c>
      <c r="N20" s="65">
        <f>M6+M11+M16</f>
        <v>35</v>
      </c>
      <c r="O20" s="77" t="s">
        <v>65</v>
      </c>
      <c r="P20" s="75">
        <v>60</v>
      </c>
      <c r="Q20" s="65">
        <v>4161.34</v>
      </c>
    </row>
    <row r="21" spans="1:20" ht="25.5" customHeight="1" x14ac:dyDescent="0.25">
      <c r="A21" s="16" t="s">
        <v>46</v>
      </c>
      <c r="B21" s="66">
        <v>206.23958333333334</v>
      </c>
      <c r="C21" s="66">
        <v>206.33333333333334</v>
      </c>
      <c r="D21" s="66">
        <f t="shared" ref="D21" si="3">C21-B21</f>
        <v>9.375E-2</v>
      </c>
      <c r="E21" s="66">
        <v>206.70833333333334</v>
      </c>
      <c r="F21" s="66">
        <v>206.875</v>
      </c>
      <c r="G21" s="66">
        <f>F21-E21</f>
        <v>0.16666666666665719</v>
      </c>
      <c r="H21" s="66">
        <v>206.89583333333334</v>
      </c>
      <c r="I21" s="66">
        <v>207.04166666666666</v>
      </c>
      <c r="J21" s="71">
        <f>I21-H21-K21</f>
        <v>0.14583333333331439</v>
      </c>
      <c r="K21" s="66"/>
      <c r="L21" s="73">
        <f>D21+G21+J21</f>
        <v>0.40624999999997158</v>
      </c>
      <c r="M21" s="154" t="s">
        <v>47</v>
      </c>
      <c r="N21" s="65">
        <f>M17+M12+M7</f>
        <v>164</v>
      </c>
      <c r="O21" s="78" t="s">
        <v>69</v>
      </c>
      <c r="P21" s="75">
        <v>257</v>
      </c>
      <c r="Q21" s="65">
        <v>7339.46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ref="D22:D23" si="4">C22-B22</f>
        <v>0.29166666666665719</v>
      </c>
      <c r="E22" s="66">
        <v>206.59722222222223</v>
      </c>
      <c r="F22" s="66">
        <v>206.875</v>
      </c>
      <c r="G22" s="66">
        <f t="shared" ref="G22:G23" si="5">F22-E22</f>
        <v>0.27777777777777146</v>
      </c>
      <c r="H22" s="66">
        <v>207.04861111111111</v>
      </c>
      <c r="I22" s="66">
        <v>207.20833333333334</v>
      </c>
      <c r="J22" s="71">
        <f>I22-H22-K22</f>
        <v>0.15972222222222854</v>
      </c>
      <c r="K22" s="75"/>
      <c r="L22" s="73">
        <f>D22+G22+J22</f>
        <v>0.72916666666665719</v>
      </c>
      <c r="M22" s="49" t="s">
        <v>49</v>
      </c>
      <c r="N22" s="65">
        <v>30884.26</v>
      </c>
      <c r="O22" s="80" t="s">
        <v>66</v>
      </c>
      <c r="P22" s="75">
        <v>90</v>
      </c>
      <c r="Q22" s="65">
        <v>2047.82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si="4"/>
        <v>0.25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0.83333333333334281</v>
      </c>
      <c r="M23" s="154" t="s">
        <v>64</v>
      </c>
      <c r="N23" s="85">
        <v>6</v>
      </c>
      <c r="O23" s="86" t="s">
        <v>67</v>
      </c>
      <c r="P23" s="76" t="s">
        <v>13</v>
      </c>
      <c r="Q23" s="65" t="s">
        <v>13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0.63541666666665719</v>
      </c>
      <c r="E24" s="68"/>
      <c r="F24" s="68"/>
      <c r="G24" s="66">
        <f>SUM(G21:G23)</f>
        <v>0.73611111111108585</v>
      </c>
      <c r="H24" s="68"/>
      <c r="I24" s="68"/>
      <c r="J24" s="71">
        <f>SUM(J21:J23)</f>
        <v>0.59722222222222854</v>
      </c>
      <c r="K24" s="75"/>
      <c r="L24" s="83">
        <f>SUM(L21:L23)</f>
        <v>1.9687499999999716</v>
      </c>
      <c r="M24" s="65" t="s">
        <v>78</v>
      </c>
      <c r="N24" s="65">
        <v>22295.4</v>
      </c>
      <c r="P24" s="79" t="s">
        <v>68</v>
      </c>
      <c r="Q24" s="43">
        <v>30079.599999999999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79</v>
      </c>
      <c r="O25" s="69">
        <f>N24+Sheet8!O25</f>
        <v>280749.93</v>
      </c>
      <c r="P25" s="154" t="s">
        <v>77</v>
      </c>
      <c r="Q25" s="87">
        <v>34141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53000</v>
      </c>
      <c r="P26" s="51" t="s">
        <v>87</v>
      </c>
      <c r="Q26" s="69">
        <f>Q24+Sheet8!Q26</f>
        <v>229420.79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47.15</v>
      </c>
      <c r="M27" s="55"/>
      <c r="N27" s="88">
        <f>N22/L27</f>
        <v>655.02142099681862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90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 30</vt:lpstr>
      <vt:lpstr>Sheet 31</vt:lpstr>
      <vt:lpstr>Feb 2019</vt:lpstr>
      <vt:lpstr>Feb stream I </vt:lpstr>
      <vt:lpstr>Feb stream II  </vt:lpstr>
      <vt:lpstr>Feb stream III </vt:lpstr>
      <vt:lpstr>Sheet33</vt:lpstr>
      <vt:lpstr>Sheet30</vt:lpstr>
      <vt:lpstr>Sheet31</vt:lpstr>
      <vt:lpstr>Sheet32</vt:lpstr>
      <vt:lpstr>Sheet34</vt:lpstr>
      <vt:lpstr>Sheet35</vt:lpstr>
      <vt:lpstr>july-20</vt:lpstr>
      <vt:lpstr>Sheet36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2020-09-22T05:53:08Z</dcterms:modified>
</cp:coreProperties>
</file>