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26" activeTab="2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Feb 2019" sheetId="38" r:id="rId30"/>
    <sheet name="Feb stream I " sheetId="34" r:id="rId31"/>
    <sheet name="Feb stream II  " sheetId="35" r:id="rId32"/>
    <sheet name="Feb stream III " sheetId="36" r:id="rId33"/>
    <sheet name="Sheet33" sheetId="39" r:id="rId34"/>
    <sheet name="Sheet30" sheetId="40" r:id="rId35"/>
    <sheet name="Sheet31" sheetId="41" r:id="rId36"/>
    <sheet name="Sheet32" sheetId="42" r:id="rId37"/>
    <sheet name="Sheet34" sheetId="43" r:id="rId38"/>
    <sheet name="Sheet35" sheetId="44" r:id="rId39"/>
  </sheets>
  <externalReferences>
    <externalReference r:id="rId40"/>
  </externalReferences>
  <calcPr calcId="145621"/>
</workbook>
</file>

<file path=xl/calcChain.xml><?xml version="1.0" encoding="utf-8"?>
<calcChain xmlns="http://schemas.openxmlformats.org/spreadsheetml/2006/main">
  <c r="K48" i="44" l="1"/>
  <c r="J48" i="44"/>
  <c r="I48" i="44"/>
  <c r="H48" i="44"/>
  <c r="G48" i="44"/>
  <c r="F48" i="44"/>
  <c r="E48" i="44"/>
  <c r="D48" i="44"/>
  <c r="C48" i="44"/>
  <c r="K33" i="44"/>
  <c r="J33" i="44"/>
  <c r="I33" i="44"/>
  <c r="H33" i="44"/>
  <c r="G33" i="44"/>
  <c r="F33" i="44"/>
  <c r="E33" i="44"/>
  <c r="D33" i="44"/>
  <c r="C33" i="44"/>
  <c r="K18" i="44"/>
  <c r="J18" i="44"/>
  <c r="I18" i="44"/>
  <c r="H18" i="44"/>
  <c r="G18" i="44"/>
  <c r="F18" i="44"/>
  <c r="E18" i="44"/>
  <c r="D18" i="44"/>
  <c r="C18" i="44"/>
  <c r="F47" i="44" l="1"/>
  <c r="F46" i="44"/>
  <c r="F45" i="44"/>
  <c r="F44" i="44"/>
  <c r="F43" i="44"/>
  <c r="F42" i="44"/>
  <c r="F41" i="44"/>
  <c r="F40" i="44"/>
  <c r="F39" i="44"/>
  <c r="F38" i="44"/>
  <c r="F37" i="44"/>
  <c r="F32" i="44"/>
  <c r="F31" i="44"/>
  <c r="F28" i="44"/>
  <c r="F25" i="44"/>
  <c r="F21" i="44"/>
  <c r="F15" i="44"/>
  <c r="F24" i="44"/>
  <c r="F22" i="44"/>
  <c r="G47" i="44" l="1"/>
  <c r="E47" i="44"/>
  <c r="D47" i="44"/>
  <c r="G46" i="44"/>
  <c r="E46" i="44"/>
  <c r="D46" i="44"/>
  <c r="G45" i="44"/>
  <c r="G44" i="44"/>
  <c r="E44" i="44"/>
  <c r="D44" i="44"/>
  <c r="G43" i="44"/>
  <c r="E43" i="44"/>
  <c r="D43" i="44"/>
  <c r="C43" i="44"/>
  <c r="G42" i="44"/>
  <c r="E42" i="44"/>
  <c r="D42" i="44"/>
  <c r="G41" i="44"/>
  <c r="E41" i="44"/>
  <c r="D41" i="44"/>
  <c r="G40" i="44"/>
  <c r="E40" i="44"/>
  <c r="D40" i="44"/>
  <c r="G39" i="44"/>
  <c r="E39" i="44"/>
  <c r="D39" i="44"/>
  <c r="G38" i="44"/>
  <c r="E38" i="44"/>
  <c r="D38" i="44"/>
  <c r="G37" i="44"/>
  <c r="E37" i="44"/>
  <c r="D37" i="44"/>
  <c r="G36" i="44"/>
  <c r="E36" i="44"/>
  <c r="D36" i="44"/>
  <c r="G32" i="44"/>
  <c r="E32" i="44"/>
  <c r="D32" i="44"/>
  <c r="G31" i="44"/>
  <c r="E31" i="44"/>
  <c r="D31" i="44"/>
  <c r="G30" i="44"/>
  <c r="E30" i="44"/>
  <c r="D30" i="44"/>
  <c r="G29" i="44"/>
  <c r="E29" i="44"/>
  <c r="D29" i="44"/>
  <c r="G28" i="44"/>
  <c r="E28" i="44"/>
  <c r="D28" i="44"/>
  <c r="G27" i="44"/>
  <c r="E27" i="44"/>
  <c r="D27" i="44"/>
  <c r="G26" i="44"/>
  <c r="E26" i="44"/>
  <c r="D26" i="44"/>
  <c r="G25" i="44"/>
  <c r="E25" i="44"/>
  <c r="D25" i="44"/>
  <c r="G24" i="44"/>
  <c r="E24" i="44"/>
  <c r="D24" i="44"/>
  <c r="G23" i="44"/>
  <c r="E23" i="44"/>
  <c r="D23" i="44"/>
  <c r="G22" i="44"/>
  <c r="E22" i="44"/>
  <c r="D22" i="44"/>
  <c r="G6" i="44"/>
  <c r="E6" i="44"/>
  <c r="D6" i="44"/>
  <c r="G8" i="44"/>
  <c r="E8" i="44"/>
  <c r="D8" i="44"/>
  <c r="G21" i="44"/>
  <c r="E21" i="44"/>
  <c r="D21" i="44"/>
  <c r="G16" i="44"/>
  <c r="E16" i="44"/>
  <c r="D16" i="44"/>
  <c r="G17" i="44"/>
  <c r="E17" i="44"/>
  <c r="D17" i="44"/>
  <c r="G15" i="44"/>
  <c r="E15" i="44"/>
  <c r="D15" i="44"/>
  <c r="G14" i="44"/>
  <c r="E14" i="44"/>
  <c r="D14" i="44"/>
  <c r="G13" i="44"/>
  <c r="E13" i="44"/>
  <c r="D13" i="44"/>
  <c r="G10" i="44"/>
  <c r="E10" i="44"/>
  <c r="D10" i="44"/>
  <c r="G12" i="44"/>
  <c r="E12" i="44"/>
  <c r="D11" i="44"/>
  <c r="D12" i="44"/>
  <c r="G7" i="44"/>
  <c r="E7" i="44"/>
  <c r="D7" i="44"/>
  <c r="G9" i="44"/>
  <c r="E9" i="44"/>
  <c r="D9" i="44"/>
  <c r="C46" i="44"/>
  <c r="H37" i="44"/>
  <c r="D45" i="44"/>
  <c r="E45" i="44"/>
  <c r="E11" i="44"/>
  <c r="G11" i="44"/>
  <c r="C47" i="44"/>
  <c r="C45" i="44"/>
  <c r="C44" i="44"/>
  <c r="C42" i="44"/>
  <c r="C41" i="44"/>
  <c r="C40" i="44"/>
  <c r="C39" i="44"/>
  <c r="C38" i="44"/>
  <c r="C37" i="44"/>
  <c r="C36" i="44"/>
  <c r="C32" i="44"/>
  <c r="H32" i="44" s="1"/>
  <c r="C31" i="44"/>
  <c r="C30" i="44"/>
  <c r="C29" i="44"/>
  <c r="C28" i="44"/>
  <c r="C27" i="44"/>
  <c r="C26" i="44"/>
  <c r="C25" i="44"/>
  <c r="C24" i="44"/>
  <c r="C23" i="44"/>
  <c r="C22" i="44"/>
  <c r="C21" i="44"/>
  <c r="C16" i="44"/>
  <c r="C13" i="44"/>
  <c r="C11" i="44"/>
  <c r="C8" i="44"/>
  <c r="C6" i="44"/>
  <c r="C7" i="44"/>
  <c r="C9" i="44"/>
  <c r="C10" i="44"/>
  <c r="C12" i="44"/>
  <c r="C14" i="44"/>
  <c r="C15" i="44"/>
  <c r="C17" i="44"/>
  <c r="H26" i="44" l="1"/>
  <c r="I26" i="44" s="1"/>
  <c r="H41" i="44"/>
  <c r="J41" i="44" s="1"/>
  <c r="K41" i="44" s="1"/>
  <c r="H13" i="44"/>
  <c r="I13" i="44" s="1"/>
  <c r="H8" i="44"/>
  <c r="J8" i="44" s="1"/>
  <c r="K8" i="44" s="1"/>
  <c r="H25" i="44"/>
  <c r="H40" i="44"/>
  <c r="I40" i="44" s="1"/>
  <c r="H45" i="44"/>
  <c r="I45" i="44" s="1"/>
  <c r="H28" i="44"/>
  <c r="J28" i="44" s="1"/>
  <c r="K28" i="44" s="1"/>
  <c r="H12" i="44"/>
  <c r="J12" i="44" s="1"/>
  <c r="K12" i="44" s="1"/>
  <c r="H11" i="44"/>
  <c r="I11" i="44" s="1"/>
  <c r="H9" i="44"/>
  <c r="J9" i="44" s="1"/>
  <c r="K9" i="44" s="1"/>
  <c r="H21" i="44"/>
  <c r="J21" i="44" s="1"/>
  <c r="K21" i="44" s="1"/>
  <c r="H27" i="44"/>
  <c r="I27" i="44" s="1"/>
  <c r="H38" i="44"/>
  <c r="J38" i="44" s="1"/>
  <c r="K38" i="44" s="1"/>
  <c r="H30" i="44"/>
  <c r="I30" i="44" s="1"/>
  <c r="H29" i="44"/>
  <c r="J29" i="44" s="1"/>
  <c r="K29" i="44" s="1"/>
  <c r="H36" i="44"/>
  <c r="I36" i="44" s="1"/>
  <c r="H47" i="44"/>
  <c r="I47" i="44" s="1"/>
  <c r="H46" i="44"/>
  <c r="J46" i="44" s="1"/>
  <c r="K46" i="44" s="1"/>
  <c r="H44" i="44"/>
  <c r="J44" i="44" s="1"/>
  <c r="K44" i="44" s="1"/>
  <c r="H43" i="44"/>
  <c r="J43" i="44" s="1"/>
  <c r="K43" i="44" s="1"/>
  <c r="H42" i="44"/>
  <c r="J42" i="44" s="1"/>
  <c r="K42" i="44" s="1"/>
  <c r="H39" i="44"/>
  <c r="J39" i="44" s="1"/>
  <c r="K39" i="44" s="1"/>
  <c r="H31" i="44"/>
  <c r="J31" i="44" s="1"/>
  <c r="K31" i="44" s="1"/>
  <c r="H24" i="44"/>
  <c r="J24" i="44" s="1"/>
  <c r="K24" i="44" s="1"/>
  <c r="H23" i="44"/>
  <c r="J23" i="44" s="1"/>
  <c r="K23" i="44" s="1"/>
  <c r="H22" i="44"/>
  <c r="J22" i="44" s="1"/>
  <c r="K22" i="44" s="1"/>
  <c r="H14" i="44"/>
  <c r="I14" i="44" s="1"/>
  <c r="H7" i="44"/>
  <c r="J7" i="44" s="1"/>
  <c r="K7" i="44" s="1"/>
  <c r="H16" i="44"/>
  <c r="I16" i="44" s="1"/>
  <c r="H17" i="44"/>
  <c r="I17" i="44" s="1"/>
  <c r="H15" i="44"/>
  <c r="J15" i="44" s="1"/>
  <c r="K15" i="44" s="1"/>
  <c r="H10" i="44"/>
  <c r="J10" i="44" s="1"/>
  <c r="K10" i="44" s="1"/>
  <c r="J47" i="44"/>
  <c r="K47" i="44" s="1"/>
  <c r="J45" i="44"/>
  <c r="K45" i="44" s="1"/>
  <c r="I41" i="44"/>
  <c r="J40" i="44"/>
  <c r="K40" i="44" s="1"/>
  <c r="I37" i="44"/>
  <c r="J37" i="44"/>
  <c r="K37" i="44" s="1"/>
  <c r="I28" i="44"/>
  <c r="J26" i="44"/>
  <c r="K26" i="44" s="1"/>
  <c r="J25" i="44"/>
  <c r="K25" i="44" s="1"/>
  <c r="I25" i="44"/>
  <c r="J32" i="44"/>
  <c r="K32" i="44" s="1"/>
  <c r="I32" i="44"/>
  <c r="J13" i="44"/>
  <c r="K13" i="44" s="1"/>
  <c r="I8" i="44"/>
  <c r="I9" i="44" l="1"/>
  <c r="J17" i="44"/>
  <c r="K17" i="44" s="1"/>
  <c r="J30" i="44"/>
  <c r="K30" i="44" s="1"/>
  <c r="I38" i="44"/>
  <c r="J36" i="44"/>
  <c r="K36" i="44" s="1"/>
  <c r="I12" i="44"/>
  <c r="J27" i="44"/>
  <c r="K27" i="44" s="1"/>
  <c r="I21" i="44"/>
  <c r="I29" i="44"/>
  <c r="J11" i="44"/>
  <c r="K11" i="44" s="1"/>
  <c r="I22" i="44"/>
  <c r="J16" i="44"/>
  <c r="K16" i="44" s="1"/>
  <c r="I10" i="44"/>
  <c r="J14" i="44"/>
  <c r="K14" i="44" s="1"/>
  <c r="I46" i="44"/>
  <c r="I44" i="44"/>
  <c r="I43" i="44"/>
  <c r="I42" i="44"/>
  <c r="I39" i="44"/>
  <c r="I31" i="44"/>
  <c r="I24" i="44"/>
  <c r="I23" i="44"/>
  <c r="I7" i="44"/>
  <c r="I15" i="44"/>
  <c r="H6" i="44" l="1"/>
  <c r="E37" i="43"/>
  <c r="J37" i="43" s="1"/>
  <c r="K37" i="43" s="1"/>
  <c r="L37" i="43"/>
  <c r="I37" i="43"/>
  <c r="G37" i="43"/>
  <c r="F37" i="43"/>
  <c r="I6" i="44" l="1"/>
  <c r="J6" i="44"/>
  <c r="K6" i="44" s="1"/>
  <c r="H18" i="43"/>
  <c r="L18" i="43" l="1"/>
  <c r="I18" i="43"/>
  <c r="G18" i="43"/>
  <c r="F18" i="43"/>
  <c r="E18" i="43"/>
  <c r="L11" i="43"/>
  <c r="J18" i="43" l="1"/>
  <c r="K18" i="43" s="1"/>
  <c r="I11" i="43"/>
  <c r="H11" i="43"/>
  <c r="G11" i="43"/>
  <c r="F11" i="43"/>
  <c r="J11" i="43" s="1"/>
  <c r="K11" i="43" s="1"/>
  <c r="E11" i="43"/>
  <c r="G39" i="40" l="1"/>
  <c r="F39" i="40"/>
  <c r="G20" i="41"/>
  <c r="G19" i="41"/>
  <c r="G18" i="41"/>
  <c r="G17" i="41"/>
  <c r="G16" i="41"/>
  <c r="G15" i="41"/>
  <c r="G14" i="41"/>
  <c r="G13" i="41"/>
  <c r="G12" i="41"/>
  <c r="G11" i="41"/>
  <c r="F20" i="41"/>
  <c r="F19" i="41"/>
  <c r="F18" i="41"/>
  <c r="F17" i="41"/>
  <c r="F16" i="41"/>
  <c r="F15" i="41"/>
  <c r="F14" i="41"/>
  <c r="F13" i="41"/>
  <c r="F12" i="41"/>
  <c r="F11" i="41"/>
  <c r="G10" i="41"/>
  <c r="F10" i="41"/>
  <c r="E17" i="41"/>
  <c r="E20" i="41"/>
  <c r="E19" i="41"/>
  <c r="E18" i="41"/>
  <c r="E16" i="41"/>
  <c r="E15" i="41"/>
  <c r="E14" i="41"/>
  <c r="E13" i="41"/>
  <c r="E12" i="41"/>
  <c r="E11" i="41"/>
  <c r="E10" i="41"/>
  <c r="AG39" i="40"/>
  <c r="AF39" i="40"/>
  <c r="Y39" i="40"/>
  <c r="X39" i="40"/>
  <c r="Q39" i="40"/>
  <c r="P39" i="40"/>
  <c r="N39" i="40"/>
  <c r="D39" i="40"/>
  <c r="F14" i="39" l="1"/>
  <c r="D14" i="39"/>
  <c r="L12" i="39"/>
  <c r="L11" i="39"/>
  <c r="L10" i="39"/>
  <c r="K12" i="39"/>
  <c r="K11" i="39"/>
  <c r="K10" i="39"/>
  <c r="I12" i="39"/>
  <c r="H12" i="39"/>
  <c r="G12" i="39"/>
  <c r="F12" i="39"/>
  <c r="I11" i="39"/>
  <c r="H11" i="39"/>
  <c r="G11" i="39"/>
  <c r="F11" i="39"/>
  <c r="I10" i="39"/>
  <c r="H10" i="39"/>
  <c r="G10" i="39"/>
  <c r="F10" i="39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T33" i="35"/>
  <c r="T32" i="35"/>
  <c r="T31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U5" i="35"/>
  <c r="T34" i="36"/>
  <c r="U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T11" i="36"/>
  <c r="T10" i="36"/>
  <c r="T8" i="36"/>
  <c r="T7" i="36"/>
  <c r="T6" i="36"/>
  <c r="T5" i="36"/>
  <c r="T9" i="36"/>
  <c r="J23" i="29" l="1"/>
  <c r="J22" i="29"/>
  <c r="G22" i="29"/>
  <c r="G21" i="29"/>
  <c r="D22" i="29"/>
  <c r="D21" i="29"/>
  <c r="M17" i="29"/>
  <c r="M16" i="29"/>
  <c r="M15" i="29"/>
  <c r="M14" i="29"/>
  <c r="M12" i="29"/>
  <c r="M11" i="29"/>
  <c r="M10" i="29"/>
  <c r="M9" i="29"/>
  <c r="M7" i="29"/>
  <c r="M6" i="29"/>
  <c r="M5" i="29"/>
  <c r="J23" i="28"/>
  <c r="J22" i="28"/>
  <c r="M17" i="28"/>
  <c r="M16" i="28"/>
  <c r="M15" i="28"/>
  <c r="M12" i="28"/>
  <c r="M11" i="28"/>
  <c r="M10" i="28"/>
  <c r="N36" i="38" l="1"/>
  <c r="N35" i="38"/>
  <c r="N34" i="38"/>
  <c r="N33" i="38"/>
  <c r="N32" i="38"/>
  <c r="N31" i="38"/>
  <c r="N30" i="38"/>
  <c r="N29" i="38"/>
  <c r="N28" i="38"/>
  <c r="N27" i="38"/>
  <c r="N26" i="38"/>
  <c r="P36" i="38"/>
  <c r="P35" i="38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Q8" i="38" s="1"/>
  <c r="N25" i="38"/>
  <c r="N24" i="38"/>
  <c r="N23" i="38"/>
  <c r="N22" i="38"/>
  <c r="N21" i="38"/>
  <c r="N20" i="38"/>
  <c r="N19" i="38"/>
  <c r="N18" i="38"/>
  <c r="N17" i="38"/>
  <c r="N16" i="38"/>
  <c r="N15" i="38"/>
  <c r="N14" i="38"/>
  <c r="N13" i="38"/>
  <c r="N12" i="38"/>
  <c r="N11" i="38"/>
  <c r="N10" i="38"/>
  <c r="N9" i="38"/>
  <c r="N8" i="38"/>
  <c r="O36" i="38"/>
  <c r="O35" i="38"/>
  <c r="O34" i="38"/>
  <c r="O33" i="38"/>
  <c r="O32" i="38"/>
  <c r="O31" i="38"/>
  <c r="O30" i="38"/>
  <c r="O29" i="38"/>
  <c r="O28" i="38"/>
  <c r="O27" i="38"/>
  <c r="O26" i="38"/>
  <c r="O25" i="38"/>
  <c r="O24" i="38"/>
  <c r="O23" i="38"/>
  <c r="O22" i="38"/>
  <c r="O21" i="38"/>
  <c r="O20" i="38"/>
  <c r="O19" i="38"/>
  <c r="O18" i="38"/>
  <c r="O17" i="38"/>
  <c r="O16" i="38"/>
  <c r="O15" i="38"/>
  <c r="O14" i="38"/>
  <c r="O13" i="38"/>
  <c r="O12" i="38"/>
  <c r="O11" i="38"/>
  <c r="O10" i="38"/>
  <c r="O9" i="38"/>
  <c r="O8" i="38"/>
  <c r="M34" i="38"/>
  <c r="M33" i="38"/>
  <c r="M32" i="38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M8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L18" i="38"/>
  <c r="L17" i="38"/>
  <c r="L16" i="38"/>
  <c r="L15" i="38"/>
  <c r="L14" i="38"/>
  <c r="L13" i="38"/>
  <c r="L12" i="38"/>
  <c r="L11" i="38"/>
  <c r="L10" i="38"/>
  <c r="L9" i="38"/>
  <c r="L8" i="38"/>
  <c r="K34" i="38"/>
  <c r="K33" i="38"/>
  <c r="K32" i="38"/>
  <c r="K31" i="38"/>
  <c r="K30" i="38"/>
  <c r="K29" i="38"/>
  <c r="K28" i="38"/>
  <c r="K27" i="38"/>
  <c r="K26" i="38"/>
  <c r="K25" i="38"/>
  <c r="K24" i="38"/>
  <c r="K23" i="38"/>
  <c r="K22" i="38"/>
  <c r="K21" i="38"/>
  <c r="K20" i="38"/>
  <c r="K19" i="38"/>
  <c r="K18" i="38"/>
  <c r="K17" i="38"/>
  <c r="K16" i="38"/>
  <c r="K15" i="38"/>
  <c r="K14" i="38"/>
  <c r="K13" i="38"/>
  <c r="K12" i="38"/>
  <c r="K11" i="38"/>
  <c r="K10" i="38"/>
  <c r="K9" i="38"/>
  <c r="K8" i="38"/>
  <c r="Q9" i="38" l="1"/>
  <c r="Q10" i="38" s="1"/>
  <c r="Q11" i="38" s="1"/>
  <c r="Q12" i="38" s="1"/>
  <c r="Q13" i="38" s="1"/>
  <c r="Q14" i="38" s="1"/>
  <c r="Q15" i="38" s="1"/>
  <c r="Q16" i="38" s="1"/>
  <c r="Q17" i="38" s="1"/>
  <c r="Q18" i="38" s="1"/>
  <c r="Q19" i="38" s="1"/>
  <c r="Q20" i="38" s="1"/>
  <c r="Q21" i="38" s="1"/>
  <c r="Q22" i="38" s="1"/>
  <c r="Q23" i="38" s="1"/>
  <c r="Q24" i="38" s="1"/>
  <c r="Q25" i="38" s="1"/>
  <c r="Q26" i="38" s="1"/>
  <c r="Q27" i="38" s="1"/>
  <c r="Q28" i="38" s="1"/>
  <c r="Q29" i="38" s="1"/>
  <c r="Q30" i="38" s="1"/>
  <c r="Q31" i="38" s="1"/>
  <c r="Q32" i="38" s="1"/>
  <c r="Q33" i="38" s="1"/>
  <c r="Q34" i="38" s="1"/>
  <c r="Q35" i="38" s="1"/>
  <c r="Q36" i="38" s="1"/>
  <c r="Q37" i="38" s="1"/>
  <c r="C9" i="38" l="1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C8" i="38"/>
  <c r="D8" i="38"/>
  <c r="J23" i="27" l="1"/>
  <c r="J22" i="27"/>
  <c r="D21" i="27"/>
  <c r="M17" i="27"/>
  <c r="M16" i="27"/>
  <c r="M15" i="27"/>
  <c r="M14" i="27"/>
  <c r="M12" i="27"/>
  <c r="M11" i="27"/>
  <c r="M10" i="27"/>
  <c r="M7" i="27"/>
  <c r="M5" i="27"/>
  <c r="J23" i="26"/>
  <c r="M17" i="26"/>
  <c r="M16" i="26"/>
  <c r="M15" i="26"/>
  <c r="M14" i="26"/>
  <c r="M17" i="25" l="1"/>
  <c r="M16" i="25"/>
  <c r="M15" i="25"/>
  <c r="M14" i="25"/>
  <c r="M12" i="25"/>
  <c r="M11" i="25"/>
  <c r="M10" i="25"/>
  <c r="M9" i="25"/>
  <c r="M7" i="25"/>
  <c r="M5" i="25"/>
  <c r="M4" i="25"/>
  <c r="J22" i="24" l="1"/>
  <c r="G22" i="24"/>
  <c r="D22" i="24"/>
  <c r="M17" i="24"/>
  <c r="M16" i="24"/>
  <c r="M15" i="24"/>
  <c r="M14" i="24"/>
  <c r="M12" i="24"/>
  <c r="M11" i="24"/>
  <c r="M10" i="24"/>
  <c r="M9" i="24"/>
  <c r="M7" i="24"/>
  <c r="M6" i="24"/>
  <c r="M5" i="24"/>
  <c r="L21" i="23" l="1"/>
  <c r="L24" i="22"/>
  <c r="L23" i="23"/>
  <c r="L22" i="23"/>
  <c r="G21" i="23"/>
  <c r="G22" i="23"/>
  <c r="D22" i="23"/>
  <c r="M5" i="23"/>
  <c r="J22" i="22" l="1"/>
  <c r="M17" i="22"/>
  <c r="M16" i="22"/>
  <c r="M15" i="22"/>
  <c r="M14" i="22"/>
  <c r="M12" i="22"/>
  <c r="M11" i="22"/>
  <c r="M10" i="22"/>
  <c r="M9" i="22"/>
  <c r="J23" i="18" l="1"/>
  <c r="G23" i="18"/>
  <c r="J21" i="16" l="1"/>
  <c r="J23" i="16"/>
  <c r="G23" i="16"/>
  <c r="D23" i="16"/>
  <c r="J22" i="16"/>
  <c r="G22" i="16"/>
  <c r="D22" i="16"/>
  <c r="G21" i="16"/>
  <c r="G24" i="16" s="1"/>
  <c r="D21" i="16"/>
  <c r="M7" i="16"/>
  <c r="L23" i="16" l="1"/>
  <c r="L22" i="16"/>
  <c r="D24" i="16"/>
  <c r="J24" i="16"/>
  <c r="L21" i="16"/>
  <c r="M4" i="13"/>
  <c r="L24" i="16" l="1"/>
  <c r="D21" i="12"/>
  <c r="Q26" i="12"/>
  <c r="M14" i="12"/>
  <c r="M17" i="12"/>
  <c r="M16" i="12"/>
  <c r="M15" i="12"/>
  <c r="M9" i="12"/>
  <c r="G22" i="11" l="1"/>
  <c r="J21" i="11"/>
  <c r="D21" i="10"/>
  <c r="Q26" i="9" l="1"/>
  <c r="Q26" i="8"/>
  <c r="Q26" i="7"/>
  <c r="M17" i="1" l="1"/>
  <c r="M16" i="1"/>
  <c r="M15" i="1"/>
  <c r="M14" i="1"/>
  <c r="M12" i="1"/>
  <c r="M11" i="1"/>
  <c r="M10" i="1"/>
  <c r="M9" i="1"/>
  <c r="G21" i="24" l="1"/>
  <c r="J22" i="23" l="1"/>
  <c r="J23" i="21" l="1"/>
  <c r="J22" i="21"/>
  <c r="M7" i="21"/>
  <c r="M10" i="21"/>
  <c r="G23" i="20" l="1"/>
  <c r="J23" i="19" l="1"/>
  <c r="D22" i="18" l="1"/>
  <c r="D23" i="17"/>
  <c r="J23" i="17"/>
  <c r="M6" i="17" l="1"/>
  <c r="J23" i="15" l="1"/>
  <c r="D22" i="15"/>
  <c r="J23" i="14" l="1"/>
  <c r="J22" i="13" l="1"/>
  <c r="G22" i="13"/>
  <c r="M5" i="11" l="1"/>
  <c r="J23" i="10" l="1"/>
  <c r="J23" i="9" l="1"/>
  <c r="J22" i="9"/>
  <c r="D23" i="8"/>
  <c r="J23" i="4" l="1"/>
  <c r="Q26" i="2" l="1"/>
  <c r="Q26" i="3" s="1"/>
  <c r="Q26" i="4" s="1"/>
  <c r="Q26" i="5" s="1"/>
  <c r="Q26" i="6" s="1"/>
  <c r="J11" i="39" l="1"/>
  <c r="J10" i="39"/>
  <c r="J12" i="39"/>
  <c r="C14" i="39"/>
  <c r="G22" i="2"/>
  <c r="D22" i="2"/>
  <c r="O25" i="2"/>
  <c r="O25" i="3" s="1"/>
  <c r="O25" i="4" s="1"/>
  <c r="O25" i="5" s="1"/>
  <c r="O25" i="6" s="1"/>
  <c r="O25" i="7" s="1"/>
  <c r="O25" i="8" s="1"/>
  <c r="O25" i="9" l="1"/>
  <c r="O25" i="10" s="1"/>
  <c r="O25" i="11" s="1"/>
  <c r="N27" i="29"/>
  <c r="G23" i="29"/>
  <c r="D23" i="29"/>
  <c r="J21" i="29"/>
  <c r="M4" i="29"/>
  <c r="N27" i="28"/>
  <c r="G23" i="28"/>
  <c r="D23" i="28"/>
  <c r="G22" i="28"/>
  <c r="D22" i="28"/>
  <c r="L22" i="28" s="1"/>
  <c r="J21" i="28"/>
  <c r="G21" i="28"/>
  <c r="D21" i="28"/>
  <c r="M9" i="28"/>
  <c r="M7" i="28"/>
  <c r="M6" i="28"/>
  <c r="N20" i="28" s="1"/>
  <c r="M35" i="38" s="1"/>
  <c r="M5" i="28"/>
  <c r="M4" i="28"/>
  <c r="N27" i="27"/>
  <c r="G23" i="27"/>
  <c r="D23" i="27"/>
  <c r="G22" i="27"/>
  <c r="D22" i="27"/>
  <c r="D24" i="27" s="1"/>
  <c r="J21" i="27"/>
  <c r="J24" i="27" s="1"/>
  <c r="G21" i="27"/>
  <c r="N21" i="27"/>
  <c r="N20" i="27"/>
  <c r="N19" i="27"/>
  <c r="M4" i="27"/>
  <c r="N27" i="26"/>
  <c r="G23" i="26"/>
  <c r="D23" i="26"/>
  <c r="J22" i="26"/>
  <c r="G22" i="26"/>
  <c r="D22" i="26"/>
  <c r="J21" i="26"/>
  <c r="G21" i="26"/>
  <c r="D21" i="26"/>
  <c r="M12" i="26"/>
  <c r="M11" i="26"/>
  <c r="M10" i="26"/>
  <c r="M9" i="26"/>
  <c r="M7" i="26"/>
  <c r="M6" i="26"/>
  <c r="N20" i="26" s="1"/>
  <c r="M5" i="26"/>
  <c r="M4" i="26"/>
  <c r="N27" i="25"/>
  <c r="J23" i="25"/>
  <c r="G23" i="25"/>
  <c r="D23" i="25"/>
  <c r="J22" i="25"/>
  <c r="G22" i="25"/>
  <c r="D22" i="25"/>
  <c r="J21" i="25"/>
  <c r="G21" i="25"/>
  <c r="D21" i="25"/>
  <c r="M6" i="25"/>
  <c r="Q5" i="25"/>
  <c r="N19" i="25"/>
  <c r="N27" i="24"/>
  <c r="J23" i="24"/>
  <c r="G23" i="24"/>
  <c r="D23" i="24"/>
  <c r="J21" i="24"/>
  <c r="D21" i="24"/>
  <c r="Q5" i="24"/>
  <c r="M4" i="24"/>
  <c r="N27" i="23"/>
  <c r="J23" i="23"/>
  <c r="G23" i="23"/>
  <c r="D23" i="23"/>
  <c r="J21" i="23"/>
  <c r="D21" i="23"/>
  <c r="M17" i="23"/>
  <c r="M16" i="23"/>
  <c r="M15" i="23"/>
  <c r="M14" i="23"/>
  <c r="M12" i="23"/>
  <c r="M11" i="23"/>
  <c r="M10" i="23"/>
  <c r="M9" i="23"/>
  <c r="M7" i="23"/>
  <c r="M6" i="23"/>
  <c r="M4" i="23"/>
  <c r="N27" i="22"/>
  <c r="J23" i="22"/>
  <c r="G23" i="22"/>
  <c r="D23" i="22"/>
  <c r="G22" i="22"/>
  <c r="D22" i="22"/>
  <c r="J21" i="22"/>
  <c r="G21" i="22"/>
  <c r="D21" i="22"/>
  <c r="M7" i="22"/>
  <c r="M6" i="22"/>
  <c r="N20" i="22" s="1"/>
  <c r="M5" i="22"/>
  <c r="N19" i="22" s="1"/>
  <c r="M4" i="22"/>
  <c r="N27" i="21"/>
  <c r="G23" i="21"/>
  <c r="D23" i="21"/>
  <c r="G22" i="21"/>
  <c r="D22" i="21"/>
  <c r="J21" i="21"/>
  <c r="G21" i="21"/>
  <c r="D21" i="21"/>
  <c r="M17" i="21"/>
  <c r="M16" i="21"/>
  <c r="M15" i="21"/>
  <c r="M14" i="21"/>
  <c r="M12" i="21"/>
  <c r="M11" i="21"/>
  <c r="M9" i="21"/>
  <c r="M6" i="21"/>
  <c r="M5" i="21"/>
  <c r="M4" i="21"/>
  <c r="N27" i="20"/>
  <c r="J23" i="20"/>
  <c r="D23" i="20"/>
  <c r="J22" i="20"/>
  <c r="G22" i="20"/>
  <c r="J21" i="20"/>
  <c r="G21" i="20"/>
  <c r="D21" i="20"/>
  <c r="M17" i="20"/>
  <c r="M16" i="20"/>
  <c r="M15" i="20"/>
  <c r="M14" i="20"/>
  <c r="M12" i="20"/>
  <c r="M11" i="20"/>
  <c r="M10" i="20"/>
  <c r="M9" i="20"/>
  <c r="M7" i="20"/>
  <c r="M6" i="20"/>
  <c r="Q5" i="20"/>
  <c r="M5" i="20"/>
  <c r="M4" i="20"/>
  <c r="N27" i="19"/>
  <c r="G23" i="19"/>
  <c r="D23" i="19"/>
  <c r="J22" i="19"/>
  <c r="G22" i="19"/>
  <c r="D22" i="19"/>
  <c r="J21" i="19"/>
  <c r="G21" i="19"/>
  <c r="D21" i="19"/>
  <c r="M17" i="19"/>
  <c r="M16" i="19"/>
  <c r="M15" i="19"/>
  <c r="M14" i="19"/>
  <c r="M12" i="19"/>
  <c r="M11" i="19"/>
  <c r="M10" i="19"/>
  <c r="M9" i="19"/>
  <c r="M7" i="19"/>
  <c r="M6" i="19"/>
  <c r="N20" i="19" s="1"/>
  <c r="Q5" i="19"/>
  <c r="M5" i="19"/>
  <c r="M4" i="19"/>
  <c r="N27" i="18"/>
  <c r="D23" i="18"/>
  <c r="J22" i="18"/>
  <c r="G22" i="18"/>
  <c r="J21" i="18"/>
  <c r="G21" i="18"/>
  <c r="D21" i="18"/>
  <c r="M17" i="18"/>
  <c r="M16" i="18"/>
  <c r="M15" i="18"/>
  <c r="M14" i="18"/>
  <c r="M12" i="18"/>
  <c r="M11" i="18"/>
  <c r="M10" i="18"/>
  <c r="M9" i="18"/>
  <c r="M7" i="18"/>
  <c r="M6" i="18"/>
  <c r="N20" i="18" s="1"/>
  <c r="Q5" i="18"/>
  <c r="M5" i="18"/>
  <c r="M4" i="18"/>
  <c r="N27" i="17"/>
  <c r="G23" i="17"/>
  <c r="J22" i="17"/>
  <c r="G22" i="17"/>
  <c r="D22" i="17"/>
  <c r="J21" i="17"/>
  <c r="G21" i="17"/>
  <c r="D21" i="17"/>
  <c r="M17" i="17"/>
  <c r="M16" i="17"/>
  <c r="M15" i="17"/>
  <c r="M14" i="17"/>
  <c r="M12" i="17"/>
  <c r="M11" i="17"/>
  <c r="N20" i="17" s="1"/>
  <c r="M10" i="17"/>
  <c r="M9" i="17"/>
  <c r="M7" i="17"/>
  <c r="M5" i="17"/>
  <c r="M4" i="17"/>
  <c r="N27" i="16"/>
  <c r="M17" i="16"/>
  <c r="M16" i="16"/>
  <c r="M15" i="16"/>
  <c r="M14" i="16"/>
  <c r="M12" i="16"/>
  <c r="M11" i="16"/>
  <c r="M10" i="16"/>
  <c r="M9" i="16"/>
  <c r="M6" i="16"/>
  <c r="Q5" i="16"/>
  <c r="M5" i="16"/>
  <c r="M4" i="16"/>
  <c r="N27" i="15"/>
  <c r="G23" i="15"/>
  <c r="D23" i="15"/>
  <c r="J22" i="15"/>
  <c r="G22" i="15"/>
  <c r="G21" i="15"/>
  <c r="D21" i="15"/>
  <c r="M17" i="15"/>
  <c r="M16" i="15"/>
  <c r="M15" i="15"/>
  <c r="M14" i="15"/>
  <c r="M12" i="15"/>
  <c r="M11" i="15"/>
  <c r="M10" i="15"/>
  <c r="M9" i="15"/>
  <c r="M7" i="15"/>
  <c r="M6" i="15"/>
  <c r="M5" i="15"/>
  <c r="M4" i="15"/>
  <c r="N27" i="14"/>
  <c r="G23" i="14"/>
  <c r="D23" i="14"/>
  <c r="J22" i="14"/>
  <c r="G22" i="14"/>
  <c r="D22" i="14"/>
  <c r="J21" i="14"/>
  <c r="G21" i="14"/>
  <c r="D21" i="14"/>
  <c r="M17" i="14"/>
  <c r="M16" i="14"/>
  <c r="M15" i="14"/>
  <c r="M14" i="14"/>
  <c r="M12" i="14"/>
  <c r="M11" i="14"/>
  <c r="M10" i="14"/>
  <c r="M9" i="14"/>
  <c r="M7" i="14"/>
  <c r="M6" i="14"/>
  <c r="Q5" i="14"/>
  <c r="M5" i="14"/>
  <c r="M4" i="14"/>
  <c r="N27" i="13"/>
  <c r="J23" i="13"/>
  <c r="G23" i="13"/>
  <c r="D23" i="13"/>
  <c r="D22" i="13"/>
  <c r="J21" i="13"/>
  <c r="J24" i="13" s="1"/>
  <c r="G21" i="13"/>
  <c r="D21" i="13"/>
  <c r="M17" i="13"/>
  <c r="M16" i="13"/>
  <c r="M15" i="13"/>
  <c r="M14" i="13"/>
  <c r="M12" i="13"/>
  <c r="M11" i="13"/>
  <c r="M10" i="13"/>
  <c r="M9" i="13"/>
  <c r="M7" i="13"/>
  <c r="M6" i="13"/>
  <c r="N20" i="13" s="1"/>
  <c r="M5" i="13"/>
  <c r="N27" i="12"/>
  <c r="J23" i="12"/>
  <c r="G23" i="12"/>
  <c r="D23" i="12"/>
  <c r="J22" i="12"/>
  <c r="G22" i="12"/>
  <c r="D22" i="12"/>
  <c r="J21" i="12"/>
  <c r="G21" i="12"/>
  <c r="M12" i="12"/>
  <c r="M11" i="12"/>
  <c r="M10" i="12"/>
  <c r="M7" i="12"/>
  <c r="M6" i="12"/>
  <c r="Q5" i="12"/>
  <c r="M5" i="12"/>
  <c r="N19" i="12" s="1"/>
  <c r="M4" i="12"/>
  <c r="N27" i="11"/>
  <c r="J23" i="11"/>
  <c r="G23" i="11"/>
  <c r="D23" i="11"/>
  <c r="D22" i="11"/>
  <c r="G21" i="11"/>
  <c r="D21" i="11"/>
  <c r="M17" i="11"/>
  <c r="M16" i="11"/>
  <c r="M15" i="11"/>
  <c r="M14" i="11"/>
  <c r="M12" i="11"/>
  <c r="M11" i="11"/>
  <c r="M10" i="11"/>
  <c r="N19" i="11" s="1"/>
  <c r="M9" i="11"/>
  <c r="M7" i="11"/>
  <c r="M6" i="11"/>
  <c r="Q5" i="11"/>
  <c r="M4" i="11"/>
  <c r="N27" i="10"/>
  <c r="G23" i="10"/>
  <c r="D23" i="10"/>
  <c r="J22" i="10"/>
  <c r="G22" i="10"/>
  <c r="D22" i="10"/>
  <c r="J21" i="10"/>
  <c r="G21" i="10"/>
  <c r="M17" i="10"/>
  <c r="M16" i="10"/>
  <c r="M15" i="10"/>
  <c r="M14" i="10"/>
  <c r="M12" i="10"/>
  <c r="M11" i="10"/>
  <c r="M10" i="10"/>
  <c r="M9" i="10"/>
  <c r="M7" i="10"/>
  <c r="M6" i="10"/>
  <c r="Q5" i="10"/>
  <c r="M5" i="10"/>
  <c r="M4" i="10"/>
  <c r="N27" i="9"/>
  <c r="G23" i="9"/>
  <c r="D23" i="9"/>
  <c r="L23" i="9" s="1"/>
  <c r="G22" i="9"/>
  <c r="D22" i="9"/>
  <c r="J21" i="9"/>
  <c r="J24" i="9" s="1"/>
  <c r="G21" i="9"/>
  <c r="M17" i="9"/>
  <c r="M16" i="9"/>
  <c r="M15" i="9"/>
  <c r="M14" i="9"/>
  <c r="M12" i="9"/>
  <c r="M11" i="9"/>
  <c r="M10" i="9"/>
  <c r="M9" i="9"/>
  <c r="M7" i="9"/>
  <c r="M6" i="9"/>
  <c r="M5" i="9"/>
  <c r="M4" i="9"/>
  <c r="N27" i="8"/>
  <c r="J23" i="8"/>
  <c r="G23" i="8"/>
  <c r="J22" i="8"/>
  <c r="G22" i="8"/>
  <c r="D22" i="8"/>
  <c r="J21" i="8"/>
  <c r="G21" i="8"/>
  <c r="D21" i="8"/>
  <c r="M17" i="8"/>
  <c r="M16" i="8"/>
  <c r="M15" i="8"/>
  <c r="M14" i="8"/>
  <c r="M12" i="8"/>
  <c r="M11" i="8"/>
  <c r="M10" i="8"/>
  <c r="M9" i="8"/>
  <c r="M7" i="8"/>
  <c r="M6" i="8"/>
  <c r="M5" i="8"/>
  <c r="M4" i="8"/>
  <c r="N27" i="7"/>
  <c r="J23" i="7"/>
  <c r="G23" i="7"/>
  <c r="D23" i="7"/>
  <c r="J22" i="7"/>
  <c r="G22" i="7"/>
  <c r="D22" i="7"/>
  <c r="J21" i="7"/>
  <c r="G21" i="7"/>
  <c r="D21" i="7"/>
  <c r="M17" i="7"/>
  <c r="M16" i="7"/>
  <c r="M15" i="7"/>
  <c r="M14" i="7"/>
  <c r="M12" i="7"/>
  <c r="M11" i="7"/>
  <c r="M10" i="7"/>
  <c r="M9" i="7"/>
  <c r="M7" i="7"/>
  <c r="M6" i="7"/>
  <c r="Q5" i="7"/>
  <c r="M5" i="7"/>
  <c r="M4" i="7"/>
  <c r="N27" i="6"/>
  <c r="J23" i="6"/>
  <c r="G23" i="6"/>
  <c r="D23" i="6"/>
  <c r="J22" i="6"/>
  <c r="G22" i="6"/>
  <c r="J21" i="6"/>
  <c r="G21" i="6"/>
  <c r="D21" i="6"/>
  <c r="M17" i="6"/>
  <c r="M16" i="6"/>
  <c r="M15" i="6"/>
  <c r="M14" i="6"/>
  <c r="M12" i="6"/>
  <c r="M11" i="6"/>
  <c r="M10" i="6"/>
  <c r="M9" i="6"/>
  <c r="M7" i="6"/>
  <c r="M6" i="6"/>
  <c r="Q5" i="6"/>
  <c r="M5" i="6"/>
  <c r="M4" i="6"/>
  <c r="N27" i="5"/>
  <c r="J23" i="5"/>
  <c r="G23" i="5"/>
  <c r="D23" i="5"/>
  <c r="G22" i="5"/>
  <c r="D22" i="5"/>
  <c r="J21" i="5"/>
  <c r="G21" i="5"/>
  <c r="D21" i="5"/>
  <c r="M17" i="5"/>
  <c r="M16" i="5"/>
  <c r="M15" i="5"/>
  <c r="M14" i="5"/>
  <c r="M12" i="5"/>
  <c r="M11" i="5"/>
  <c r="M10" i="5"/>
  <c r="M9" i="5"/>
  <c r="M7" i="5"/>
  <c r="M6" i="5"/>
  <c r="Q5" i="5"/>
  <c r="M5" i="5"/>
  <c r="M4" i="5"/>
  <c r="N27" i="4"/>
  <c r="G23" i="4"/>
  <c r="D23" i="4"/>
  <c r="J22" i="4"/>
  <c r="G22" i="4"/>
  <c r="D22" i="4"/>
  <c r="J21" i="4"/>
  <c r="G21" i="4"/>
  <c r="D21" i="4"/>
  <c r="M17" i="4"/>
  <c r="M16" i="4"/>
  <c r="M15" i="4"/>
  <c r="M14" i="4"/>
  <c r="M12" i="4"/>
  <c r="M11" i="4"/>
  <c r="M10" i="4"/>
  <c r="M9" i="4"/>
  <c r="M7" i="4"/>
  <c r="M6" i="4"/>
  <c r="Q5" i="4"/>
  <c r="M5" i="4"/>
  <c r="M4" i="4"/>
  <c r="N27" i="3"/>
  <c r="J23" i="3"/>
  <c r="G23" i="3"/>
  <c r="D23" i="3"/>
  <c r="J22" i="3"/>
  <c r="G22" i="3"/>
  <c r="D22" i="3"/>
  <c r="J21" i="3"/>
  <c r="G21" i="3"/>
  <c r="D21" i="3"/>
  <c r="M17" i="3"/>
  <c r="M16" i="3"/>
  <c r="M15" i="3"/>
  <c r="M14" i="3"/>
  <c r="M12" i="3"/>
  <c r="M11" i="3"/>
  <c r="M10" i="3"/>
  <c r="M9" i="3"/>
  <c r="M7" i="3"/>
  <c r="M6" i="3"/>
  <c r="Q5" i="3"/>
  <c r="M5" i="3"/>
  <c r="M4" i="3"/>
  <c r="N27" i="2"/>
  <c r="J23" i="2"/>
  <c r="G23" i="2"/>
  <c r="D23" i="2"/>
  <c r="J22" i="2"/>
  <c r="J21" i="2"/>
  <c r="G21" i="2"/>
  <c r="D21" i="2"/>
  <c r="M17" i="2"/>
  <c r="M16" i="2"/>
  <c r="M15" i="2"/>
  <c r="M14" i="2"/>
  <c r="M12" i="2"/>
  <c r="M11" i="2"/>
  <c r="M10" i="2"/>
  <c r="M9" i="2"/>
  <c r="M7" i="2"/>
  <c r="M6" i="2"/>
  <c r="M5" i="2"/>
  <c r="M4" i="2"/>
  <c r="J23" i="1"/>
  <c r="G23" i="1"/>
  <c r="D23" i="1"/>
  <c r="J22" i="1"/>
  <c r="G22" i="1"/>
  <c r="D22" i="1"/>
  <c r="J21" i="1"/>
  <c r="G21" i="1"/>
  <c r="D21" i="1"/>
  <c r="L21" i="27" l="1"/>
  <c r="L23" i="27"/>
  <c r="N20" i="23"/>
  <c r="J24" i="22"/>
  <c r="N20" i="21"/>
  <c r="N18" i="21"/>
  <c r="N18" i="18"/>
  <c r="N20" i="16"/>
  <c r="L23" i="14"/>
  <c r="N20" i="14"/>
  <c r="N18" i="14"/>
  <c r="N19" i="14"/>
  <c r="O25" i="12"/>
  <c r="O25" i="13" s="1"/>
  <c r="O25" i="14" s="1"/>
  <c r="O25" i="15" s="1"/>
  <c r="O25" i="16" s="1"/>
  <c r="O25" i="17" s="1"/>
  <c r="O25" i="18" s="1"/>
  <c r="O25" i="19" s="1"/>
  <c r="O25" i="20" s="1"/>
  <c r="O25" i="21" s="1"/>
  <c r="O25" i="22" s="1"/>
  <c r="O25" i="23" s="1"/>
  <c r="O25" i="24" s="1"/>
  <c r="O25" i="25" s="1"/>
  <c r="O25" i="26" s="1"/>
  <c r="O25" i="27" s="1"/>
  <c r="O25" i="28" s="1"/>
  <c r="O25" i="29" s="1"/>
  <c r="L21" i="10"/>
  <c r="L23" i="10"/>
  <c r="N20" i="10"/>
  <c r="L22" i="9"/>
  <c r="N19" i="9"/>
  <c r="D24" i="8"/>
  <c r="N20" i="7"/>
  <c r="J24" i="4"/>
  <c r="N20" i="4"/>
  <c r="N19" i="2"/>
  <c r="G24" i="1"/>
  <c r="N20" i="29"/>
  <c r="M36" i="38" s="1"/>
  <c r="N19" i="29"/>
  <c r="L36" i="38" s="1"/>
  <c r="N21" i="29"/>
  <c r="N18" i="29"/>
  <c r="K36" i="38" s="1"/>
  <c r="J24" i="29"/>
  <c r="L23" i="29"/>
  <c r="L21" i="29"/>
  <c r="D24" i="29"/>
  <c r="N21" i="28"/>
  <c r="N19" i="28"/>
  <c r="L35" i="38" s="1"/>
  <c r="N18" i="28"/>
  <c r="K35" i="38" s="1"/>
  <c r="J24" i="28"/>
  <c r="L23" i="28"/>
  <c r="L21" i="28"/>
  <c r="L24" i="28" s="1"/>
  <c r="G24" i="28"/>
  <c r="J24" i="26"/>
  <c r="L22" i="26"/>
  <c r="L23" i="26"/>
  <c r="G24" i="26"/>
  <c r="D24" i="26"/>
  <c r="L21" i="26"/>
  <c r="N18" i="27"/>
  <c r="N21" i="26"/>
  <c r="N19" i="26"/>
  <c r="N18" i="26"/>
  <c r="L23" i="25"/>
  <c r="J24" i="25"/>
  <c r="D24" i="25"/>
  <c r="L21" i="25"/>
  <c r="N20" i="25"/>
  <c r="N21" i="25"/>
  <c r="N18" i="25"/>
  <c r="J24" i="24"/>
  <c r="L23" i="24"/>
  <c r="D24" i="24"/>
  <c r="L21" i="24"/>
  <c r="N20" i="24"/>
  <c r="N19" i="24"/>
  <c r="N21" i="24"/>
  <c r="N18" i="24"/>
  <c r="J24" i="23"/>
  <c r="D24" i="23"/>
  <c r="N19" i="23"/>
  <c r="N21" i="23"/>
  <c r="N18" i="23"/>
  <c r="L23" i="22"/>
  <c r="D24" i="22"/>
  <c r="L21" i="22"/>
  <c r="N21" i="22"/>
  <c r="N18" i="22"/>
  <c r="J24" i="21"/>
  <c r="L21" i="21"/>
  <c r="L23" i="21"/>
  <c r="G24" i="21"/>
  <c r="D24" i="21"/>
  <c r="N21" i="21"/>
  <c r="N19" i="21"/>
  <c r="L23" i="20"/>
  <c r="J24" i="20"/>
  <c r="L21" i="20"/>
  <c r="D24" i="20"/>
  <c r="N20" i="20"/>
  <c r="N19" i="20"/>
  <c r="N21" i="20"/>
  <c r="N18" i="20"/>
  <c r="J24" i="19"/>
  <c r="L23" i="19"/>
  <c r="L21" i="19"/>
  <c r="D24" i="19"/>
  <c r="N19" i="19"/>
  <c r="N21" i="19"/>
  <c r="N18" i="19"/>
  <c r="J24" i="18"/>
  <c r="L23" i="18"/>
  <c r="D24" i="18"/>
  <c r="L21" i="18"/>
  <c r="N19" i="18"/>
  <c r="N21" i="18"/>
  <c r="J24" i="17"/>
  <c r="G24" i="17"/>
  <c r="L21" i="17"/>
  <c r="L23" i="17"/>
  <c r="L22" i="17"/>
  <c r="N18" i="17"/>
  <c r="N21" i="17"/>
  <c r="N19" i="17"/>
  <c r="N19" i="16"/>
  <c r="N21" i="16"/>
  <c r="N18" i="16"/>
  <c r="J24" i="15"/>
  <c r="L23" i="15"/>
  <c r="L21" i="15"/>
  <c r="D24" i="15"/>
  <c r="N20" i="15"/>
  <c r="N19" i="15"/>
  <c r="N21" i="15"/>
  <c r="N18" i="15"/>
  <c r="J24" i="14"/>
  <c r="D24" i="14"/>
  <c r="L22" i="14"/>
  <c r="N21" i="14"/>
  <c r="L23" i="13"/>
  <c r="L21" i="13"/>
  <c r="D24" i="13"/>
  <c r="N19" i="13"/>
  <c r="N21" i="13"/>
  <c r="N18" i="13"/>
  <c r="L23" i="12"/>
  <c r="J24" i="12"/>
  <c r="L21" i="12"/>
  <c r="D24" i="12"/>
  <c r="N20" i="12"/>
  <c r="N21" i="12"/>
  <c r="N18" i="12"/>
  <c r="L23" i="11"/>
  <c r="D24" i="11"/>
  <c r="L21" i="11"/>
  <c r="N20" i="11"/>
  <c r="N21" i="11"/>
  <c r="N18" i="11"/>
  <c r="J24" i="10"/>
  <c r="D24" i="10"/>
  <c r="N19" i="10"/>
  <c r="N21" i="10"/>
  <c r="N18" i="10"/>
  <c r="L21" i="9"/>
  <c r="L24" i="9" s="1"/>
  <c r="N20" i="9"/>
  <c r="N21" i="9"/>
  <c r="N18" i="9"/>
  <c r="L23" i="8"/>
  <c r="J24" i="8"/>
  <c r="G24" i="8"/>
  <c r="L21" i="8"/>
  <c r="N20" i="8"/>
  <c r="N18" i="8"/>
  <c r="N21" i="8"/>
  <c r="N19" i="8"/>
  <c r="J24" i="7"/>
  <c r="L23" i="7"/>
  <c r="L21" i="7"/>
  <c r="D24" i="7"/>
  <c r="N19" i="7"/>
  <c r="N21" i="7"/>
  <c r="N18" i="7"/>
  <c r="J24" i="6"/>
  <c r="L23" i="6"/>
  <c r="G24" i="6"/>
  <c r="D24" i="6"/>
  <c r="N20" i="6"/>
  <c r="N19" i="6"/>
  <c r="N18" i="6"/>
  <c r="N21" i="6"/>
  <c r="J24" i="5"/>
  <c r="L22" i="5"/>
  <c r="L23" i="5"/>
  <c r="L21" i="5"/>
  <c r="N20" i="5"/>
  <c r="N19" i="5"/>
  <c r="N18" i="5"/>
  <c r="N21" i="5"/>
  <c r="L23" i="4"/>
  <c r="L22" i="4"/>
  <c r="L21" i="4"/>
  <c r="N19" i="4"/>
  <c r="N21" i="4"/>
  <c r="N18" i="4"/>
  <c r="J24" i="3"/>
  <c r="L23" i="3"/>
  <c r="L21" i="3"/>
  <c r="D24" i="3"/>
  <c r="N20" i="3"/>
  <c r="N19" i="3"/>
  <c r="N18" i="3"/>
  <c r="N21" i="3"/>
  <c r="J24" i="2"/>
  <c r="L23" i="2"/>
  <c r="D24" i="2"/>
  <c r="L21" i="2"/>
  <c r="N20" i="2"/>
  <c r="N21" i="2"/>
  <c r="N18" i="2"/>
  <c r="L23" i="1"/>
  <c r="J24" i="1"/>
  <c r="L22" i="1"/>
  <c r="L21" i="1"/>
  <c r="L22" i="29"/>
  <c r="G24" i="29"/>
  <c r="D24" i="28"/>
  <c r="L22" i="27"/>
  <c r="G24" i="27"/>
  <c r="L22" i="25"/>
  <c r="G24" i="25"/>
  <c r="L22" i="24"/>
  <c r="G24" i="24"/>
  <c r="G24" i="23"/>
  <c r="G24" i="22"/>
  <c r="L22" i="22"/>
  <c r="L22" i="21"/>
  <c r="L22" i="20"/>
  <c r="G24" i="20"/>
  <c r="L22" i="19"/>
  <c r="G24" i="19"/>
  <c r="L22" i="18"/>
  <c r="G24" i="18"/>
  <c r="D24" i="17"/>
  <c r="L22" i="15"/>
  <c r="G24" i="15"/>
  <c r="G24" i="14"/>
  <c r="L21" i="14"/>
  <c r="L22" i="13"/>
  <c r="G24" i="13"/>
  <c r="L22" i="12"/>
  <c r="G24" i="12"/>
  <c r="G24" i="11"/>
  <c r="L22" i="10"/>
  <c r="L24" i="10" s="1"/>
  <c r="G24" i="10"/>
  <c r="D24" i="9"/>
  <c r="G24" i="9"/>
  <c r="L22" i="8"/>
  <c r="L22" i="7"/>
  <c r="G24" i="7"/>
  <c r="L22" i="6"/>
  <c r="L21" i="6"/>
  <c r="D24" i="5"/>
  <c r="G24" i="5"/>
  <c r="D24" i="4"/>
  <c r="G24" i="4"/>
  <c r="L22" i="3"/>
  <c r="G24" i="3"/>
  <c r="L22" i="2"/>
  <c r="G24" i="2"/>
  <c r="D24" i="1"/>
  <c r="L24" i="27" l="1"/>
  <c r="L24" i="1"/>
  <c r="L24" i="29"/>
  <c r="L24" i="26"/>
  <c r="L24" i="24"/>
  <c r="L24" i="21"/>
  <c r="L24" i="20"/>
  <c r="L24" i="19"/>
  <c r="L24" i="18"/>
  <c r="L24" i="17"/>
  <c r="L24" i="15"/>
  <c r="L24" i="14"/>
  <c r="L24" i="13"/>
  <c r="L24" i="12"/>
  <c r="L24" i="8"/>
  <c r="L24" i="7"/>
  <c r="L24" i="6"/>
  <c r="L24" i="5"/>
  <c r="L24" i="4"/>
  <c r="L24" i="3"/>
  <c r="L24" i="2"/>
  <c r="T5" i="35"/>
  <c r="H31" i="36" l="1"/>
  <c r="H28" i="36"/>
  <c r="H27" i="36"/>
  <c r="H25" i="36"/>
  <c r="H24" i="36"/>
  <c r="H1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E31" i="36"/>
  <c r="E28" i="36"/>
  <c r="E25" i="36"/>
  <c r="E24" i="36"/>
  <c r="E1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B31" i="36"/>
  <c r="B28" i="36"/>
  <c r="B26" i="36"/>
  <c r="B25" i="36"/>
  <c r="B14" i="36"/>
  <c r="H31" i="35"/>
  <c r="H28" i="35"/>
  <c r="H14" i="35"/>
  <c r="H7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4" i="35"/>
  <c r="G13" i="35"/>
  <c r="G12" i="35"/>
  <c r="G11" i="35"/>
  <c r="G10" i="35"/>
  <c r="G9" i="35"/>
  <c r="G8" i="35"/>
  <c r="G7" i="35"/>
  <c r="G6" i="35"/>
  <c r="G5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E31" i="35"/>
  <c r="E28" i="35"/>
  <c r="E1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B31" i="35"/>
  <c r="B28" i="35"/>
  <c r="B14" i="35"/>
  <c r="B8" i="35" l="1"/>
  <c r="S34" i="36"/>
  <c r="R34" i="36"/>
  <c r="Q34" i="36"/>
  <c r="P34" i="36"/>
  <c r="N34" i="36"/>
  <c r="M34" i="36"/>
  <c r="L34" i="36"/>
  <c r="K34" i="36"/>
  <c r="J34" i="36"/>
  <c r="O33" i="36"/>
  <c r="O32" i="36"/>
  <c r="O31" i="36"/>
  <c r="I31" i="36"/>
  <c r="O30" i="36"/>
  <c r="O29" i="36"/>
  <c r="O28" i="36"/>
  <c r="I28" i="36"/>
  <c r="O27" i="36"/>
  <c r="O26" i="36"/>
  <c r="O25" i="36"/>
  <c r="I25" i="36"/>
  <c r="O24" i="36"/>
  <c r="O23" i="36"/>
  <c r="O22" i="36"/>
  <c r="O21" i="36"/>
  <c r="O20" i="36"/>
  <c r="O19" i="36"/>
  <c r="O18" i="36"/>
  <c r="O17" i="36"/>
  <c r="O16" i="36"/>
  <c r="O15" i="36"/>
  <c r="O14" i="36"/>
  <c r="I14" i="36"/>
  <c r="O13" i="36"/>
  <c r="O12" i="36"/>
  <c r="O11" i="36"/>
  <c r="O10" i="36"/>
  <c r="O9" i="36"/>
  <c r="O8" i="36"/>
  <c r="O7" i="36"/>
  <c r="O6" i="36"/>
  <c r="O5" i="36"/>
  <c r="S34" i="35"/>
  <c r="R34" i="35"/>
  <c r="Q34" i="35"/>
  <c r="P34" i="35"/>
  <c r="N34" i="35"/>
  <c r="M34" i="35"/>
  <c r="L34" i="35"/>
  <c r="K34" i="35"/>
  <c r="J34" i="35"/>
  <c r="I31" i="35"/>
  <c r="I28" i="35"/>
  <c r="I14" i="35"/>
  <c r="O5" i="35"/>
  <c r="H31" i="34"/>
  <c r="H28" i="34"/>
  <c r="H1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E31" i="34"/>
  <c r="E28" i="34"/>
  <c r="E1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O34" i="36" l="1"/>
  <c r="U28" i="35"/>
  <c r="U31" i="36"/>
  <c r="U14" i="35"/>
  <c r="U14" i="36"/>
  <c r="U25" i="36"/>
  <c r="U31" i="35"/>
  <c r="U28" i="36"/>
  <c r="O34" i="35"/>
  <c r="T34" i="35"/>
  <c r="U34" i="35" s="1"/>
  <c r="P37" i="38" l="1"/>
  <c r="O37" i="38"/>
  <c r="N37" i="38"/>
  <c r="M37" i="38"/>
  <c r="L37" i="38"/>
  <c r="K37" i="38"/>
  <c r="H33" i="36" l="1"/>
  <c r="E33" i="36"/>
  <c r="H33" i="35"/>
  <c r="E33" i="35"/>
  <c r="B33" i="35"/>
  <c r="E33" i="34"/>
  <c r="H32" i="36"/>
  <c r="E32" i="36"/>
  <c r="H32" i="35"/>
  <c r="E32" i="35"/>
  <c r="B32" i="35"/>
  <c r="I32" i="35" s="1"/>
  <c r="E32" i="34"/>
  <c r="H30" i="36"/>
  <c r="E30" i="36"/>
  <c r="B30" i="36"/>
  <c r="H30" i="35"/>
  <c r="E30" i="35"/>
  <c r="B30" i="35"/>
  <c r="H30" i="34"/>
  <c r="E30" i="34"/>
  <c r="B29" i="36"/>
  <c r="H29" i="36"/>
  <c r="E29" i="36"/>
  <c r="E29" i="35"/>
  <c r="B29" i="35"/>
  <c r="H29" i="34"/>
  <c r="E29" i="34"/>
  <c r="U32" i="35" l="1"/>
  <c r="C35" i="38"/>
  <c r="I30" i="36"/>
  <c r="U30" i="36" s="1"/>
  <c r="H32" i="34"/>
  <c r="B32" i="36"/>
  <c r="I32" i="36" s="1"/>
  <c r="I29" i="36"/>
  <c r="U29" i="36" s="1"/>
  <c r="I30" i="35"/>
  <c r="U30" i="35" s="1"/>
  <c r="H33" i="34"/>
  <c r="B33" i="36"/>
  <c r="I33" i="36" s="1"/>
  <c r="H29" i="35"/>
  <c r="I29" i="35" s="1"/>
  <c r="U29" i="35" s="1"/>
  <c r="I33" i="35"/>
  <c r="U33" i="36" l="1"/>
  <c r="D36" i="38"/>
  <c r="U33" i="35"/>
  <c r="C36" i="38"/>
  <c r="C37" i="38" s="1"/>
  <c r="U32" i="36"/>
  <c r="D35" i="38"/>
  <c r="B27" i="36"/>
  <c r="E27" i="36"/>
  <c r="H27" i="35"/>
  <c r="E27" i="35"/>
  <c r="B27" i="35"/>
  <c r="H27" i="34"/>
  <c r="E27" i="34"/>
  <c r="H26" i="36"/>
  <c r="E26" i="36"/>
  <c r="I27" i="35" l="1"/>
  <c r="U27" i="35" s="1"/>
  <c r="I26" i="36"/>
  <c r="U26" i="36" s="1"/>
  <c r="I27" i="36"/>
  <c r="U27" i="36" s="1"/>
  <c r="H26" i="35"/>
  <c r="E26" i="35"/>
  <c r="B26" i="35"/>
  <c r="H26" i="34"/>
  <c r="E26" i="34"/>
  <c r="B26" i="34"/>
  <c r="I26" i="34" l="1"/>
  <c r="B29" i="38" s="1"/>
  <c r="I26" i="35"/>
  <c r="U26" i="35" s="1"/>
  <c r="H25" i="35"/>
  <c r="E25" i="35"/>
  <c r="B25" i="35"/>
  <c r="H25" i="34"/>
  <c r="E25" i="34"/>
  <c r="I25" i="35" l="1"/>
  <c r="U25" i="35" s="1"/>
  <c r="B24" i="36"/>
  <c r="I24" i="36" s="1"/>
  <c r="U24" i="36" s="1"/>
  <c r="H24" i="35"/>
  <c r="E24" i="35"/>
  <c r="B24" i="35"/>
  <c r="H24" i="34"/>
  <c r="E24" i="34"/>
  <c r="I24" i="35" l="1"/>
  <c r="U24" i="35" s="1"/>
  <c r="H23" i="35" l="1"/>
  <c r="H22" i="35"/>
  <c r="B23" i="35"/>
  <c r="I23" i="35" s="1"/>
  <c r="U23" i="35" s="1"/>
  <c r="B22" i="35"/>
  <c r="E23" i="36"/>
  <c r="E22" i="36"/>
  <c r="E22" i="35"/>
  <c r="E23" i="35"/>
  <c r="H22" i="36"/>
  <c r="H23" i="36"/>
  <c r="E23" i="34"/>
  <c r="E22" i="34"/>
  <c r="H23" i="34"/>
  <c r="H22" i="34"/>
  <c r="B23" i="36"/>
  <c r="B22" i="36"/>
  <c r="H21" i="36"/>
  <c r="E21" i="36"/>
  <c r="B21" i="36"/>
  <c r="E21" i="35"/>
  <c r="B21" i="35"/>
  <c r="H21" i="34"/>
  <c r="H20" i="36"/>
  <c r="E20" i="36"/>
  <c r="B20" i="36"/>
  <c r="H20" i="35"/>
  <c r="E20" i="35"/>
  <c r="B20" i="35"/>
  <c r="H20" i="34"/>
  <c r="E20" i="34"/>
  <c r="I22" i="36" l="1"/>
  <c r="U22" i="36" s="1"/>
  <c r="I20" i="36"/>
  <c r="U20" i="36" s="1"/>
  <c r="I21" i="36"/>
  <c r="U21" i="36" s="1"/>
  <c r="I22" i="35"/>
  <c r="U22" i="35" s="1"/>
  <c r="I20" i="35"/>
  <c r="U20" i="35" s="1"/>
  <c r="E21" i="34"/>
  <c r="H21" i="35"/>
  <c r="I21" i="35" s="1"/>
  <c r="U21" i="35" s="1"/>
  <c r="I23" i="36"/>
  <c r="U23" i="36" s="1"/>
  <c r="B33" i="34" l="1"/>
  <c r="I33" i="34" s="1"/>
  <c r="B36" i="38" s="1"/>
  <c r="B32" i="34"/>
  <c r="I32" i="34" s="1"/>
  <c r="B35" i="38" s="1"/>
  <c r="B31" i="34"/>
  <c r="I31" i="34" s="1"/>
  <c r="B34" i="38" s="1"/>
  <c r="B30" i="34"/>
  <c r="I30" i="34" s="1"/>
  <c r="B33" i="38" s="1"/>
  <c r="B29" i="34"/>
  <c r="I29" i="34" s="1"/>
  <c r="B32" i="38" s="1"/>
  <c r="B28" i="34"/>
  <c r="I28" i="34" s="1"/>
  <c r="B31" i="38" s="1"/>
  <c r="B27" i="34"/>
  <c r="I27" i="34" s="1"/>
  <c r="B30" i="38" s="1"/>
  <c r="B25" i="34"/>
  <c r="I25" i="34" s="1"/>
  <c r="B28" i="38" s="1"/>
  <c r="B24" i="34"/>
  <c r="I24" i="34" s="1"/>
  <c r="B27" i="38" s="1"/>
  <c r="B23" i="34"/>
  <c r="I23" i="34" s="1"/>
  <c r="B26" i="38" s="1"/>
  <c r="B22" i="34"/>
  <c r="I22" i="34" s="1"/>
  <c r="B25" i="38" s="1"/>
  <c r="B21" i="34"/>
  <c r="I21" i="34" s="1"/>
  <c r="B24" i="38" s="1"/>
  <c r="B20" i="34"/>
  <c r="I20" i="34" s="1"/>
  <c r="B23" i="38" s="1"/>
  <c r="B14" i="34"/>
  <c r="I14" i="34" s="1"/>
  <c r="B17" i="38" s="1"/>
  <c r="B19" i="34" l="1"/>
  <c r="B18" i="34"/>
  <c r="E18" i="35"/>
  <c r="E19" i="35"/>
  <c r="H18" i="34"/>
  <c r="H19" i="34"/>
  <c r="B19" i="36"/>
  <c r="B18" i="36"/>
  <c r="H18" i="36"/>
  <c r="H19" i="36"/>
  <c r="B19" i="35"/>
  <c r="B18" i="35"/>
  <c r="E19" i="36"/>
  <c r="E18" i="36"/>
  <c r="E19" i="34"/>
  <c r="E18" i="34"/>
  <c r="H19" i="35"/>
  <c r="H18" i="35"/>
  <c r="S34" i="34"/>
  <c r="R34" i="34"/>
  <c r="Q34" i="34"/>
  <c r="P34" i="34"/>
  <c r="N34" i="34"/>
  <c r="M34" i="34"/>
  <c r="L34" i="34"/>
  <c r="K34" i="34"/>
  <c r="J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I19" i="34" l="1"/>
  <c r="B22" i="38" s="1"/>
  <c r="I19" i="35"/>
  <c r="U19" i="35" s="1"/>
  <c r="I19" i="36"/>
  <c r="U19" i="36" s="1"/>
  <c r="I18" i="34"/>
  <c r="B21" i="38" s="1"/>
  <c r="I18" i="35"/>
  <c r="U18" i="35" s="1"/>
  <c r="I18" i="36"/>
  <c r="U18" i="36" s="1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O12" i="34"/>
  <c r="O11" i="34"/>
  <c r="O10" i="34"/>
  <c r="O9" i="34"/>
  <c r="O8" i="34"/>
  <c r="O7" i="34"/>
  <c r="O6" i="34"/>
  <c r="O5" i="34"/>
  <c r="O34" i="34" l="1"/>
  <c r="H17" i="36" l="1"/>
  <c r="E17" i="36"/>
  <c r="B17" i="36"/>
  <c r="H17" i="35"/>
  <c r="E17" i="35"/>
  <c r="B17" i="35"/>
  <c r="E17" i="34"/>
  <c r="B17" i="34"/>
  <c r="H16" i="36"/>
  <c r="E16" i="36"/>
  <c r="B16" i="36"/>
  <c r="H16" i="35"/>
  <c r="E16" i="35"/>
  <c r="B16" i="35"/>
  <c r="H16" i="34"/>
  <c r="E16" i="34"/>
  <c r="B16" i="34"/>
  <c r="H15" i="36"/>
  <c r="E15" i="36"/>
  <c r="B15" i="36"/>
  <c r="E15" i="35"/>
  <c r="B15" i="35"/>
  <c r="E15" i="34"/>
  <c r="I17" i="36" l="1"/>
  <c r="U17" i="36" s="1"/>
  <c r="I16" i="34"/>
  <c r="B19" i="38" s="1"/>
  <c r="H17" i="34"/>
  <c r="I17" i="34" s="1"/>
  <c r="B20" i="38" s="1"/>
  <c r="I16" i="36"/>
  <c r="U16" i="36" s="1"/>
  <c r="I17" i="35"/>
  <c r="U17" i="35" s="1"/>
  <c r="I16" i="35"/>
  <c r="U16" i="35" s="1"/>
  <c r="H15" i="34"/>
  <c r="I15" i="36"/>
  <c r="U15" i="36" s="1"/>
  <c r="B15" i="34"/>
  <c r="I15" i="34" l="1"/>
  <c r="B18" i="38" s="1"/>
  <c r="H13" i="36"/>
  <c r="E13" i="36"/>
  <c r="B13" i="36"/>
  <c r="H13" i="35"/>
  <c r="E13" i="35"/>
  <c r="B13" i="35"/>
  <c r="H13" i="34"/>
  <c r="E13" i="34"/>
  <c r="B13" i="34"/>
  <c r="I13" i="36" l="1"/>
  <c r="U13" i="36" s="1"/>
  <c r="I13" i="35"/>
  <c r="U13" i="35" s="1"/>
  <c r="I13" i="34"/>
  <c r="B16" i="38" s="1"/>
  <c r="T13" i="34" l="1"/>
  <c r="T12" i="34"/>
  <c r="T11" i="34"/>
  <c r="T10" i="34"/>
  <c r="T9" i="34"/>
  <c r="T8" i="34"/>
  <c r="T7" i="34"/>
  <c r="T6" i="34"/>
  <c r="T5" i="34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T34" i="34" l="1"/>
  <c r="U13" i="34"/>
  <c r="U15" i="34"/>
  <c r="U17" i="34"/>
  <c r="U19" i="34"/>
  <c r="U21" i="34"/>
  <c r="U23" i="34"/>
  <c r="U25" i="34"/>
  <c r="U27" i="34"/>
  <c r="U29" i="34"/>
  <c r="U31" i="34"/>
  <c r="U33" i="34"/>
  <c r="U14" i="34"/>
  <c r="U16" i="34"/>
  <c r="U18" i="34"/>
  <c r="U20" i="34"/>
  <c r="U22" i="34"/>
  <c r="U24" i="34"/>
  <c r="U26" i="34"/>
  <c r="U28" i="34"/>
  <c r="U30" i="34"/>
  <c r="U32" i="34"/>
  <c r="H12" i="36"/>
  <c r="E12" i="36"/>
  <c r="B12" i="36"/>
  <c r="H12" i="35"/>
  <c r="E12" i="35"/>
  <c r="B12" i="35"/>
  <c r="H12" i="34"/>
  <c r="E12" i="34"/>
  <c r="B12" i="34"/>
  <c r="I12" i="36" l="1"/>
  <c r="U12" i="36" s="1"/>
  <c r="I12" i="34"/>
  <c r="I12" i="35"/>
  <c r="U12" i="35" s="1"/>
  <c r="H11" i="36"/>
  <c r="E11" i="36"/>
  <c r="B11" i="36"/>
  <c r="H11" i="35"/>
  <c r="E11" i="35"/>
  <c r="B11" i="35"/>
  <c r="H11" i="34"/>
  <c r="E11" i="34"/>
  <c r="B11" i="34"/>
  <c r="B15" i="38" l="1"/>
  <c r="E15" i="38" s="1"/>
  <c r="U12" i="34"/>
  <c r="I11" i="36"/>
  <c r="U11" i="36" s="1"/>
  <c r="I11" i="35"/>
  <c r="U11" i="35" s="1"/>
  <c r="I11" i="34"/>
  <c r="H10" i="36"/>
  <c r="E10" i="36"/>
  <c r="H10" i="35"/>
  <c r="E10" i="35"/>
  <c r="B10" i="35"/>
  <c r="H10" i="34"/>
  <c r="E10" i="34"/>
  <c r="B10" i="34"/>
  <c r="B9" i="35"/>
  <c r="B14" i="38" l="1"/>
  <c r="E14" i="38" s="1"/>
  <c r="I10" i="35"/>
  <c r="U10" i="35" s="1"/>
  <c r="U11" i="34"/>
  <c r="D37" i="38"/>
  <c r="I10" i="34"/>
  <c r="B10" i="36"/>
  <c r="I10" i="36" s="1"/>
  <c r="U10" i="36" s="1"/>
  <c r="H9" i="36"/>
  <c r="E9" i="36"/>
  <c r="B9" i="36"/>
  <c r="H9" i="35"/>
  <c r="E9" i="35"/>
  <c r="H9" i="34"/>
  <c r="E9" i="34"/>
  <c r="B9" i="34"/>
  <c r="B13" i="38" l="1"/>
  <c r="E13" i="38" s="1"/>
  <c r="U10" i="34"/>
  <c r="I9" i="36"/>
  <c r="U9" i="36" s="1"/>
  <c r="I9" i="35"/>
  <c r="U9" i="35" s="1"/>
  <c r="I9" i="34"/>
  <c r="H8" i="35"/>
  <c r="B12" i="38" l="1"/>
  <c r="E12" i="38" s="1"/>
  <c r="U9" i="34"/>
  <c r="H8" i="36"/>
  <c r="E8" i="36"/>
  <c r="B8" i="36"/>
  <c r="H8" i="34"/>
  <c r="I8" i="36" l="1"/>
  <c r="U8" i="36" s="1"/>
  <c r="E8" i="35"/>
  <c r="E8" i="34"/>
  <c r="B8" i="34"/>
  <c r="H7" i="36"/>
  <c r="E7" i="36"/>
  <c r="B7" i="36"/>
  <c r="E7" i="35"/>
  <c r="B7" i="35"/>
  <c r="H7" i="34"/>
  <c r="E7" i="34"/>
  <c r="I8" i="34" l="1"/>
  <c r="I8" i="35"/>
  <c r="U8" i="35" s="1"/>
  <c r="I7" i="36"/>
  <c r="U7" i="36" s="1"/>
  <c r="I7" i="35"/>
  <c r="U7" i="35" s="1"/>
  <c r="B7" i="34"/>
  <c r="I7" i="34" s="1"/>
  <c r="B10" i="38" s="1"/>
  <c r="E10" i="38" s="1"/>
  <c r="H6" i="36"/>
  <c r="E6" i="36"/>
  <c r="B6" i="36"/>
  <c r="H6" i="35"/>
  <c r="E6" i="35"/>
  <c r="B6" i="35"/>
  <c r="H6" i="34"/>
  <c r="E6" i="34"/>
  <c r="B6" i="34"/>
  <c r="E5" i="36"/>
  <c r="E5" i="35"/>
  <c r="E5" i="34"/>
  <c r="B5" i="34"/>
  <c r="N27" i="1"/>
  <c r="H5" i="36"/>
  <c r="B5" i="36"/>
  <c r="H5" i="35"/>
  <c r="B5" i="35"/>
  <c r="H5" i="34"/>
  <c r="M7" i="1"/>
  <c r="N21" i="1" s="1"/>
  <c r="M6" i="1"/>
  <c r="Q5" i="1"/>
  <c r="M5" i="1"/>
  <c r="M4" i="1"/>
  <c r="U8" i="34" l="1"/>
  <c r="B11" i="38"/>
  <c r="E11" i="38" s="1"/>
  <c r="U7" i="34"/>
  <c r="I6" i="36"/>
  <c r="U6" i="36" s="1"/>
  <c r="I6" i="35"/>
  <c r="U6" i="35" s="1"/>
  <c r="I6" i="34"/>
  <c r="I5" i="36"/>
  <c r="I5" i="35"/>
  <c r="I5" i="34"/>
  <c r="B8" i="38" s="1"/>
  <c r="N20" i="1"/>
  <c r="N19" i="1"/>
  <c r="N18" i="1"/>
  <c r="U6" i="34" l="1"/>
  <c r="B9" i="38"/>
  <c r="E9" i="38" s="1"/>
  <c r="E8" i="38"/>
  <c r="I34" i="36"/>
  <c r="I34" i="34"/>
  <c r="U5" i="36"/>
  <c r="U5" i="34"/>
  <c r="E36" i="38" l="1"/>
  <c r="E37" i="38" s="1"/>
  <c r="B37" i="38"/>
  <c r="Q26" i="10" l="1"/>
  <c r="Q26" i="11" s="1"/>
  <c r="Q26" i="13" s="1"/>
  <c r="Q26" i="14" s="1"/>
  <c r="Q26" i="15" s="1"/>
  <c r="Q26" i="16" s="1"/>
  <c r="Q26" i="17" s="1"/>
  <c r="Q26" i="18" s="1"/>
  <c r="Q26" i="19" s="1"/>
  <c r="Q26" i="20" s="1"/>
  <c r="Q26" i="21" s="1"/>
  <c r="Q26" i="22" s="1"/>
  <c r="Q26" i="23" s="1"/>
  <c r="Q26" i="24" s="1"/>
  <c r="Q26" i="25" s="1"/>
  <c r="Q26" i="26" s="1"/>
  <c r="Q26" i="27" s="1"/>
  <c r="Q26" i="28" s="1"/>
  <c r="Q26" i="29" s="1"/>
  <c r="G15" i="35"/>
  <c r="J22" i="11"/>
  <c r="J24" i="11" s="1"/>
  <c r="L22" i="11" l="1"/>
  <c r="L24" i="11" s="1"/>
  <c r="H15" i="35"/>
  <c r="I15" i="35" s="1"/>
  <c r="I34" i="35" l="1"/>
  <c r="U15" i="35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V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<sst xmlns="http://schemas.openxmlformats.org/spreadsheetml/2006/main" count="4312" uniqueCount="374">
  <si>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</si>
  <si>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</si>
  <si>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</si>
  <si>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</si>
  <si>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</si>
  <si>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</si>
  <si>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</si>
  <si>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</si>
  <si>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</si>
  <si>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</si>
  <si>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</si>
  <si>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</si>
  <si>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</si>
  <si>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</si>
  <si>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</si>
  <si>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</si>
  <si>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</si>
  <si>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</si>
  <si>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</si>
  <si>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</si>
  <si>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</si>
  <si>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</si>
  <si>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</si>
  <si>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</si>
  <si>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</si>
  <si>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</si>
  <si>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</si>
  <si>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</si>
  <si>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</si>
  <si>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</si>
  <si>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</si>
  <si>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</si>
  <si>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</si>
  <si>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</si>
  <si>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</si>
  <si>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</si>
  <si>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</si>
  <si>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</si>
  <si>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</si>
  <si>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</si>
  <si>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</si>
  <si>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</si>
  <si>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</si>
  <si>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</si>
  <si>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</si>
  <si>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</si>
  <si>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</si>
  <si>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</si>
  <si>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</si>
  <si>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</si>
  <si>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</si>
  <si>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</si>
  <si>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Sr.Manager (E&amp;M)</t>
  </si>
  <si>
    <t>Incharge CHP</t>
  </si>
  <si>
    <t xml:space="preserve">Dudhichua </t>
  </si>
  <si>
    <t>Dudhichua</t>
  </si>
  <si>
    <t>Cc, Incharge Sales,Dudhichua</t>
  </si>
  <si>
    <t>VSTPP</t>
  </si>
  <si>
    <t>IIIrd Shift</t>
  </si>
  <si>
    <t>2nd Shift</t>
  </si>
  <si>
    <t>Prepared by</t>
  </si>
  <si>
    <t>Total
Phase-I</t>
  </si>
  <si>
    <t>Total
Phase-II</t>
  </si>
  <si>
    <t>B/D hrs</t>
  </si>
  <si>
    <t xml:space="preserve">No.Rakes  :     </t>
  </si>
  <si>
    <t xml:space="preserve">Jayant  </t>
  </si>
  <si>
    <t>Mobile Crusher</t>
  </si>
  <si>
    <t xml:space="preserve">Total D.O. : </t>
  </si>
  <si>
    <t xml:space="preserve">DCH Despatch:  </t>
  </si>
  <si>
    <t xml:space="preserve">Surface Miner </t>
  </si>
  <si>
    <t>NIL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</si>
  <si>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</si>
  <si>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</si>
  <si>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</si>
  <si>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</si>
  <si>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</si>
  <si>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</si>
  <si>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 xml:space="preserve">Warf wall :4  </t>
  </si>
  <si>
    <t>Total Despatch:</t>
  </si>
  <si>
    <t>Dispatch</t>
  </si>
  <si>
    <t xml:space="preserve">Progressive Silo:    </t>
  </si>
  <si>
    <t>Date</t>
  </si>
  <si>
    <t>Plant Running Hours</t>
  </si>
  <si>
    <t>Streem -I</t>
  </si>
  <si>
    <t>Streem -II</t>
  </si>
  <si>
    <t>Streem -III</t>
  </si>
  <si>
    <t>120T Dumper</t>
  </si>
  <si>
    <t>85T Dumper</t>
  </si>
  <si>
    <t>Payloder</t>
  </si>
  <si>
    <t>Phase -I</t>
  </si>
  <si>
    <t>G Total</t>
  </si>
  <si>
    <t>Progressive DCH</t>
  </si>
  <si>
    <t>FROM</t>
  </si>
  <si>
    <t>TO</t>
  </si>
  <si>
    <t>chp Incharge</t>
  </si>
  <si>
    <t>Crushing Qty</t>
  </si>
  <si>
    <t>Rakes</t>
  </si>
  <si>
    <t>Qty</t>
  </si>
  <si>
    <t>Prograsive Qty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</si>
  <si>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</si>
  <si>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</si>
  <si>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</si>
  <si>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</si>
  <si>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</si>
  <si>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</si>
  <si>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</si>
  <si>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</si>
  <si>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</si>
  <si>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</si>
  <si>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</si>
  <si>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</si>
  <si>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</si>
  <si>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 xml:space="preserve">   --</t>
  </si>
  <si>
    <t>TOTAL</t>
  </si>
  <si>
    <t xml:space="preserve">                   Incharge CHP</t>
  </si>
  <si>
    <t xml:space="preserve">                   Sr.Manager (E&amp;M)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</si>
  <si>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</si>
  <si>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</si>
  <si>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1. General Manager , Dudhichua : For  kind  information.</t>
  </si>
  <si>
    <t xml:space="preserve">                                                Staff Officer (E&amp;M), Dudhichua</t>
  </si>
  <si>
    <t xml:space="preserve">                                         Project Officer, Dudhichua.</t>
  </si>
  <si>
    <t xml:space="preserve">             4. Project Engineer (E&amp;M), Dudhichua.</t>
  </si>
  <si>
    <t xml:space="preserve">                                                                                            Sream -I</t>
  </si>
  <si>
    <t xml:space="preserve">Despatch </t>
  </si>
  <si>
    <t xml:space="preserve">Coal recieve </t>
  </si>
  <si>
    <t>Phase -I+II</t>
  </si>
  <si>
    <t>5AM-  6 AM</t>
  </si>
  <si>
    <t>1PM- 2 PM</t>
  </si>
  <si>
    <t>9PM-10PM</t>
  </si>
  <si>
    <t>APLS</t>
  </si>
  <si>
    <t xml:space="preserve">Warf wall : 3  </t>
  </si>
  <si>
    <t>SSTPS</t>
  </si>
  <si>
    <t xml:space="preserve">  </t>
  </si>
  <si>
    <t>Northern  Coalfields Limited</t>
  </si>
  <si>
    <t>CHP,Dudhichua  Project.</t>
  </si>
  <si>
    <t xml:space="preserve"> CHP</t>
  </si>
  <si>
    <t xml:space="preserve">Running Hrs as per norms/ Standard Hrs.  </t>
  </si>
  <si>
    <t>Maint. Hrs</t>
  </si>
  <si>
    <t xml:space="preserve"> B/D Hrs</t>
  </si>
  <si>
    <t>Idle Hrs</t>
  </si>
  <si>
    <t>Available Hrs</t>
  </si>
  <si>
    <t>Availabilityin  %</t>
  </si>
  <si>
    <t>Utilization  in %</t>
  </si>
  <si>
    <t>Reason  of  Break down</t>
  </si>
  <si>
    <t>Stream-I</t>
  </si>
  <si>
    <t>5x 3= 15 hrs daily
(30 x15=  450)</t>
  </si>
  <si>
    <t>Stream-II</t>
  </si>
  <si>
    <t>Stream-III</t>
  </si>
  <si>
    <t xml:space="preserve">   Total Running   Hrs. of Crusher</t>
  </si>
  <si>
    <t>Total  Crushing  qty. in MT</t>
  </si>
  <si>
    <t>TPH</t>
  </si>
  <si>
    <t>Total despatch   through CHP  in  MT.</t>
  </si>
  <si>
    <t>Total Silo full hrs</t>
  </si>
  <si>
    <t xml:space="preserve">Total  stoppage  hours 
of Crusher  due to 
incoming foreign  material from Mine hours </t>
  </si>
  <si>
    <t xml:space="preserve">Foreign Material:  </t>
  </si>
  <si>
    <r>
      <t>Note</t>
    </r>
    <r>
      <rPr>
        <sz val="11"/>
        <color theme="1"/>
        <rFont val="Times New Roman"/>
        <family val="1"/>
      </rPr>
      <t xml:space="preserve">  (i)   Available  Hrs = Operating  hrs + Idle Hrs.    </t>
    </r>
  </si>
  <si>
    <r>
      <t xml:space="preserve">           (ii) Availability    =  </t>
    </r>
    <r>
      <rPr>
        <u/>
        <sz val="11"/>
        <color theme="1"/>
        <rFont val="Times New Roman"/>
        <family val="1"/>
      </rPr>
      <t>Available Hrs x 100</t>
    </r>
  </si>
  <si>
    <t xml:space="preserve">                                             Standard Hrs</t>
  </si>
  <si>
    <r>
      <t xml:space="preserve">          (iii) Utilization   =      </t>
    </r>
    <r>
      <rPr>
        <u/>
        <sz val="11"/>
        <color theme="1"/>
        <rFont val="Times New Roman"/>
        <family val="1"/>
      </rPr>
      <t>Operating  Hrs x 100</t>
    </r>
  </si>
  <si>
    <t xml:space="preserve">                       Available Hrs</t>
  </si>
  <si>
    <t xml:space="preserve">          (iv) Idle  hours= Total hours  - ( Maint. hour + B/d hours + Operating hrs)</t>
  </si>
  <si>
    <t xml:space="preserve">                           Incharge CHP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</si>
  <si>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Dudhichua Project</t>
    </r>
  </si>
  <si>
    <t xml:space="preserve">         1. General Manager , Dudhichua : For  kind  information.</t>
  </si>
  <si>
    <t xml:space="preserve">         2. General Manager ( Mine), Dudhichua.</t>
  </si>
  <si>
    <t xml:space="preserve">         3. General Manager (E&amp;M), Dudhichua</t>
  </si>
  <si>
    <t xml:space="preserve">         4. Project Officer, Dudhichua.</t>
  </si>
  <si>
    <t xml:space="preserve">         5 . Project Engineer (E&amp;M), Dudhichua.</t>
  </si>
  <si>
    <t>Break down Hrs</t>
  </si>
  <si>
    <t>BREAK DOWN</t>
  </si>
  <si>
    <t>SSTPP</t>
  </si>
  <si>
    <t xml:space="preserve">Warf wall :4 </t>
  </si>
  <si>
    <t xml:space="preserve">Break down </t>
  </si>
  <si>
    <t xml:space="preserve">Warf wall : 4 </t>
  </si>
  <si>
    <t>Breakdown</t>
  </si>
  <si>
    <t>Warf wall : 4</t>
  </si>
  <si>
    <t>Break down</t>
  </si>
  <si>
    <t>KATRA</t>
  </si>
  <si>
    <t xml:space="preserve">Warf wall : 5  </t>
  </si>
  <si>
    <t xml:space="preserve">Warf wall : 4  </t>
  </si>
  <si>
    <t>Warf wall :   4</t>
  </si>
  <si>
    <t>74 /4403</t>
  </si>
  <si>
    <t xml:space="preserve">Warf wall : 4   </t>
  </si>
  <si>
    <t>Warf wall :4</t>
  </si>
  <si>
    <t xml:space="preserve"> Date  :  01.02 .2020</t>
  </si>
  <si>
    <t>78/ 5520.84</t>
  </si>
  <si>
    <t>233/16493.90</t>
  </si>
  <si>
    <t>91/5418.50</t>
  </si>
  <si>
    <t>234/16327.22</t>
  </si>
  <si>
    <t>R-2 under shut down</t>
  </si>
  <si>
    <t xml:space="preserve"> due to Roller replacement</t>
  </si>
  <si>
    <t xml:space="preserve"> Date  :  02.02 .2020</t>
  </si>
  <si>
    <t xml:space="preserve"> Date  :  03.02 .2020</t>
  </si>
  <si>
    <t>232/16155.21</t>
  </si>
  <si>
    <t xml:space="preserve"> Date  :  04.02 .2020</t>
  </si>
  <si>
    <t xml:space="preserve">Warf wall :  4  </t>
  </si>
  <si>
    <t>232/15892.98</t>
  </si>
  <si>
    <t xml:space="preserve"> Date  :  05.02 .2020</t>
  </si>
  <si>
    <t>233/16343.89</t>
  </si>
  <si>
    <t xml:space="preserve"> Date  :  06.02 .2020</t>
  </si>
  <si>
    <t>230/16513.10</t>
  </si>
  <si>
    <t xml:space="preserve"> Date  :  07.02 .2020</t>
  </si>
  <si>
    <t>24/1428</t>
  </si>
  <si>
    <t>291/20881.61</t>
  </si>
  <si>
    <t xml:space="preserve"> Date  :  08.02 .2020</t>
  </si>
  <si>
    <t>PIC</t>
  </si>
  <si>
    <t>71/4224.42</t>
  </si>
  <si>
    <t>175/11941</t>
  </si>
  <si>
    <t>CV1.1 BELT SNAPPED</t>
  </si>
  <si>
    <t>till now at 10.00</t>
  </si>
  <si>
    <t xml:space="preserve">BREAK DOWN </t>
  </si>
  <si>
    <t xml:space="preserve"> Date  :  09.02 .2020</t>
  </si>
  <si>
    <t xml:space="preserve">  VSTPP</t>
  </si>
  <si>
    <t>59/3510</t>
  </si>
  <si>
    <t>235/16063.37</t>
  </si>
  <si>
    <t>Belt snapped</t>
  </si>
  <si>
    <t xml:space="preserve"> Date  :  10.02 .2020</t>
  </si>
  <si>
    <t>89/5295</t>
  </si>
  <si>
    <t>234/16099.36</t>
  </si>
  <si>
    <t xml:space="preserve"> Date  :  11.02 .2020</t>
  </si>
  <si>
    <t>35/2082.5</t>
  </si>
  <si>
    <t>233/16130.31</t>
  </si>
  <si>
    <t>Roller replacement of Cv1.1</t>
  </si>
  <si>
    <t>83/1963.50</t>
  </si>
  <si>
    <t>232/15981.99</t>
  </si>
  <si>
    <t xml:space="preserve"> Date  :  12.02 .2020</t>
  </si>
  <si>
    <t xml:space="preserve"> Date  :  13.02 .2020</t>
  </si>
  <si>
    <t>72/4284</t>
  </si>
  <si>
    <t>233/16024.58</t>
  </si>
  <si>
    <t xml:space="preserve"> Date  :  14.02 .2020</t>
  </si>
  <si>
    <t>232/15785.97</t>
  </si>
  <si>
    <t>Silo full  11.55 Hrs</t>
  </si>
  <si>
    <t>Conv1.2 s/d  for roller replacement</t>
  </si>
  <si>
    <t xml:space="preserve"> Date  :  15.02 .2020</t>
  </si>
  <si>
    <t xml:space="preserve"> Date  :  16.02 .2020</t>
  </si>
  <si>
    <t>53/3153.5</t>
  </si>
  <si>
    <t>233/15917</t>
  </si>
  <si>
    <t>Silo Full Hrs</t>
  </si>
  <si>
    <t xml:space="preserve"> Date  :  17.02 .2020</t>
  </si>
  <si>
    <t>9:30Am</t>
  </si>
  <si>
    <t>01:20Pm</t>
  </si>
  <si>
    <t>Roller replacement work</t>
  </si>
  <si>
    <t>Tripper no.1 wheel derailed</t>
  </si>
  <si>
    <t>10:00Am</t>
  </si>
  <si>
    <t>1:30Pm</t>
  </si>
  <si>
    <t>242/14845</t>
  </si>
  <si>
    <t>Silo Full : 10:30</t>
  </si>
  <si>
    <t xml:space="preserve"> Date  :  18.02 .2020</t>
  </si>
  <si>
    <t>45/2677.05</t>
  </si>
  <si>
    <t>234/15683</t>
  </si>
  <si>
    <t>Silo full  Hrs : 12.25</t>
  </si>
  <si>
    <t xml:space="preserve"> Date  :  19.02 .2020</t>
  </si>
  <si>
    <t xml:space="preserve"> Date  :  20.02 .2020</t>
  </si>
  <si>
    <t xml:space="preserve">Warf wall :5  </t>
  </si>
  <si>
    <t>36/2142</t>
  </si>
  <si>
    <t>Kota</t>
  </si>
  <si>
    <t xml:space="preserve">Conv3.1 tripper wheel  </t>
  </si>
  <si>
    <t>derailed</t>
  </si>
  <si>
    <t>Nil</t>
  </si>
  <si>
    <t>Warf wall :  4</t>
  </si>
  <si>
    <t>234/15821.3</t>
  </si>
  <si>
    <t xml:space="preserve"> Date  :  21.02 .2020</t>
  </si>
  <si>
    <t>22/1309.00</t>
  </si>
  <si>
    <t>233/15736.94</t>
  </si>
  <si>
    <t>R-1 under shut dwon</t>
  </si>
  <si>
    <t>for Roller replacement</t>
  </si>
  <si>
    <t xml:space="preserve"> Date  :  22.02 .2020</t>
  </si>
  <si>
    <t xml:space="preserve"> Date  :  23.02 .2020</t>
  </si>
  <si>
    <t>233/15769.12</t>
  </si>
  <si>
    <t>Cv.1.1 roller replacement</t>
  </si>
  <si>
    <t xml:space="preserve"> Date  :  24.02 .2020</t>
  </si>
  <si>
    <t>10/595.00</t>
  </si>
  <si>
    <t>233/15566.47</t>
  </si>
  <si>
    <t xml:space="preserve"> continue </t>
  </si>
  <si>
    <t xml:space="preserve">A/F2 Counter shaft broken </t>
  </si>
  <si>
    <t xml:space="preserve"> Date  :  25.02 .2020</t>
  </si>
  <si>
    <t>KOTA</t>
  </si>
  <si>
    <t>233/15158.77</t>
  </si>
  <si>
    <t>C-4A Belt  jointing and patching work.</t>
  </si>
  <si>
    <t xml:space="preserve">Apron feeder railpole &amp;  </t>
  </si>
  <si>
    <t>Pan bend</t>
  </si>
  <si>
    <t xml:space="preserve"> Date  :  26.02 .2020</t>
  </si>
  <si>
    <t xml:space="preserve">Warf wall : 04  </t>
  </si>
  <si>
    <t>235/6216.19</t>
  </si>
  <si>
    <t xml:space="preserve"> Date  :  27.02 .2020</t>
  </si>
  <si>
    <t xml:space="preserve">Silo full : </t>
  </si>
  <si>
    <t>234/15046.50</t>
  </si>
  <si>
    <t>Cv 1.2/2.2 under s/d</t>
  </si>
  <si>
    <t>For maintenance work</t>
  </si>
  <si>
    <t xml:space="preserve">                                       Daily report  for the month of   Feb' 2020 CHP, Dudhichua</t>
  </si>
  <si>
    <t xml:space="preserve">           Daily report  for the month of   Feb'  2020 CHP, Dudhichua</t>
  </si>
  <si>
    <t>Monthly  Report of  Feb 2020</t>
  </si>
  <si>
    <t>Route R1 roller  replacement work</t>
  </si>
  <si>
    <t>CV 1.1 drive house bend pulley sleeve damaged</t>
  </si>
  <si>
    <t>Apron feeder chute jamming</t>
  </si>
  <si>
    <t>Conv 1.1 belt snaped</t>
  </si>
  <si>
    <t>Apron feeder maint work</t>
  </si>
  <si>
    <t>GC No.1 hopper  jammed</t>
  </si>
  <si>
    <t>Conv.1.1,2.1 &amp;3.1 roller replece</t>
  </si>
  <si>
    <t xml:space="preserve"> Date  :  28.02 .2020</t>
  </si>
  <si>
    <t>232/15871.00</t>
  </si>
  <si>
    <t xml:space="preserve"> Date  :  29.02 .2020</t>
  </si>
  <si>
    <t>Roza</t>
  </si>
  <si>
    <t>232/16175.58</t>
  </si>
  <si>
    <t>C-1 BELT REPLACEMENT</t>
  </si>
  <si>
    <t>Conv.1.1 roller replece</t>
  </si>
  <si>
    <t>Conv 2.2 roller replacement</t>
  </si>
  <si>
    <t xml:space="preserve">GC No.2 stapped due rail pole bend of apron feeder </t>
  </si>
  <si>
    <t>Conv 3.2 ,2.2 roller replacement</t>
  </si>
  <si>
    <t>GC No.2 R pit jammed</t>
  </si>
  <si>
    <t>New rip detector fitting</t>
  </si>
  <si>
    <t>Tripper wheel derailed</t>
  </si>
  <si>
    <t>A/Feeder no.2 tail wheel assembly broken</t>
  </si>
  <si>
    <t>Receiving pit jammed</t>
  </si>
  <si>
    <t>Phase 2 not operated due to shortage of manpower</t>
  </si>
  <si>
    <t>Belt jointing &amp; patching work</t>
  </si>
  <si>
    <t>Availability in  %</t>
  </si>
  <si>
    <t>5x 3= 15 hrs daily
(29 x15=  435)</t>
  </si>
  <si>
    <t>Running
/Operating Hrs</t>
  </si>
  <si>
    <t>206 Rakes Average 7.10 Rakes  per day.</t>
  </si>
  <si>
    <t>293.30 Hrs</t>
  </si>
  <si>
    <t xml:space="preserve">                                                                                            Stream -II</t>
  </si>
  <si>
    <t xml:space="preserve">                                                                                            Stream -III</t>
  </si>
  <si>
    <t>i)AF no.1   Hopper jamming by slurry coal and big size bolder.
ii)Conv 1.1 drive house Bend pulley sleep damaged
iii)Conv 1.1 belt snapped</t>
  </si>
  <si>
    <t>i) Reciving pit jammed of GC no.2
ii)  A/Feeder no.2 tail wheel assembly broken
iii) Roller replacement work</t>
  </si>
  <si>
    <t>i) R pit jammed GC No.3
ii) Belt jointing &amp; patching work of C4A
iii) C1A belt replacement work</t>
  </si>
  <si>
    <t>5x 3= 15 hrs daily
(31 x15=  465)</t>
  </si>
  <si>
    <t>5x 3= 15 hrs daily
(28 x15=  420)</t>
  </si>
  <si>
    <t>Availability &amp; Utilization of CHP Dudhichua Project</t>
  </si>
  <si>
    <t>SI.No</t>
  </si>
  <si>
    <t>F.Y.</t>
  </si>
  <si>
    <t>Running Hrs as per norms/ Standard Hrs.  5x 3= 15 hrs daily
(365 x15=  5475)</t>
  </si>
  <si>
    <t>Availability
 in  %</t>
  </si>
  <si>
    <t>Utilization 
 in %</t>
  </si>
  <si>
    <t>Remark</t>
  </si>
  <si>
    <t>2016-17</t>
  </si>
  <si>
    <t>2017-18</t>
  </si>
  <si>
    <t>2018-19</t>
  </si>
  <si>
    <t>CHP Incharge</t>
  </si>
  <si>
    <t>Month wise</t>
  </si>
  <si>
    <t>Availability &amp; Utilization of CHP Dudhichua Project from April 2019 to Feb 2020</t>
  </si>
  <si>
    <t>Name of CHP</t>
  </si>
  <si>
    <t>Capacity of CHP</t>
  </si>
  <si>
    <t>Total coal handled</t>
  </si>
  <si>
    <t>Total Beak down Hrs 
(B)</t>
  </si>
  <si>
    <t>Total Maintanence  Hrs 
(C)</t>
  </si>
  <si>
    <t>Total Idle Hrs. ( E )</t>
  </si>
  <si>
    <t>Total power failure Hrs.
 ( D )</t>
  </si>
  <si>
    <t>Total shift hrs (8x3x No. of days in a month)
                                (A)</t>
  </si>
  <si>
    <t>Performance / Availibility of Dudhichua CHP for the month of January 2020</t>
  </si>
  <si>
    <t>833333.3 
( Installed capacity 10MTPA)</t>
  </si>
  <si>
    <t>.</t>
  </si>
  <si>
    <t>Total availability hrs. 
F=(A-(B+C+D))</t>
  </si>
  <si>
    <t>% availibility
 = F/A*100</t>
  </si>
  <si>
    <t>% capacity utilisation</t>
  </si>
  <si>
    <t>Performance / Availibility of Dudhichua CHP for the month of February 2020</t>
  </si>
  <si>
    <t>Note: Due to non-availibility rakes throughout the month, capacity utilisation reduced</t>
  </si>
  <si>
    <t xml:space="preserve"> 862193.73 MT</t>
  </si>
  <si>
    <t xml:space="preserve">  772986.59MT</t>
  </si>
  <si>
    <t xml:space="preserve">    </t>
  </si>
  <si>
    <t>Northern Coal Fields Limited</t>
  </si>
  <si>
    <t xml:space="preserve">    DUDHICHUA  PROJECT</t>
  </si>
  <si>
    <t xml:space="preserve">  The General Manager (E&amp;M)/HOD</t>
  </si>
  <si>
    <t xml:space="preserve">   NCL HQ. Singrauli .</t>
  </si>
  <si>
    <t>Performance / Availibility of Dudhichua CHP for the month of March 2020</t>
  </si>
  <si>
    <t xml:space="preserve"> 860562.42MT</t>
  </si>
  <si>
    <t>Month</t>
  </si>
  <si>
    <t>Utilisation Hrs
G =F-E</t>
  </si>
  <si>
    <t>% utilisation
= G/A*100</t>
  </si>
  <si>
    <t>Month wise Utilization/ Availability of  CHP Dudhichua of NCL for last 3 years (2017-18,2018-19, &amp; 2019-20)</t>
  </si>
  <si>
    <t>Total shift hrs (8x3x No. of days in a month)
            (A)</t>
  </si>
  <si>
    <t>Total shift hrs (8x3x No. of days in a month)
         (A)</t>
  </si>
  <si>
    <t>Total shift hrs (8x3x No. of days in a month)                                            
             (A)</t>
  </si>
  <si>
    <t>Total Beak down Hrs 
       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</si>
</sst>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h:mm\ AM/PM;@"/>
    <numFmt numFmtId="165" formatCode="h:mm;@"/>
    <numFmt numFmtId="166" formatCode="[h]:mm"/>
    <numFmt numFmtId="167" formatCode="[$-409]mmm\-yy;@"/>
    <numFmt numFmtId="168" formatCode="0.0000%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top" wrapText="1" readingOrder="1"/>
    </xf>
    <xf numFmtId="0" fontId="5" fillId="0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3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1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1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1" xfId="0" applyFont="1" applyBorder="1" applyAlignment="1">
      <alignment vertical="top"/>
    </xf>
    <xf numFmtId="20" fontId="13" fillId="0" borderId="11" xfId="0" applyNumberFormat="1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20" fontId="13" fillId="0" borderId="11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46" fontId="13" fillId="0" borderId="11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66" fontId="14" fillId="0" borderId="2" xfId="0" applyNumberFormat="1" applyFont="1" applyBorder="1" applyAlignment="1">
      <alignment horizontal="center" vertical="center"/>
    </xf>
    <xf numFmtId="46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0" xfId="0" applyNumberFormat="1"/>
    <xf numFmtId="20" fontId="8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166" fontId="8" fillId="0" borderId="2" xfId="0" applyNumberFormat="1" applyFont="1" applyBorder="1" applyAlignment="1">
      <alignment vertical="center"/>
    </xf>
    <xf numFmtId="4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2" fontId="1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4" fillId="0" borderId="3" xfId="0" applyFont="1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4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20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/>
    <xf numFmtId="2" fontId="14" fillId="0" borderId="2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2" fontId="14" fillId="0" borderId="2" xfId="0" applyNumberFormat="1" applyFont="1" applyBorder="1"/>
    <xf numFmtId="166" fontId="14" fillId="0" borderId="2" xfId="0" applyNumberFormat="1" applyFont="1" applyBorder="1"/>
    <xf numFmtId="2" fontId="14" fillId="0" borderId="2" xfId="0" applyNumberFormat="1" applyFont="1" applyBorder="1" applyAlignment="1">
      <alignment horizontal="right"/>
    </xf>
    <xf numFmtId="20" fontId="14" fillId="0" borderId="0" xfId="0" applyNumberFormat="1" applyFont="1" applyAlignment="1">
      <alignment horizontal="center" vertical="top"/>
    </xf>
    <xf numFmtId="2" fontId="14" fillId="0" borderId="0" xfId="0" applyNumberFormat="1" applyFont="1"/>
    <xf numFmtId="20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0" fontId="16" fillId="0" borderId="2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0" fontId="21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vertical="center"/>
    </xf>
    <xf numFmtId="168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4" fontId="16" fillId="0" borderId="16" xfId="0" applyNumberFormat="1" applyFont="1" applyBorder="1" applyAlignment="1">
      <alignment horizontal="left" vertical="top" wrapText="1"/>
    </xf>
    <xf numFmtId="4" fontId="16" fillId="0" borderId="16" xfId="0" applyNumberFormat="1" applyFont="1" applyBorder="1" applyAlignment="1">
      <alignment horizontal="center" vertical="top" wrapText="1"/>
    </xf>
    <xf numFmtId="0" fontId="0" fillId="0" borderId="2" xfId="0" applyBorder="1" applyAlignment="1">
      <alignment vertical="center"/>
    </xf>
    <xf numFmtId="0" fontId="8" fillId="0" borderId="0" xfId="0" applyFont="1"/>
    <xf numFmtId="0" fontId="23" fillId="0" borderId="0" xfId="0" applyFont="1"/>
    <xf numFmtId="0" fontId="4" fillId="0" borderId="0" xfId="0" applyFont="1" applyAlignment="1">
      <alignment vertical="top"/>
    </xf>
    <xf numFmtId="0" fontId="24" fillId="0" borderId="0" xfId="0" applyFont="1"/>
    <xf numFmtId="0" fontId="25" fillId="0" borderId="0" xfId="0" applyFont="1"/>
    <xf numFmtId="0" fontId="0" fillId="0" borderId="2" xfId="0" applyBorder="1" applyAlignment="1">
      <alignment vertical="center"/>
    </xf>
    <xf numFmtId="2" fontId="0" fillId="0" borderId="2" xfId="1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46" fontId="8" fillId="0" borderId="0" xfId="0" applyNumberFormat="1" applyFont="1" applyBorder="1" applyAlignment="1">
      <alignment vertical="center" wrapText="1"/>
    </xf>
    <xf numFmtId="17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7" fontId="26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20" fontId="13" fillId="0" borderId="1" xfId="0" applyNumberFormat="1" applyFont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16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67" fontId="0" fillId="0" borderId="1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7" fontId="0" fillId="0" borderId="11" xfId="0" applyNumberForma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167" fontId="0" fillId="0" borderId="1" xfId="0" applyNumberFormat="1" applyFont="1" applyBorder="1" applyAlignment="1">
      <alignment vertical="center"/>
    </xf>
    <xf numFmtId="167" fontId="0" fillId="0" borderId="9" xfId="0" applyNumberFormat="1" applyFont="1" applyBorder="1" applyAlignment="1">
      <alignment vertical="center"/>
    </xf>
    <xf numFmtId="167" fontId="0" fillId="0" borderId="11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320599985242815E-2"/>
          <c:y val="7.4548702245552642E-2"/>
          <c:w val="0.72963461896580195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[1]Sheet36!$G$9</c:f>
              <c:strCache>
                <c:ptCount val="1"/>
                <c:pt idx="0">
                  <c:v>Availability
 in  %</c:v>
                </c:pt>
              </c:strCache>
            </c:strRef>
          </c:tx>
          <c:invertIfNegative val="0"/>
          <c:cat>
            <c:strRef>
              <c:f>[1]Sheet36!$E$10:$E$12</c:f>
              <c:strCache>
                <c:ptCount val="3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</c:strCache>
            </c:strRef>
          </c:cat>
          <c:val>
            <c:numRef>
              <c:f>[1]Sheet36!$G$10:$G$12</c:f>
              <c:numCache>
                <c:formatCode>General</c:formatCode>
                <c:ptCount val="3"/>
                <c:pt idx="0">
                  <c:v>1.3364444444444445</c:v>
                </c:pt>
                <c:pt idx="1">
                  <c:v>1.3262777777777777</c:v>
                </c:pt>
                <c:pt idx="2">
                  <c:v>1.2346083333333333</c:v>
                </c:pt>
              </c:numCache>
            </c:numRef>
          </c:val>
        </c:ser>
        <c:ser>
          <c:idx val="1"/>
          <c:order val="1"/>
          <c:tx>
            <c:strRef>
              <c:f>[1]Sheet36!$H$9</c:f>
              <c:strCache>
                <c:ptCount val="1"/>
                <c:pt idx="0">
                  <c:v>Utilization 
 in %</c:v>
                </c:pt>
              </c:strCache>
            </c:strRef>
          </c:tx>
          <c:spPr>
            <a:pattFill prst="sphere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dPt>
            <c:idx val="2"/>
            <c:invertIfNegative val="0"/>
            <c:bubble3D val="0"/>
            <c:spPr>
              <a:pattFill prst="sphere">
                <a:fgClr>
                  <a:srgbClr val="00B050"/>
                </a:fgClr>
                <a:bgClr>
                  <a:schemeClr val="bg1"/>
                </a:bgClr>
              </a:pattFill>
              <a:effectLst>
                <a:outerShdw blurRad="50800" dist="50800" dir="5400000" algn="ctr" rotWithShape="0">
                  <a:srgbClr val="92D050"/>
                </a:outerShdw>
              </a:effectLst>
            </c:spPr>
          </c:dPt>
          <c:cat>
            <c:strRef>
              <c:f>[1]Sheet36!$E$10:$E$12</c:f>
              <c:strCache>
                <c:ptCount val="3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</c:strCache>
            </c:strRef>
          </c:cat>
          <c:val>
            <c:numRef>
              <c:f>[1]Sheet36!$H$10:$H$12</c:f>
              <c:numCache>
                <c:formatCode>General</c:formatCode>
                <c:ptCount val="3"/>
                <c:pt idx="0">
                  <c:v>0.77734444444444462</c:v>
                </c:pt>
                <c:pt idx="1">
                  <c:v>0.82241944444444437</c:v>
                </c:pt>
                <c:pt idx="2">
                  <c:v>0.78209166666666663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gapDepth val="185"/>
        <c:shape val="cylinder"/>
        <c:axId val="119799168"/>
        <c:axId val="120272000"/>
        <c:axId val="0"/>
      </c:bar3DChart>
      <c:catAx>
        <c:axId val="11979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72000"/>
        <c:crosses val="autoZero"/>
        <c:auto val="1"/>
        <c:lblAlgn val="ctr"/>
        <c:lblOffset val="100"/>
        <c:noMultiLvlLbl val="0"/>
      </c:catAx>
      <c:valAx>
        <c:axId val="1202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9916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028204506565193"/>
          <c:y val="0.1520100612423447"/>
          <c:w val="0.19717954934348067"/>
          <c:h val="0.487646544181977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15</xdr:row>
      <xdr:rowOff>80962</xdr:rowOff>
    </xdr:from>
    <xdr:to>
      <xdr:col>9</xdr:col>
      <xdr:colOff>361950</xdr:colOff>
      <xdr:row>29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%202019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Dec 19"/>
      <sheetName val="Dec  stream I Dec"/>
      <sheetName val=" Dec  stream II Dec "/>
      <sheetName val="Dec stream III Dec"/>
      <sheetName val="Sheet33"/>
      <sheetName val="Sheet34"/>
      <sheetName val="Sheet32"/>
      <sheetName val="Sheet35"/>
      <sheetName val="Sheet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9">
          <cell r="G9" t="str">
            <v>Availability
 in  %</v>
          </cell>
          <cell r="H9" t="str">
            <v>Utilization 
 in %</v>
          </cell>
        </row>
        <row r="10">
          <cell r="E10" t="str">
            <v>2016-17</v>
          </cell>
          <cell r="G10">
            <v>1.3364444444444445</v>
          </cell>
          <cell r="H10">
            <v>0.77734444444444462</v>
          </cell>
        </row>
        <row r="11">
          <cell r="E11" t="str">
            <v>2017-18</v>
          </cell>
          <cell r="G11">
            <v>1.3262777777777777</v>
          </cell>
          <cell r="H11">
            <v>0.82241944444444437</v>
          </cell>
        </row>
        <row r="12">
          <cell r="E12" t="str">
            <v>2018-19</v>
          </cell>
          <cell r="G12">
            <v>1.2346083333333333</v>
          </cell>
          <cell r="H12">
            <v>0.78209166666666663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workbookViewId="0">
      <pane ySplit="1" topLeftCell="A14" activePane="bottomLeft" state="frozen"/>
      <selection pane="bottomLeft"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184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21</v>
      </c>
      <c r="F4" s="22">
        <v>22</v>
      </c>
      <c r="G4" s="22">
        <v>20</v>
      </c>
      <c r="H4" s="22">
        <v>6</v>
      </c>
      <c r="I4" s="22">
        <v>6</v>
      </c>
      <c r="J4" s="22">
        <v>6</v>
      </c>
      <c r="K4" s="22">
        <v>80</v>
      </c>
      <c r="L4" s="22">
        <v>41</v>
      </c>
      <c r="M4" s="93">
        <f>K4+L4</f>
        <v>121</v>
      </c>
      <c r="N4" s="104" t="s">
        <v>170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>
        <v>3</v>
      </c>
      <c r="G5" s="22">
        <v>3</v>
      </c>
      <c r="H5" s="22">
        <v>5</v>
      </c>
      <c r="I5" s="22">
        <v>5</v>
      </c>
      <c r="J5" s="22">
        <v>4</v>
      </c>
      <c r="K5" s="22">
        <v>20</v>
      </c>
      <c r="L5" s="22">
        <v>0</v>
      </c>
      <c r="M5" s="93">
        <f t="shared" ref="M5:M7" si="0">K5+L5</f>
        <v>20</v>
      </c>
      <c r="N5" s="104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5</v>
      </c>
      <c r="F6" s="22">
        <v>10</v>
      </c>
      <c r="G6" s="22">
        <v>15</v>
      </c>
      <c r="H6" s="22">
        <v>10</v>
      </c>
      <c r="I6" s="22">
        <v>2</v>
      </c>
      <c r="J6" s="22">
        <v>2</v>
      </c>
      <c r="K6" s="22">
        <v>50</v>
      </c>
      <c r="L6" s="22">
        <v>0</v>
      </c>
      <c r="M6" s="93">
        <f t="shared" si="0"/>
        <v>50</v>
      </c>
      <c r="N6" s="104" t="s">
        <v>57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12</v>
      </c>
      <c r="E7" s="22">
        <v>13</v>
      </c>
      <c r="F7" s="22">
        <v>10</v>
      </c>
      <c r="G7" s="22">
        <v>12</v>
      </c>
      <c r="H7" s="22">
        <v>2</v>
      </c>
      <c r="I7" s="22">
        <v>3</v>
      </c>
      <c r="J7" s="22">
        <v>4</v>
      </c>
      <c r="K7" s="22">
        <v>48</v>
      </c>
      <c r="L7" s="22">
        <v>9</v>
      </c>
      <c r="M7" s="93">
        <f t="shared" si="0"/>
        <v>57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20</v>
      </c>
      <c r="E9" s="22">
        <v>24</v>
      </c>
      <c r="F9" s="22">
        <v>23</v>
      </c>
      <c r="G9" s="22">
        <v>28</v>
      </c>
      <c r="H9" s="22">
        <v>18</v>
      </c>
      <c r="I9" s="22">
        <v>24</v>
      </c>
      <c r="J9" s="22">
        <v>16</v>
      </c>
      <c r="K9" s="22">
        <v>98</v>
      </c>
      <c r="L9" s="22">
        <v>55</v>
      </c>
      <c r="M9" s="93">
        <f t="shared" ref="M9:M12" si="2">K9+L9</f>
        <v>153</v>
      </c>
      <c r="N9" s="82" t="s">
        <v>170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>
        <v>6</v>
      </c>
      <c r="F10" s="22">
        <v>8</v>
      </c>
      <c r="G10" s="22">
        <v>7</v>
      </c>
      <c r="H10" s="22">
        <v>10</v>
      </c>
      <c r="I10" s="22">
        <v>9</v>
      </c>
      <c r="J10" s="22">
        <v>1</v>
      </c>
      <c r="K10" s="22">
        <v>36</v>
      </c>
      <c r="L10" s="22">
        <v>5</v>
      </c>
      <c r="M10" s="93">
        <f t="shared" si="2"/>
        <v>41</v>
      </c>
      <c r="N10" s="82" t="s">
        <v>57</v>
      </c>
      <c r="O10" s="250" t="s">
        <v>72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>
        <v>7</v>
      </c>
      <c r="F11" s="22">
        <v>9</v>
      </c>
      <c r="G11" s="22">
        <v>8</v>
      </c>
      <c r="H11" s="22">
        <v>9</v>
      </c>
      <c r="I11" s="22">
        <v>7</v>
      </c>
      <c r="J11" s="22">
        <v>7</v>
      </c>
      <c r="K11" s="22">
        <v>20</v>
      </c>
      <c r="L11" s="22">
        <v>27</v>
      </c>
      <c r="M11" s="93">
        <f t="shared" si="2"/>
        <v>47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3">
        <f t="shared" si="2"/>
        <v>0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25</v>
      </c>
      <c r="F14" s="22">
        <v>26</v>
      </c>
      <c r="G14" s="22">
        <v>24</v>
      </c>
      <c r="H14" s="22">
        <v>25</v>
      </c>
      <c r="I14" s="22">
        <v>28</v>
      </c>
      <c r="J14" s="22">
        <v>22</v>
      </c>
      <c r="K14" s="22">
        <v>115</v>
      </c>
      <c r="L14" s="22">
        <v>65</v>
      </c>
      <c r="M14" s="93">
        <f t="shared" ref="M14:M17" si="3">K14+L14</f>
        <v>180</v>
      </c>
      <c r="N14" s="103" t="s">
        <v>57</v>
      </c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>
        <v>7</v>
      </c>
      <c r="E15" s="22">
        <v>8</v>
      </c>
      <c r="F15" s="22">
        <v>6</v>
      </c>
      <c r="G15" s="22">
        <v>9</v>
      </c>
      <c r="H15" s="22">
        <v>6</v>
      </c>
      <c r="I15" s="22">
        <v>8</v>
      </c>
      <c r="J15" s="22">
        <v>7</v>
      </c>
      <c r="K15" s="22">
        <v>31</v>
      </c>
      <c r="L15" s="22">
        <v>0</v>
      </c>
      <c r="M15" s="93">
        <f t="shared" si="3"/>
        <v>31</v>
      </c>
      <c r="N15" s="103" t="s">
        <v>170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41</v>
      </c>
      <c r="L16" s="22">
        <v>10</v>
      </c>
      <c r="M16" s="93">
        <f t="shared" si="3"/>
        <v>51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3</v>
      </c>
      <c r="F17" s="22">
        <v>9</v>
      </c>
      <c r="G17" s="22"/>
      <c r="H17" s="22">
        <v>1</v>
      </c>
      <c r="I17" s="22"/>
      <c r="J17" s="22"/>
      <c r="K17" s="22">
        <v>6</v>
      </c>
      <c r="L17" s="22">
        <v>0</v>
      </c>
      <c r="M17" s="93">
        <f t="shared" si="3"/>
        <v>6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90" t="s">
        <v>38</v>
      </c>
      <c r="N18" s="65">
        <f>M4+M9+M14</f>
        <v>454</v>
      </c>
      <c r="O18" s="252" t="s">
        <v>71</v>
      </c>
      <c r="P18" s="253"/>
      <c r="Q18" s="65" t="s">
        <v>185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90" t="s">
        <v>41</v>
      </c>
      <c r="N19" s="65">
        <f>M5+M10+M15</f>
        <v>92</v>
      </c>
      <c r="O19" s="69">
        <v>2223.1799999999998</v>
      </c>
      <c r="P19" s="46" t="s">
        <v>77</v>
      </c>
      <c r="Q19" s="65" t="s">
        <v>186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90" t="s">
        <v>75</v>
      </c>
      <c r="N20" s="65">
        <f>M6+M11+M16</f>
        <v>148</v>
      </c>
      <c r="O20" s="77" t="s">
        <v>65</v>
      </c>
      <c r="P20" s="75">
        <v>78</v>
      </c>
      <c r="Q20" s="65">
        <v>5520.84</v>
      </c>
    </row>
    <row r="21" spans="1:20" ht="25.5" customHeight="1" x14ac:dyDescent="0.25">
      <c r="A21" s="16" t="s">
        <v>46</v>
      </c>
      <c r="B21" s="66">
        <v>206.29861111111111</v>
      </c>
      <c r="C21" s="66">
        <v>206.54166666666666</v>
      </c>
      <c r="D21" s="66">
        <f t="shared" ref="D21:D23" si="4">C21-B21</f>
        <v>0.24305555555554292</v>
      </c>
      <c r="E21" s="66">
        <v>206.60416666666666</v>
      </c>
      <c r="F21" s="66">
        <v>206.875</v>
      </c>
      <c r="G21" s="66">
        <f>F21-E21</f>
        <v>0.27083333333334281</v>
      </c>
      <c r="H21" s="66">
        <v>206.91319444444446</v>
      </c>
      <c r="I21" s="66">
        <v>207.20833333333334</v>
      </c>
      <c r="J21" s="71">
        <f>I21-H21-K21</f>
        <v>0.29513888888888573</v>
      </c>
      <c r="K21" s="66"/>
      <c r="L21" s="73">
        <f>D21+G21+J21</f>
        <v>0.80902777777777146</v>
      </c>
      <c r="M21" s="90" t="s">
        <v>47</v>
      </c>
      <c r="N21" s="65">
        <f>M17+M12+M7</f>
        <v>63</v>
      </c>
      <c r="O21" s="78" t="s">
        <v>69</v>
      </c>
      <c r="P21" s="75">
        <v>251</v>
      </c>
      <c r="Q21" s="65">
        <v>6954.79</v>
      </c>
    </row>
    <row r="22" spans="1:20" ht="27" customHeight="1" x14ac:dyDescent="0.25">
      <c r="A22" s="16" t="s">
        <v>48</v>
      </c>
      <c r="B22" s="66">
        <v>206.24652777777777</v>
      </c>
      <c r="C22" s="66">
        <v>206.54166666666666</v>
      </c>
      <c r="D22" s="66">
        <f t="shared" si="4"/>
        <v>0.29513888888888573</v>
      </c>
      <c r="E22" s="66">
        <v>206.57638888888889</v>
      </c>
      <c r="F22" s="66">
        <v>206.875</v>
      </c>
      <c r="G22" s="66">
        <f t="shared" ref="G22:G23" si="5">F22-E22</f>
        <v>0.29861111111111427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0.88541666666668561</v>
      </c>
      <c r="M22" s="49" t="s">
        <v>49</v>
      </c>
      <c r="N22" s="65">
        <v>32373.18</v>
      </c>
      <c r="O22" s="80" t="s">
        <v>66</v>
      </c>
      <c r="P22" s="75">
        <v>155</v>
      </c>
      <c r="Q22" s="65">
        <v>3718.9</v>
      </c>
    </row>
    <row r="23" spans="1:20" ht="27" customHeight="1" x14ac:dyDescent="0.25">
      <c r="A23" s="91" t="s">
        <v>50</v>
      </c>
      <c r="B23" s="66">
        <v>206.24305555555554</v>
      </c>
      <c r="C23" s="66">
        <v>206.54166666666666</v>
      </c>
      <c r="D23" s="66">
        <f t="shared" si="4"/>
        <v>0.29861111111111427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206.92013888888889</v>
      </c>
      <c r="I23" s="66">
        <v>207.20833333333334</v>
      </c>
      <c r="J23" s="71">
        <f>I23-H23-K23</f>
        <v>0.28819444444445708</v>
      </c>
      <c r="K23" s="156"/>
      <c r="L23" s="157">
        <f>D23+G23+J23</f>
        <v>0.87847222222222854</v>
      </c>
      <c r="M23" s="90" t="s">
        <v>64</v>
      </c>
      <c r="N23" s="85">
        <v>7</v>
      </c>
      <c r="O23" s="86" t="s">
        <v>67</v>
      </c>
      <c r="P23" s="76">
        <v>227</v>
      </c>
      <c r="Q23" s="65">
        <v>6907.99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0.83680555555554292</v>
      </c>
      <c r="E24" s="68"/>
      <c r="F24" s="68"/>
      <c r="G24" s="66">
        <f>SUM(G21:G23)</f>
        <v>0.86111111111111427</v>
      </c>
      <c r="H24" s="68"/>
      <c r="I24" s="68"/>
      <c r="J24" s="71">
        <f>SUM(J21:J23)</f>
        <v>0.87500000000002842</v>
      </c>
      <c r="K24" s="75"/>
      <c r="L24" s="83">
        <f>SUM(L21:L23)</f>
        <v>2.5729166666666856</v>
      </c>
      <c r="M24" s="65" t="s">
        <v>79</v>
      </c>
      <c r="N24" s="65">
        <v>26679.63</v>
      </c>
      <c r="P24" s="79" t="s">
        <v>68</v>
      </c>
      <c r="Q24" s="43">
        <v>44565.75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5">
        <v>26684.63</v>
      </c>
      <c r="P25" s="90" t="s">
        <v>78</v>
      </c>
      <c r="Q25" s="87">
        <v>50086.05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91</v>
      </c>
      <c r="Q26" s="69">
        <v>50086.05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61.45</v>
      </c>
      <c r="M27" s="55"/>
      <c r="N27" s="88">
        <f>N22/L27</f>
        <v>526.82148087876317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82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6" workbookViewId="0">
      <selection activeCell="I24" sqref="I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216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40</v>
      </c>
      <c r="F4" s="22">
        <v>37</v>
      </c>
      <c r="G4" s="22">
        <v>6</v>
      </c>
      <c r="H4" s="22">
        <v>15</v>
      </c>
      <c r="I4" s="22">
        <v>18</v>
      </c>
      <c r="J4" s="22">
        <v>18</v>
      </c>
      <c r="K4" s="22">
        <v>104</v>
      </c>
      <c r="L4" s="22">
        <v>60</v>
      </c>
      <c r="M4" s="93">
        <f>K4+L4</f>
        <v>164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3</v>
      </c>
      <c r="J5" s="22">
        <v>2</v>
      </c>
      <c r="K5" s="22">
        <v>3</v>
      </c>
      <c r="L5" s="22">
        <v>2</v>
      </c>
      <c r="M5" s="93">
        <f t="shared" ref="M5:M7" si="0">K5+L5</f>
        <v>5</v>
      </c>
      <c r="N5" s="104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57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8</v>
      </c>
      <c r="E7" s="22">
        <v>11</v>
      </c>
      <c r="F7" s="22">
        <v>9</v>
      </c>
      <c r="G7" s="22">
        <v>2</v>
      </c>
      <c r="H7" s="22">
        <v>13</v>
      </c>
      <c r="I7" s="22">
        <v>14</v>
      </c>
      <c r="J7" s="22">
        <v>10</v>
      </c>
      <c r="K7" s="22">
        <v>53</v>
      </c>
      <c r="L7" s="22">
        <v>14</v>
      </c>
      <c r="M7" s="93">
        <f t="shared" si="0"/>
        <v>67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>
        <v>19</v>
      </c>
      <c r="E9" s="22">
        <v>25</v>
      </c>
      <c r="F9" s="22">
        <v>27</v>
      </c>
      <c r="G9" s="22">
        <v>17</v>
      </c>
      <c r="H9" s="22">
        <v>11</v>
      </c>
      <c r="I9" s="22">
        <v>11</v>
      </c>
      <c r="J9" s="22">
        <v>10</v>
      </c>
      <c r="K9" s="22">
        <v>120</v>
      </c>
      <c r="L9" s="22">
        <v>0</v>
      </c>
      <c r="M9" s="93">
        <f t="shared" ref="M9:M12" si="2">K9+L9</f>
        <v>120</v>
      </c>
      <c r="N9" s="82" t="s">
        <v>170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1</v>
      </c>
      <c r="E10" s="22">
        <v>5</v>
      </c>
      <c r="F10" s="22">
        <v>4</v>
      </c>
      <c r="G10" s="22">
        <v>11</v>
      </c>
      <c r="H10" s="22">
        <v>4</v>
      </c>
      <c r="I10" s="22">
        <v>3</v>
      </c>
      <c r="J10" s="22">
        <v>2</v>
      </c>
      <c r="K10" s="22">
        <v>30</v>
      </c>
      <c r="L10" s="22">
        <v>0</v>
      </c>
      <c r="M10" s="93">
        <f t="shared" si="2"/>
        <v>30</v>
      </c>
      <c r="N10" s="82" t="s">
        <v>57</v>
      </c>
      <c r="O10" s="250" t="s">
        <v>72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5</v>
      </c>
      <c r="F11" s="22">
        <v>7</v>
      </c>
      <c r="G11" s="22">
        <v>10</v>
      </c>
      <c r="H11" s="22">
        <v>4</v>
      </c>
      <c r="I11" s="22">
        <v>4</v>
      </c>
      <c r="J11" s="22">
        <v>5</v>
      </c>
      <c r="K11" s="22">
        <v>38</v>
      </c>
      <c r="L11" s="22">
        <v>0</v>
      </c>
      <c r="M11" s="93">
        <f t="shared" si="2"/>
        <v>38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10</v>
      </c>
      <c r="L12" s="22">
        <v>0</v>
      </c>
      <c r="M12" s="93">
        <f t="shared" si="2"/>
        <v>10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80</v>
      </c>
      <c r="L14" s="22">
        <v>58</v>
      </c>
      <c r="M14" s="93">
        <f t="shared" ref="M14:M17" si="3">K14+L14</f>
        <v>138</v>
      </c>
      <c r="N14" s="103" t="s">
        <v>170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30</v>
      </c>
      <c r="L15" s="22">
        <v>0</v>
      </c>
      <c r="M15" s="93">
        <f t="shared" si="3"/>
        <v>30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20</v>
      </c>
      <c r="L16" s="22">
        <v>0</v>
      </c>
      <c r="M16" s="93">
        <f t="shared" si="3"/>
        <v>20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4</v>
      </c>
      <c r="L17" s="22">
        <v>0</v>
      </c>
      <c r="M17" s="93">
        <f t="shared" si="3"/>
        <v>4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422</v>
      </c>
      <c r="O18" s="252" t="s">
        <v>71</v>
      </c>
      <c r="P18" s="253"/>
      <c r="Q18" s="65" t="s">
        <v>217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65</v>
      </c>
      <c r="O19" s="69">
        <v>1573.07</v>
      </c>
      <c r="P19" s="46" t="s">
        <v>175</v>
      </c>
      <c r="Q19" s="65" t="s">
        <v>218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58</v>
      </c>
      <c r="O20" s="77" t="s">
        <v>65</v>
      </c>
      <c r="P20" s="75">
        <v>80</v>
      </c>
      <c r="Q20" s="65">
        <v>5504.05</v>
      </c>
    </row>
    <row r="21" spans="1:20" ht="25.5" customHeight="1" x14ac:dyDescent="0.25">
      <c r="A21" s="16" t="s">
        <v>46</v>
      </c>
      <c r="B21" s="66">
        <v>206.28125</v>
      </c>
      <c r="C21" s="66">
        <v>206.54166666666666</v>
      </c>
      <c r="D21" s="66">
        <f t="shared" ref="D21" si="4">C21-B21</f>
        <v>0.26041666666665719</v>
      </c>
      <c r="E21" s="66">
        <v>206.60069444444446</v>
      </c>
      <c r="F21" s="66">
        <v>206.875</v>
      </c>
      <c r="G21" s="66">
        <f>F21-E21</f>
        <v>0.27430555555554292</v>
      </c>
      <c r="H21" s="66">
        <v>206.97916666666666</v>
      </c>
      <c r="I21" s="66">
        <v>207.11111111111111</v>
      </c>
      <c r="J21" s="71">
        <f>I21-H21-K21</f>
        <v>0.13194444444445708</v>
      </c>
      <c r="K21" s="66"/>
      <c r="L21" s="73">
        <f>D21+G21+J21</f>
        <v>0.66666666666665719</v>
      </c>
      <c r="M21" s="155" t="s">
        <v>47</v>
      </c>
      <c r="N21" s="65">
        <f>M17+M12+M7</f>
        <v>81</v>
      </c>
      <c r="O21" s="78" t="s">
        <v>69</v>
      </c>
      <c r="P21" s="75">
        <v>285</v>
      </c>
      <c r="Q21" s="65">
        <v>7217.61</v>
      </c>
    </row>
    <row r="22" spans="1:20" ht="27" customHeight="1" x14ac:dyDescent="0.25">
      <c r="A22" s="16" t="s">
        <v>48</v>
      </c>
      <c r="B22" s="66">
        <v>206.29166666666666</v>
      </c>
      <c r="C22" s="66">
        <v>206.375</v>
      </c>
      <c r="D22" s="66">
        <f t="shared" ref="D22:D23" si="5">C22-B22</f>
        <v>8.3333333333342807E-2</v>
      </c>
      <c r="E22" s="66">
        <v>206.60416666666666</v>
      </c>
      <c r="F22" s="66">
        <v>206.875</v>
      </c>
      <c r="G22" s="66">
        <f t="shared" ref="G22:G23" si="6">F22-E22</f>
        <v>0.27083333333334281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0.64583333333337123</v>
      </c>
      <c r="M22" s="49" t="s">
        <v>49</v>
      </c>
      <c r="N22" s="65">
        <v>26214.080000000002</v>
      </c>
      <c r="O22" s="80" t="s">
        <v>66</v>
      </c>
      <c r="P22" s="75">
        <v>196</v>
      </c>
      <c r="Q22" s="65">
        <v>4836.63</v>
      </c>
    </row>
    <row r="23" spans="1:20" ht="27" customHeight="1" x14ac:dyDescent="0.25">
      <c r="A23" s="158" t="s">
        <v>50</v>
      </c>
      <c r="B23" s="66">
        <v>206.27083333333334</v>
      </c>
      <c r="C23" s="66">
        <v>206.54166666666666</v>
      </c>
      <c r="D23" s="66">
        <f t="shared" si="5"/>
        <v>0.27083333333331439</v>
      </c>
      <c r="E23" s="66">
        <v>206.59375</v>
      </c>
      <c r="F23" s="66">
        <v>206.875</v>
      </c>
      <c r="G23" s="66">
        <f t="shared" si="6"/>
        <v>0.28125</v>
      </c>
      <c r="H23" s="66">
        <v>206.92013888888889</v>
      </c>
      <c r="I23" s="66">
        <v>207.20833333333334</v>
      </c>
      <c r="J23" s="71">
        <f>I23-H23-K23</f>
        <v>0.28819444444445708</v>
      </c>
      <c r="K23" s="156"/>
      <c r="L23" s="157">
        <f>D23+G23+J23</f>
        <v>0.84027777777777146</v>
      </c>
      <c r="M23" s="155" t="s">
        <v>64</v>
      </c>
      <c r="N23" s="85">
        <v>7</v>
      </c>
      <c r="O23" s="86" t="s">
        <v>67</v>
      </c>
      <c r="P23" s="76">
        <v>353</v>
      </c>
      <c r="Q23" s="65">
        <v>10919.53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0.61458333333331439</v>
      </c>
      <c r="E24" s="68"/>
      <c r="F24" s="68"/>
      <c r="G24" s="66">
        <f>SUM(G21:G23)</f>
        <v>0.82638888888888573</v>
      </c>
      <c r="H24" s="68"/>
      <c r="I24" s="68"/>
      <c r="J24" s="71">
        <f>SUM(J21:J23)</f>
        <v>0.71180555555559977</v>
      </c>
      <c r="K24" s="75"/>
      <c r="L24" s="83">
        <f>SUM(L21:L23)</f>
        <v>2.1527777777777999</v>
      </c>
      <c r="M24" s="65" t="s">
        <v>79</v>
      </c>
      <c r="N24" s="65">
        <v>26214.080000000002</v>
      </c>
      <c r="P24" s="79" t="s">
        <v>68</v>
      </c>
      <c r="Q24" s="43">
        <v>47728.92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N24+Sheet9!O25</f>
        <v>278123.005</v>
      </c>
      <c r="P25" s="155" t="s">
        <v>78</v>
      </c>
      <c r="Q25" s="87">
        <v>532332.93999999994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Q24+Sheet9!Q26</f>
        <v>441918.31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51.4</v>
      </c>
      <c r="M27" s="55"/>
      <c r="N27" s="88">
        <f>N22/L27</f>
        <v>510.0015564202335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G23" sqref="G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219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10</v>
      </c>
      <c r="E4" s="22">
        <v>15</v>
      </c>
      <c r="F4" s="22">
        <v>12</v>
      </c>
      <c r="G4" s="22">
        <v>10</v>
      </c>
      <c r="H4" s="22">
        <v>8</v>
      </c>
      <c r="I4" s="22">
        <v>7</v>
      </c>
      <c r="J4" s="22">
        <v>8</v>
      </c>
      <c r="K4" s="22">
        <v>20</v>
      </c>
      <c r="L4" s="22">
        <v>50</v>
      </c>
      <c r="M4" s="93">
        <f>K4+L4</f>
        <v>70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5</v>
      </c>
      <c r="I5" s="22">
        <v>4</v>
      </c>
      <c r="J5" s="22">
        <v>3</v>
      </c>
      <c r="K5" s="22">
        <v>12</v>
      </c>
      <c r="L5" s="22">
        <v>0</v>
      </c>
      <c r="M5" s="93">
        <f>K5+L5</f>
        <v>12</v>
      </c>
      <c r="N5" s="104" t="s">
        <v>57</v>
      </c>
      <c r="O5" s="66"/>
      <c r="P5" s="66"/>
      <c r="Q5" s="66">
        <f t="shared" ref="Q5" si="0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4</v>
      </c>
      <c r="F6" s="22">
        <v>2</v>
      </c>
      <c r="G6" s="22">
        <v>2</v>
      </c>
      <c r="H6" s="22">
        <v>8</v>
      </c>
      <c r="I6" s="22">
        <v>5</v>
      </c>
      <c r="J6" s="22">
        <v>4</v>
      </c>
      <c r="K6" s="22">
        <v>25</v>
      </c>
      <c r="L6" s="22">
        <v>5</v>
      </c>
      <c r="M6" s="93">
        <f t="shared" ref="M6:M7" si="1">K6+L6</f>
        <v>30</v>
      </c>
      <c r="N6" s="104" t="s">
        <v>57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/>
      <c r="E7" s="22">
        <v>3</v>
      </c>
      <c r="F7" s="22">
        <v>4</v>
      </c>
      <c r="G7" s="22">
        <v>1</v>
      </c>
      <c r="H7" s="22"/>
      <c r="I7" s="22"/>
      <c r="J7" s="22"/>
      <c r="K7" s="22">
        <v>0</v>
      </c>
      <c r="L7" s="22">
        <v>8</v>
      </c>
      <c r="M7" s="93">
        <f t="shared" si="1"/>
        <v>8</v>
      </c>
      <c r="N7" s="104" t="s">
        <v>13</v>
      </c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2.75" customHeight="1" x14ac:dyDescent="0.25">
      <c r="A9" s="33"/>
      <c r="B9" s="34" t="s">
        <v>14</v>
      </c>
      <c r="C9" s="22"/>
      <c r="D9" s="22">
        <v>10</v>
      </c>
      <c r="E9" s="22">
        <v>18</v>
      </c>
      <c r="F9" s="22">
        <v>11</v>
      </c>
      <c r="G9" s="22">
        <v>20</v>
      </c>
      <c r="H9" s="22">
        <v>19</v>
      </c>
      <c r="I9" s="22">
        <v>18</v>
      </c>
      <c r="J9" s="22">
        <v>19</v>
      </c>
      <c r="K9" s="22">
        <v>35</v>
      </c>
      <c r="L9" s="22">
        <v>80</v>
      </c>
      <c r="M9" s="93">
        <f t="shared" ref="M9:M12" si="2">K9+L9</f>
        <v>115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5</v>
      </c>
      <c r="F10" s="22">
        <v>4</v>
      </c>
      <c r="G10" s="22">
        <v>6</v>
      </c>
      <c r="H10" s="22">
        <v>16</v>
      </c>
      <c r="I10" s="22">
        <v>1</v>
      </c>
      <c r="J10" s="22">
        <v>6</v>
      </c>
      <c r="K10" s="22">
        <v>35</v>
      </c>
      <c r="L10" s="22">
        <v>6</v>
      </c>
      <c r="M10" s="93">
        <f t="shared" si="2"/>
        <v>41</v>
      </c>
      <c r="N10" s="82" t="s">
        <v>57</v>
      </c>
      <c r="O10" s="250" t="s">
        <v>172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10</v>
      </c>
      <c r="F11" s="22">
        <v>15</v>
      </c>
      <c r="G11" s="22">
        <v>10</v>
      </c>
      <c r="H11" s="22">
        <v>10</v>
      </c>
      <c r="I11" s="22">
        <v>10</v>
      </c>
      <c r="J11" s="22">
        <v>8</v>
      </c>
      <c r="K11" s="22">
        <v>65</v>
      </c>
      <c r="L11" s="22">
        <v>3</v>
      </c>
      <c r="M11" s="93">
        <f t="shared" si="2"/>
        <v>68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6</v>
      </c>
      <c r="E12" s="22">
        <v>3</v>
      </c>
      <c r="F12" s="22">
        <v>2</v>
      </c>
      <c r="G12" s="22">
        <v>1</v>
      </c>
      <c r="H12" s="22">
        <v>2</v>
      </c>
      <c r="I12" s="22">
        <v>5</v>
      </c>
      <c r="J12" s="22">
        <v>5</v>
      </c>
      <c r="K12" s="22">
        <v>4</v>
      </c>
      <c r="L12" s="22">
        <v>20</v>
      </c>
      <c r="M12" s="93">
        <f t="shared" si="2"/>
        <v>24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159</v>
      </c>
      <c r="L14" s="22">
        <v>0</v>
      </c>
      <c r="M14" s="93">
        <f t="shared" ref="M14:M17" si="3">K14+L14</f>
        <v>159</v>
      </c>
      <c r="N14" s="103" t="s">
        <v>170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33</v>
      </c>
      <c r="L15" s="22">
        <v>0</v>
      </c>
      <c r="M15" s="93">
        <f t="shared" si="3"/>
        <v>33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55</v>
      </c>
      <c r="L16" s="22">
        <v>0</v>
      </c>
      <c r="M16" s="93">
        <f t="shared" si="3"/>
        <v>55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6</v>
      </c>
      <c r="L17" s="22">
        <v>0</v>
      </c>
      <c r="M17" s="93">
        <f t="shared" si="3"/>
        <v>6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344</v>
      </c>
      <c r="O18" s="252" t="s">
        <v>71</v>
      </c>
      <c r="P18" s="253"/>
      <c r="Q18" s="65" t="s">
        <v>220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86</v>
      </c>
      <c r="O19" s="69">
        <v>2150.13</v>
      </c>
      <c r="P19" s="46" t="s">
        <v>77</v>
      </c>
      <c r="Q19" s="65" t="s">
        <v>221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153</v>
      </c>
      <c r="O20" s="77" t="s">
        <v>65</v>
      </c>
      <c r="P20" s="75">
        <v>80</v>
      </c>
      <c r="Q20" s="65">
        <v>5538.3</v>
      </c>
    </row>
    <row r="21" spans="1:20" ht="25.5" customHeight="1" x14ac:dyDescent="0.25">
      <c r="A21" s="16" t="s">
        <v>46</v>
      </c>
      <c r="B21" s="66">
        <v>206.29166666666666</v>
      </c>
      <c r="C21" s="66">
        <v>206.4375</v>
      </c>
      <c r="D21" s="66">
        <f t="shared" ref="D21:D23" si="4">C21-B21</f>
        <v>0.14583333333334281</v>
      </c>
      <c r="E21" s="66">
        <v>206.59722222222223</v>
      </c>
      <c r="F21" s="66">
        <v>206.875</v>
      </c>
      <c r="G21" s="66">
        <f>F21-E21</f>
        <v>0.27777777777777146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0.72222222222222854</v>
      </c>
      <c r="M21" s="155" t="s">
        <v>47</v>
      </c>
      <c r="N21" s="65">
        <f>M17+M12+M7</f>
        <v>38</v>
      </c>
      <c r="O21" s="78" t="s">
        <v>69</v>
      </c>
      <c r="P21" s="75">
        <v>249</v>
      </c>
      <c r="Q21" s="65">
        <v>6477.33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4"/>
        <v>0.29166666666665719</v>
      </c>
      <c r="E22" s="66">
        <v>206.65625</v>
      </c>
      <c r="F22" s="66">
        <v>206.875</v>
      </c>
      <c r="G22" s="66">
        <f t="shared" ref="G22:G23" si="5">F22-E22</f>
        <v>0.21875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0.80555555555554292</v>
      </c>
      <c r="M22" s="49" t="s">
        <v>49</v>
      </c>
      <c r="N22" s="65">
        <v>24000.13</v>
      </c>
      <c r="O22" s="80" t="s">
        <v>66</v>
      </c>
      <c r="P22" s="75">
        <v>164</v>
      </c>
      <c r="Q22" s="65">
        <v>4004.51</v>
      </c>
    </row>
    <row r="23" spans="1:20" ht="27" customHeight="1" x14ac:dyDescent="0.25">
      <c r="A23" s="158" t="s">
        <v>50</v>
      </c>
      <c r="B23" s="66">
        <v>206.29166666666666</v>
      </c>
      <c r="C23" s="66">
        <v>206.54166666666666</v>
      </c>
      <c r="D23" s="66">
        <f t="shared" si="4"/>
        <v>0.25</v>
      </c>
      <c r="E23" s="66">
        <v>206.59027777777777</v>
      </c>
      <c r="F23" s="66">
        <v>206.875</v>
      </c>
      <c r="G23" s="66">
        <f t="shared" si="5"/>
        <v>0.28472222222222854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0.82638888888891415</v>
      </c>
      <c r="M23" s="155" t="s">
        <v>64</v>
      </c>
      <c r="N23" s="85">
        <v>7</v>
      </c>
      <c r="O23" s="86" t="s">
        <v>67</v>
      </c>
      <c r="P23" s="76">
        <v>292</v>
      </c>
      <c r="Q23" s="65">
        <v>8966.2999999999993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0.6875</v>
      </c>
      <c r="E24" s="68"/>
      <c r="F24" s="68"/>
      <c r="G24" s="66">
        <f>SUM(G21:G23)</f>
        <v>0.78125</v>
      </c>
      <c r="H24" s="68"/>
      <c r="I24" s="68"/>
      <c r="J24" s="71">
        <f>SUM(J21:J23)</f>
        <v>0.88541666666668561</v>
      </c>
      <c r="K24" s="75"/>
      <c r="L24" s="83">
        <f>SUM(L21:L23)</f>
        <v>2.3541666666666856</v>
      </c>
      <c r="M24" s="65" t="s">
        <v>79</v>
      </c>
      <c r="N24" s="65">
        <v>25726.48</v>
      </c>
      <c r="P24" s="79" t="s">
        <v>68</v>
      </c>
      <c r="Q24" s="43">
        <v>45284.97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N24+Sheet10!O25</f>
        <v>303849.48499999999</v>
      </c>
      <c r="P25" s="155" t="s">
        <v>78</v>
      </c>
      <c r="Q25" s="87">
        <v>50823.27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41000</v>
      </c>
      <c r="P26" s="51" t="s">
        <v>91</v>
      </c>
      <c r="Q26" s="69">
        <f>Q24+Sheet10!Q26</f>
        <v>487203.28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56.3</v>
      </c>
      <c r="M27" s="55"/>
      <c r="N27" s="88">
        <f>N22/L27</f>
        <v>426.29005328596804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2" workbookViewId="0">
      <selection activeCell="C2" sqref="C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225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23</v>
      </c>
      <c r="E4" s="22">
        <v>25</v>
      </c>
      <c r="F4" s="22">
        <v>25</v>
      </c>
      <c r="G4" s="22">
        <v>7</v>
      </c>
      <c r="H4" s="22">
        <v>4</v>
      </c>
      <c r="I4" s="22">
        <v>6</v>
      </c>
      <c r="J4" s="22">
        <v>5</v>
      </c>
      <c r="K4" s="22">
        <v>80</v>
      </c>
      <c r="L4" s="22">
        <v>15</v>
      </c>
      <c r="M4" s="93">
        <f>K4+L4</f>
        <v>95</v>
      </c>
      <c r="N4" s="104" t="s">
        <v>131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2</v>
      </c>
      <c r="J5" s="22">
        <v>2</v>
      </c>
      <c r="K5" s="22">
        <v>7</v>
      </c>
      <c r="L5" s="22">
        <v>0</v>
      </c>
      <c r="M5" s="93">
        <f t="shared" ref="M5:M7" si="0">K5+L5</f>
        <v>7</v>
      </c>
      <c r="N5" s="104" t="s">
        <v>57</v>
      </c>
      <c r="O5" s="66">
        <v>206.4375</v>
      </c>
      <c r="P5" s="66">
        <v>206.54166666666666</v>
      </c>
      <c r="Q5" s="66">
        <f t="shared" ref="Q5" si="1">P5-O5</f>
        <v>0.10416666666665719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6</v>
      </c>
      <c r="F6" s="22">
        <v>4</v>
      </c>
      <c r="G6" s="22"/>
      <c r="H6" s="22">
        <v>7</v>
      </c>
      <c r="I6" s="22"/>
      <c r="J6" s="22">
        <v>10</v>
      </c>
      <c r="K6" s="22">
        <v>30</v>
      </c>
      <c r="L6" s="22">
        <v>0</v>
      </c>
      <c r="M6" s="93">
        <f t="shared" si="0"/>
        <v>30</v>
      </c>
      <c r="N6" s="104" t="s">
        <v>131</v>
      </c>
      <c r="O6" s="96"/>
      <c r="P6" s="65"/>
      <c r="Q6" s="248" t="s">
        <v>222</v>
      </c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4</v>
      </c>
      <c r="F7" s="22">
        <v>3</v>
      </c>
      <c r="G7" s="22">
        <v>1</v>
      </c>
      <c r="H7" s="22">
        <v>2</v>
      </c>
      <c r="I7" s="22">
        <v>4</v>
      </c>
      <c r="J7" s="22">
        <v>3</v>
      </c>
      <c r="K7" s="22">
        <v>20</v>
      </c>
      <c r="L7" s="22">
        <v>0</v>
      </c>
      <c r="M7" s="93">
        <f t="shared" si="0"/>
        <v>20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20</v>
      </c>
      <c r="E9" s="22">
        <v>22</v>
      </c>
      <c r="F9" s="22">
        <v>26</v>
      </c>
      <c r="G9" s="22">
        <v>18</v>
      </c>
      <c r="H9" s="22">
        <v>27</v>
      </c>
      <c r="I9" s="22">
        <v>26</v>
      </c>
      <c r="J9" s="22">
        <v>26</v>
      </c>
      <c r="K9" s="22">
        <v>95</v>
      </c>
      <c r="L9" s="22">
        <v>70</v>
      </c>
      <c r="M9" s="93">
        <f t="shared" ref="M9:M12" si="2">K9+L9</f>
        <v>165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6</v>
      </c>
      <c r="F10" s="22">
        <v>4</v>
      </c>
      <c r="G10" s="22">
        <v>2</v>
      </c>
      <c r="H10" s="22">
        <v>2</v>
      </c>
      <c r="I10" s="22"/>
      <c r="J10" s="22"/>
      <c r="K10" s="22">
        <v>16</v>
      </c>
      <c r="L10" s="22">
        <v>0</v>
      </c>
      <c r="M10" s="93">
        <f t="shared" si="2"/>
        <v>16</v>
      </c>
      <c r="N10" s="82" t="s">
        <v>131</v>
      </c>
      <c r="O10" s="250" t="s">
        <v>174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4</v>
      </c>
      <c r="F11" s="22">
        <v>2</v>
      </c>
      <c r="G11" s="22">
        <v>2</v>
      </c>
      <c r="H11" s="22">
        <v>2</v>
      </c>
      <c r="I11" s="22">
        <v>8</v>
      </c>
      <c r="J11" s="22">
        <v>7</v>
      </c>
      <c r="K11" s="22">
        <v>26</v>
      </c>
      <c r="L11" s="22">
        <v>5</v>
      </c>
      <c r="M11" s="93">
        <f t="shared" si="2"/>
        <v>31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5</v>
      </c>
      <c r="E12" s="22">
        <v>5</v>
      </c>
      <c r="F12" s="22">
        <v>5</v>
      </c>
      <c r="G12" s="22">
        <v>15</v>
      </c>
      <c r="H12" s="22">
        <v>10</v>
      </c>
      <c r="I12" s="22">
        <v>5</v>
      </c>
      <c r="J12" s="22">
        <v>2</v>
      </c>
      <c r="K12" s="22">
        <v>7</v>
      </c>
      <c r="L12" s="22">
        <v>40</v>
      </c>
      <c r="M12" s="93">
        <f t="shared" si="2"/>
        <v>47</v>
      </c>
      <c r="N12" s="82"/>
      <c r="O12" s="82"/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25</v>
      </c>
      <c r="E14" s="22">
        <v>28</v>
      </c>
      <c r="F14" s="22">
        <v>27</v>
      </c>
      <c r="G14" s="22">
        <v>26</v>
      </c>
      <c r="H14" s="22">
        <v>25</v>
      </c>
      <c r="I14" s="22">
        <v>19</v>
      </c>
      <c r="J14" s="22">
        <v>18</v>
      </c>
      <c r="K14" s="22">
        <v>103</v>
      </c>
      <c r="L14" s="22">
        <v>65</v>
      </c>
      <c r="M14" s="93">
        <f>K14+L14</f>
        <v>168</v>
      </c>
      <c r="N14" s="22" t="s">
        <v>57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ref="M15:M17" si="3">K15+L15</f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7</v>
      </c>
      <c r="F16" s="22">
        <v>8</v>
      </c>
      <c r="G16" s="22">
        <v>6</v>
      </c>
      <c r="H16" s="22">
        <v>7</v>
      </c>
      <c r="I16" s="22">
        <v>4</v>
      </c>
      <c r="J16" s="22"/>
      <c r="K16" s="22">
        <v>30</v>
      </c>
      <c r="L16" s="22">
        <v>12</v>
      </c>
      <c r="M16" s="93">
        <f t="shared" si="3"/>
        <v>42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>
        <v>1</v>
      </c>
      <c r="H17" s="22"/>
      <c r="I17" s="22"/>
      <c r="J17" s="22"/>
      <c r="K17" s="22">
        <v>1</v>
      </c>
      <c r="L17" s="22">
        <v>0</v>
      </c>
      <c r="M17" s="93">
        <f t="shared" si="3"/>
        <v>1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428</v>
      </c>
      <c r="O18" s="252" t="s">
        <v>71</v>
      </c>
      <c r="P18" s="253"/>
      <c r="Q18" s="65" t="s">
        <v>223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23</v>
      </c>
      <c r="O19" s="69">
        <v>1081.68</v>
      </c>
      <c r="P19" s="46" t="s">
        <v>173</v>
      </c>
      <c r="Q19" s="65" t="s">
        <v>224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103</v>
      </c>
      <c r="O20" s="77" t="s">
        <v>65</v>
      </c>
      <c r="P20" s="75">
        <v>80</v>
      </c>
      <c r="Q20" s="65">
        <v>5823.68</v>
      </c>
    </row>
    <row r="21" spans="1:20" ht="25.5" customHeight="1" x14ac:dyDescent="0.25">
      <c r="A21" s="16" t="s">
        <v>46</v>
      </c>
      <c r="B21" s="66">
        <v>206.29861111111111</v>
      </c>
      <c r="C21" s="66">
        <v>206.4375</v>
      </c>
      <c r="D21" s="66">
        <f t="shared" ref="D21:D23" si="4">C21-B21</f>
        <v>0.13888888888888573</v>
      </c>
      <c r="E21" s="66">
        <v>206.60416666666666</v>
      </c>
      <c r="F21" s="66">
        <v>206.75</v>
      </c>
      <c r="G21" s="66">
        <f>F21-E21</f>
        <v>0.14583333333334281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0.58333333333334281</v>
      </c>
      <c r="M21" s="155" t="s">
        <v>47</v>
      </c>
      <c r="N21" s="65">
        <f>M17+M12+M7</f>
        <v>68</v>
      </c>
      <c r="O21" s="78" t="s">
        <v>69</v>
      </c>
      <c r="P21" s="75">
        <v>242</v>
      </c>
      <c r="Q21" s="65">
        <v>6208.44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4"/>
        <v>0.29166666666665719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206.92708333333334</v>
      </c>
      <c r="I22" s="66">
        <v>207.20833333333334</v>
      </c>
      <c r="J22" s="71">
        <f>I22-H22-K22</f>
        <v>0.28125</v>
      </c>
      <c r="K22" s="75"/>
      <c r="L22" s="73">
        <f>D22+G22+J22</f>
        <v>0.86458333333331439</v>
      </c>
      <c r="M22" s="49" t="s">
        <v>49</v>
      </c>
      <c r="N22" s="65">
        <v>27631.68</v>
      </c>
      <c r="O22" s="80" t="s">
        <v>66</v>
      </c>
      <c r="P22" s="75">
        <v>190</v>
      </c>
      <c r="Q22" s="65">
        <v>4713.99</v>
      </c>
    </row>
    <row r="23" spans="1:20" ht="27" customHeight="1" x14ac:dyDescent="0.25">
      <c r="A23" s="158" t="s">
        <v>50</v>
      </c>
      <c r="B23" s="66">
        <v>206.28819444444446</v>
      </c>
      <c r="C23" s="66">
        <v>206.45833333333334</v>
      </c>
      <c r="D23" s="66">
        <f t="shared" si="4"/>
        <v>0.17013888888888573</v>
      </c>
      <c r="E23" s="66">
        <v>206.59027777777777</v>
      </c>
      <c r="F23" s="66">
        <v>206.875</v>
      </c>
      <c r="G23" s="66">
        <f t="shared" si="5"/>
        <v>0.28472222222222854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0.74652777777779988</v>
      </c>
      <c r="M23" s="155" t="s">
        <v>64</v>
      </c>
      <c r="N23" s="85">
        <v>7</v>
      </c>
      <c r="O23" s="86" t="s">
        <v>67</v>
      </c>
      <c r="P23" s="76">
        <v>396</v>
      </c>
      <c r="Q23" s="65">
        <v>11994.52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0.60069444444442865</v>
      </c>
      <c r="E24" s="68"/>
      <c r="F24" s="68"/>
      <c r="G24" s="66">
        <f>SUM(G21:G23)</f>
        <v>0.72222222222222854</v>
      </c>
      <c r="H24" s="68"/>
      <c r="I24" s="68"/>
      <c r="J24" s="71">
        <f>SUM(J21:J23)</f>
        <v>0.87152777777779988</v>
      </c>
      <c r="K24" s="75"/>
      <c r="L24" s="83">
        <f>SUM(L21:L23)</f>
        <v>2.1944444444444571</v>
      </c>
      <c r="M24" s="65" t="s">
        <v>79</v>
      </c>
      <c r="N24" s="65">
        <v>26577.29</v>
      </c>
      <c r="P24" s="79" t="s">
        <v>68</v>
      </c>
      <c r="Q24" s="43">
        <v>49042.77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N24+Sheet11!O25</f>
        <v>330426.77499999997</v>
      </c>
      <c r="P25" s="155" t="s">
        <v>78</v>
      </c>
      <c r="Q25" s="87">
        <v>54553.88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Q24+Sheet11!Q26</f>
        <v>536246.05000000005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52.4</v>
      </c>
      <c r="M27" s="55"/>
      <c r="N27" s="88">
        <f>N22/L27</f>
        <v>527.32213740458019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226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24</v>
      </c>
      <c r="E4" s="22">
        <v>26</v>
      </c>
      <c r="F4" s="22">
        <v>24</v>
      </c>
      <c r="G4" s="22">
        <v>11</v>
      </c>
      <c r="H4" s="22">
        <v>9</v>
      </c>
      <c r="I4" s="22">
        <v>10</v>
      </c>
      <c r="J4" s="22">
        <v>10</v>
      </c>
      <c r="K4" s="22">
        <v>64</v>
      </c>
      <c r="L4" s="22">
        <v>50</v>
      </c>
      <c r="M4" s="93">
        <f t="shared" ref="M4:M7" si="0">K4+L4</f>
        <v>114</v>
      </c>
      <c r="N4" s="104" t="s">
        <v>131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2</v>
      </c>
      <c r="J5" s="22"/>
      <c r="K5" s="22">
        <v>0</v>
      </c>
      <c r="L5" s="22">
        <v>5</v>
      </c>
      <c r="M5" s="93">
        <f t="shared" si="0"/>
        <v>5</v>
      </c>
      <c r="N5" s="104" t="s">
        <v>57</v>
      </c>
      <c r="O5" s="66"/>
      <c r="P5" s="66"/>
      <c r="Q5" s="66"/>
    </row>
    <row r="6" spans="1:17" ht="15.75" customHeight="1" x14ac:dyDescent="0.25">
      <c r="A6" s="23" t="s">
        <v>17</v>
      </c>
      <c r="B6" s="21" t="s">
        <v>18</v>
      </c>
      <c r="C6" s="22"/>
      <c r="D6" s="22">
        <v>4</v>
      </c>
      <c r="E6" s="22">
        <v>5</v>
      </c>
      <c r="F6" s="22">
        <v>5</v>
      </c>
      <c r="G6" s="22">
        <v>2</v>
      </c>
      <c r="H6" s="22">
        <v>7</v>
      </c>
      <c r="I6" s="22">
        <v>8</v>
      </c>
      <c r="J6" s="22">
        <v>7</v>
      </c>
      <c r="K6" s="22">
        <v>35</v>
      </c>
      <c r="L6" s="22">
        <v>3</v>
      </c>
      <c r="M6" s="93">
        <f t="shared" si="0"/>
        <v>38</v>
      </c>
      <c r="N6" s="104" t="s">
        <v>131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5</v>
      </c>
      <c r="F7" s="22">
        <v>5</v>
      </c>
      <c r="G7" s="22"/>
      <c r="H7" s="22"/>
      <c r="I7" s="22">
        <v>2</v>
      </c>
      <c r="J7" s="22"/>
      <c r="K7" s="22">
        <v>5</v>
      </c>
      <c r="L7" s="22">
        <v>10</v>
      </c>
      <c r="M7" s="93">
        <f t="shared" si="0"/>
        <v>15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2.75" customHeight="1" x14ac:dyDescent="0.25">
      <c r="A9" s="33"/>
      <c r="B9" s="34" t="s">
        <v>14</v>
      </c>
      <c r="C9" s="22"/>
      <c r="D9" s="22">
        <v>25</v>
      </c>
      <c r="E9" s="22">
        <v>24</v>
      </c>
      <c r="F9" s="22">
        <v>24</v>
      </c>
      <c r="G9" s="22">
        <v>23</v>
      </c>
      <c r="H9" s="22">
        <v>20</v>
      </c>
      <c r="I9" s="22">
        <v>24</v>
      </c>
      <c r="J9" s="22">
        <v>20</v>
      </c>
      <c r="K9" s="22">
        <v>70</v>
      </c>
      <c r="L9" s="22">
        <v>90</v>
      </c>
      <c r="M9" s="93">
        <f t="shared" ref="M9:M12" si="1">K9+L9</f>
        <v>160</v>
      </c>
      <c r="N9" s="82" t="s">
        <v>131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5</v>
      </c>
      <c r="F10" s="22">
        <v>5</v>
      </c>
      <c r="G10" s="22">
        <v>10</v>
      </c>
      <c r="H10" s="22">
        <v>10</v>
      </c>
      <c r="I10" s="22">
        <v>2</v>
      </c>
      <c r="J10" s="22">
        <v>1</v>
      </c>
      <c r="K10" s="22">
        <v>38</v>
      </c>
      <c r="L10" s="22">
        <v>0</v>
      </c>
      <c r="M10" s="93">
        <f t="shared" si="1"/>
        <v>38</v>
      </c>
      <c r="N10" s="82" t="s">
        <v>57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10</v>
      </c>
      <c r="F11" s="22">
        <v>5</v>
      </c>
      <c r="G11" s="22">
        <v>5</v>
      </c>
      <c r="H11" s="22">
        <v>5</v>
      </c>
      <c r="I11" s="22">
        <v>2</v>
      </c>
      <c r="J11" s="22">
        <v>3</v>
      </c>
      <c r="K11" s="22">
        <v>35</v>
      </c>
      <c r="L11" s="22">
        <v>0</v>
      </c>
      <c r="M11" s="93">
        <f t="shared" si="1"/>
        <v>35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10</v>
      </c>
      <c r="E12" s="22">
        <v>12</v>
      </c>
      <c r="F12" s="22">
        <v>8</v>
      </c>
      <c r="G12" s="22">
        <v>5</v>
      </c>
      <c r="H12" s="22">
        <v>5</v>
      </c>
      <c r="I12" s="22">
        <v>1</v>
      </c>
      <c r="J12" s="22"/>
      <c r="K12" s="22">
        <v>41</v>
      </c>
      <c r="L12" s="22">
        <v>0</v>
      </c>
      <c r="M12" s="93">
        <f t="shared" si="1"/>
        <v>41</v>
      </c>
      <c r="N12" s="82"/>
      <c r="O12" s="82"/>
      <c r="P12" s="82"/>
      <c r="Q12" s="37"/>
    </row>
    <row r="13" spans="1:17" ht="34.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25</v>
      </c>
      <c r="E14" s="22">
        <v>26</v>
      </c>
      <c r="F14" s="22">
        <v>30</v>
      </c>
      <c r="G14" s="22">
        <v>19</v>
      </c>
      <c r="H14" s="22">
        <v>23</v>
      </c>
      <c r="I14" s="22">
        <v>24</v>
      </c>
      <c r="J14" s="22">
        <v>20</v>
      </c>
      <c r="K14" s="22">
        <v>107</v>
      </c>
      <c r="L14" s="22">
        <v>60</v>
      </c>
      <c r="M14" s="93">
        <f t="shared" ref="M14:M17" si="2">K14+L14</f>
        <v>167</v>
      </c>
      <c r="N14" s="103"/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>
        <v>0</v>
      </c>
      <c r="E15" s="22">
        <v>7</v>
      </c>
      <c r="F15" s="22">
        <v>9</v>
      </c>
      <c r="G15" s="22">
        <v>6</v>
      </c>
      <c r="H15" s="22">
        <v>3</v>
      </c>
      <c r="I15" s="22">
        <v>5</v>
      </c>
      <c r="J15" s="22"/>
      <c r="K15" s="22">
        <v>30</v>
      </c>
      <c r="L15" s="22">
        <v>0</v>
      </c>
      <c r="M15" s="93">
        <f t="shared" si="2"/>
        <v>30</v>
      </c>
      <c r="N15" s="103" t="s">
        <v>129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3</v>
      </c>
      <c r="E16" s="22">
        <v>4</v>
      </c>
      <c r="F16" s="22">
        <v>9</v>
      </c>
      <c r="G16" s="22">
        <v>0</v>
      </c>
      <c r="H16" s="22">
        <v>3</v>
      </c>
      <c r="I16" s="22">
        <v>6</v>
      </c>
      <c r="J16" s="22"/>
      <c r="K16" s="22">
        <v>25</v>
      </c>
      <c r="L16" s="22">
        <v>0</v>
      </c>
      <c r="M16" s="93">
        <f t="shared" si="2"/>
        <v>25</v>
      </c>
      <c r="N16" s="103" t="s">
        <v>57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3</v>
      </c>
      <c r="G17" s="22">
        <v>5</v>
      </c>
      <c r="H17" s="22"/>
      <c r="I17" s="22">
        <v>2</v>
      </c>
      <c r="J17" s="22">
        <v>1</v>
      </c>
      <c r="K17" s="22">
        <v>6</v>
      </c>
      <c r="L17" s="22">
        <v>5</v>
      </c>
      <c r="M17" s="93">
        <f t="shared" si="2"/>
        <v>11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441</v>
      </c>
      <c r="O18" s="252" t="s">
        <v>71</v>
      </c>
      <c r="P18" s="253"/>
      <c r="Q18" s="65" t="s">
        <v>227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73</v>
      </c>
      <c r="O19" s="69">
        <v>1747.6</v>
      </c>
      <c r="P19" s="46" t="s">
        <v>175</v>
      </c>
      <c r="Q19" s="65" t="s">
        <v>228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98</v>
      </c>
      <c r="O20" s="77" t="s">
        <v>65</v>
      </c>
      <c r="P20" s="75">
        <v>80</v>
      </c>
      <c r="Q20" s="65">
        <v>5502</v>
      </c>
    </row>
    <row r="21" spans="1:20" ht="25.5" customHeight="1" x14ac:dyDescent="0.25">
      <c r="A21" s="16" t="s">
        <v>46</v>
      </c>
      <c r="B21" s="66">
        <v>206.33333333333334</v>
      </c>
      <c r="C21" s="66">
        <v>206.54166666666666</v>
      </c>
      <c r="D21" s="66">
        <f t="shared" ref="D21:D23" si="3">C21-B21</f>
        <v>0.20833333333331439</v>
      </c>
      <c r="E21" s="66">
        <v>206.625</v>
      </c>
      <c r="F21" s="66">
        <v>206.84375</v>
      </c>
      <c r="G21" s="66">
        <f>F21-E21</f>
        <v>0.21875</v>
      </c>
      <c r="H21" s="66">
        <v>206.95138888888889</v>
      </c>
      <c r="I21" s="66">
        <v>207.20833333333334</v>
      </c>
      <c r="J21" s="71">
        <f>I21-H21-K21</f>
        <v>0.25694444444445708</v>
      </c>
      <c r="K21" s="66"/>
      <c r="L21" s="73">
        <f>D21+G21+J21</f>
        <v>0.68402777777777146</v>
      </c>
      <c r="M21" s="155" t="s">
        <v>47</v>
      </c>
      <c r="N21" s="65">
        <f>M17+M12+M7</f>
        <v>67</v>
      </c>
      <c r="O21" s="78" t="s">
        <v>69</v>
      </c>
      <c r="P21" s="75">
        <v>265</v>
      </c>
      <c r="Q21" s="65">
        <v>6505.12</v>
      </c>
    </row>
    <row r="22" spans="1:20" ht="27" customHeight="1" x14ac:dyDescent="0.25">
      <c r="A22" s="16" t="s">
        <v>48</v>
      </c>
      <c r="B22" s="66">
        <v>206.25</v>
      </c>
      <c r="C22" s="66">
        <v>206.41666666666666</v>
      </c>
      <c r="D22" s="66">
        <f t="shared" si="3"/>
        <v>0.16666666666665719</v>
      </c>
      <c r="E22" s="66">
        <v>206.57986111111111</v>
      </c>
      <c r="F22" s="66">
        <v>206.875</v>
      </c>
      <c r="G22" s="66">
        <f>F22-E22</f>
        <v>0.29513888888888573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0.76041666666665719</v>
      </c>
      <c r="M22" s="49" t="s">
        <v>49</v>
      </c>
      <c r="N22" s="65">
        <v>28521.46</v>
      </c>
      <c r="O22" s="80" t="s">
        <v>66</v>
      </c>
      <c r="P22" s="75">
        <v>189</v>
      </c>
      <c r="Q22" s="65">
        <v>4523.16</v>
      </c>
    </row>
    <row r="23" spans="1:20" ht="27" customHeight="1" x14ac:dyDescent="0.25">
      <c r="A23" s="158" t="s">
        <v>50</v>
      </c>
      <c r="B23" s="66">
        <v>206.25</v>
      </c>
      <c r="C23" s="66">
        <v>206.54166666666666</v>
      </c>
      <c r="D23" s="66">
        <f t="shared" si="3"/>
        <v>0.29166666666665719</v>
      </c>
      <c r="E23" s="66">
        <v>206.58333333333334</v>
      </c>
      <c r="F23" s="66">
        <v>206.875</v>
      </c>
      <c r="G23" s="66">
        <f t="shared" ref="G23" si="4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0.875</v>
      </c>
      <c r="M23" s="155" t="s">
        <v>64</v>
      </c>
      <c r="N23" s="85">
        <v>7</v>
      </c>
      <c r="O23" s="86" t="s">
        <v>67</v>
      </c>
      <c r="P23" s="76">
        <v>509</v>
      </c>
      <c r="Q23" s="65">
        <v>15571.85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0.66666666666662877</v>
      </c>
      <c r="E24" s="68"/>
      <c r="F24" s="68"/>
      <c r="G24" s="66">
        <f>SUM(G21:G23)</f>
        <v>0.80555555555554292</v>
      </c>
      <c r="H24" s="68"/>
      <c r="I24" s="68"/>
      <c r="J24" s="71">
        <f>SUM(J21:J23)</f>
        <v>0.84722222222225696</v>
      </c>
      <c r="K24" s="75"/>
      <c r="L24" s="83">
        <f>SUM(L21:L23)</f>
        <v>2.3194444444444287</v>
      </c>
      <c r="M24" s="65" t="s">
        <v>79</v>
      </c>
      <c r="N24" s="65">
        <v>25974.86</v>
      </c>
      <c r="P24" s="79" t="s">
        <v>68</v>
      </c>
      <c r="Q24" s="43">
        <v>52069.29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N24+Sheet12!O25</f>
        <v>356401.63499999995</v>
      </c>
      <c r="P25" s="155" t="s">
        <v>78</v>
      </c>
      <c r="Q25" s="87">
        <v>57571.29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43000</v>
      </c>
      <c r="P26" s="51" t="s">
        <v>91</v>
      </c>
      <c r="Q26" s="69">
        <f>Q24+Sheet12!Q26</f>
        <v>588315.34000000008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55.4</v>
      </c>
      <c r="M27" s="55"/>
      <c r="N27" s="88">
        <f>N22/L27</f>
        <v>514.82779783393505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6" workbookViewId="0">
      <selection activeCell="N25" sqref="N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3.42578125" style="1" customWidth="1"/>
    <col min="17" max="17" width="22.71093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229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2</v>
      </c>
      <c r="F4" s="22">
        <v>30</v>
      </c>
      <c r="G4" s="22">
        <v>2</v>
      </c>
      <c r="H4" s="22">
        <v>15</v>
      </c>
      <c r="I4" s="22">
        <v>16</v>
      </c>
      <c r="J4" s="22">
        <v>15</v>
      </c>
      <c r="K4" s="22">
        <v>63</v>
      </c>
      <c r="L4" s="22">
        <v>75</v>
      </c>
      <c r="M4" s="93">
        <f>K4+L4</f>
        <v>138</v>
      </c>
      <c r="N4" s="105" t="s">
        <v>57</v>
      </c>
      <c r="O4" s="105" t="s">
        <v>13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4</v>
      </c>
      <c r="I5" s="22">
        <v>6</v>
      </c>
      <c r="J5" s="22">
        <v>5</v>
      </c>
      <c r="K5" s="22">
        <v>15</v>
      </c>
      <c r="L5" s="22">
        <v>0</v>
      </c>
      <c r="M5" s="93">
        <f t="shared" ref="M5:M7" si="0">K5+L5</f>
        <v>15</v>
      </c>
      <c r="N5" s="66" t="s">
        <v>57</v>
      </c>
      <c r="O5" s="66">
        <v>206.39583333333334</v>
      </c>
      <c r="P5" s="66">
        <v>206.58333333333334</v>
      </c>
      <c r="Q5" s="66">
        <f t="shared" ref="Q5" si="1">P5-O5</f>
        <v>0.1875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8</v>
      </c>
      <c r="E6" s="22">
        <v>12</v>
      </c>
      <c r="F6" s="22">
        <v>6</v>
      </c>
      <c r="G6" s="22">
        <v>4</v>
      </c>
      <c r="H6" s="22">
        <v>6</v>
      </c>
      <c r="I6" s="22">
        <v>8</v>
      </c>
      <c r="J6" s="22">
        <v>6</v>
      </c>
      <c r="K6" s="22">
        <v>50</v>
      </c>
      <c r="L6" s="22">
        <v>0</v>
      </c>
      <c r="M6" s="93">
        <f t="shared" si="0"/>
        <v>50</v>
      </c>
      <c r="N6" s="104" t="s">
        <v>57</v>
      </c>
      <c r="O6" s="104" t="s">
        <v>13</v>
      </c>
      <c r="P6" s="65"/>
      <c r="Q6" s="184" t="s">
        <v>232</v>
      </c>
    </row>
    <row r="7" spans="1:17" ht="15" customHeight="1" x14ac:dyDescent="0.25">
      <c r="A7" s="25"/>
      <c r="B7" s="21" t="s">
        <v>19</v>
      </c>
      <c r="C7" s="22"/>
      <c r="D7" s="22">
        <v>2</v>
      </c>
      <c r="E7" s="22">
        <v>4</v>
      </c>
      <c r="F7" s="22"/>
      <c r="G7" s="22">
        <v>1</v>
      </c>
      <c r="H7" s="22">
        <v>3</v>
      </c>
      <c r="I7" s="22">
        <v>2</v>
      </c>
      <c r="J7" s="22">
        <v>2</v>
      </c>
      <c r="K7" s="22">
        <v>2</v>
      </c>
      <c r="L7" s="22">
        <v>12</v>
      </c>
      <c r="M7" s="93">
        <f t="shared" si="0"/>
        <v>14</v>
      </c>
      <c r="N7" s="104"/>
      <c r="O7" s="97"/>
      <c r="P7" s="65"/>
      <c r="Q7" s="65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 t="s">
        <v>13</v>
      </c>
      <c r="Q8" s="184" t="s">
        <v>13</v>
      </c>
    </row>
    <row r="9" spans="1:17" ht="15.75" customHeight="1" x14ac:dyDescent="0.25">
      <c r="A9" s="33"/>
      <c r="B9" s="34" t="s">
        <v>14</v>
      </c>
      <c r="C9" s="22"/>
      <c r="D9" s="22">
        <v>15</v>
      </c>
      <c r="E9" s="22">
        <v>20</v>
      </c>
      <c r="F9" s="22">
        <v>25</v>
      </c>
      <c r="G9" s="22">
        <v>17</v>
      </c>
      <c r="H9" s="22">
        <v>16</v>
      </c>
      <c r="I9" s="22">
        <v>17</v>
      </c>
      <c r="J9" s="22">
        <v>16</v>
      </c>
      <c r="K9" s="22">
        <v>60</v>
      </c>
      <c r="L9" s="22">
        <v>56</v>
      </c>
      <c r="M9" s="93">
        <f t="shared" ref="M9:M12" si="2">K9+L9</f>
        <v>116</v>
      </c>
      <c r="N9" s="82" t="s">
        <v>131</v>
      </c>
      <c r="O9" s="99"/>
      <c r="P9" s="82"/>
      <c r="Q9" s="248" t="s">
        <v>231</v>
      </c>
    </row>
    <row r="10" spans="1:17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5</v>
      </c>
      <c r="F10" s="22">
        <v>5</v>
      </c>
      <c r="G10" s="22">
        <v>10</v>
      </c>
      <c r="H10" s="22">
        <v>5</v>
      </c>
      <c r="I10" s="22">
        <v>5</v>
      </c>
      <c r="J10" s="22">
        <v>7</v>
      </c>
      <c r="K10" s="22">
        <v>42</v>
      </c>
      <c r="L10" s="22">
        <v>0</v>
      </c>
      <c r="M10" s="93">
        <f t="shared" si="2"/>
        <v>42</v>
      </c>
      <c r="N10" s="82" t="s">
        <v>131</v>
      </c>
      <c r="O10" s="250" t="s">
        <v>176</v>
      </c>
      <c r="P10" s="251"/>
      <c r="Q10" s="249"/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2"/>
        <v>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>
        <v>4</v>
      </c>
      <c r="F12" s="22">
        <v>5</v>
      </c>
      <c r="G12" s="22">
        <v>2</v>
      </c>
      <c r="H12" s="22">
        <v>1</v>
      </c>
      <c r="I12" s="22">
        <v>1</v>
      </c>
      <c r="J12" s="22"/>
      <c r="K12" s="22">
        <v>2</v>
      </c>
      <c r="L12" s="22">
        <v>13</v>
      </c>
      <c r="M12" s="93">
        <f t="shared" si="2"/>
        <v>15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26</v>
      </c>
      <c r="E14" s="22">
        <v>30</v>
      </c>
      <c r="F14" s="22">
        <v>32</v>
      </c>
      <c r="G14" s="22">
        <v>22</v>
      </c>
      <c r="H14" s="22">
        <v>27</v>
      </c>
      <c r="I14" s="22">
        <v>26</v>
      </c>
      <c r="J14" s="22">
        <v>25</v>
      </c>
      <c r="K14" s="22">
        <v>131</v>
      </c>
      <c r="L14" s="22">
        <v>57</v>
      </c>
      <c r="M14" s="93">
        <f t="shared" ref="M14:M17" si="3">K14+L14</f>
        <v>188</v>
      </c>
      <c r="N14" s="103" t="s">
        <v>131</v>
      </c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>
        <v>5</v>
      </c>
      <c r="F15" s="22">
        <v>4</v>
      </c>
      <c r="G15" s="22">
        <v>6</v>
      </c>
      <c r="H15" s="22">
        <v>7</v>
      </c>
      <c r="I15" s="22">
        <v>4</v>
      </c>
      <c r="J15" s="22"/>
      <c r="K15" s="22">
        <v>15</v>
      </c>
      <c r="L15" s="22">
        <v>11</v>
      </c>
      <c r="M15" s="93">
        <f t="shared" si="3"/>
        <v>26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>
        <v>3</v>
      </c>
      <c r="F16" s="22">
        <v>5</v>
      </c>
      <c r="G16" s="22">
        <v>4</v>
      </c>
      <c r="H16" s="22">
        <v>7</v>
      </c>
      <c r="I16" s="22">
        <v>2</v>
      </c>
      <c r="J16" s="22"/>
      <c r="K16" s="22">
        <v>21</v>
      </c>
      <c r="L16" s="22">
        <v>0</v>
      </c>
      <c r="M16" s="93">
        <f t="shared" si="3"/>
        <v>21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5</v>
      </c>
      <c r="F17" s="22">
        <v>6</v>
      </c>
      <c r="G17" s="22">
        <v>1</v>
      </c>
      <c r="H17" s="22">
        <v>4</v>
      </c>
      <c r="I17" s="22">
        <v>2</v>
      </c>
      <c r="J17" s="22"/>
      <c r="K17" s="22">
        <v>13</v>
      </c>
      <c r="L17" s="22">
        <v>5</v>
      </c>
      <c r="M17" s="93">
        <f t="shared" si="3"/>
        <v>18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442</v>
      </c>
      <c r="O18" s="252" t="s">
        <v>71</v>
      </c>
      <c r="P18" s="253"/>
      <c r="Q18" s="65" t="s">
        <v>227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83</v>
      </c>
      <c r="O19" s="69">
        <v>1652.97</v>
      </c>
      <c r="P19" s="46" t="s">
        <v>175</v>
      </c>
      <c r="Q19" s="65" t="s">
        <v>230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71</v>
      </c>
      <c r="O20" s="77" t="s">
        <v>65</v>
      </c>
      <c r="P20" s="75">
        <v>79</v>
      </c>
      <c r="Q20" s="65">
        <v>5375.87</v>
      </c>
    </row>
    <row r="21" spans="1:20" ht="25.5" customHeight="1" x14ac:dyDescent="0.25">
      <c r="A21" s="16" t="s">
        <v>46</v>
      </c>
      <c r="B21" s="66">
        <v>206.3125</v>
      </c>
      <c r="C21" s="66">
        <v>206.5</v>
      </c>
      <c r="D21" s="66">
        <f t="shared" ref="D21:D23" si="4">C21-B21</f>
        <v>0.1875</v>
      </c>
      <c r="E21" s="66">
        <v>206.59375</v>
      </c>
      <c r="F21" s="66">
        <v>206.875</v>
      </c>
      <c r="G21" s="66">
        <f>F21-E21</f>
        <v>0.28125</v>
      </c>
      <c r="H21" s="66">
        <v>206.92708333333334</v>
      </c>
      <c r="I21" s="66">
        <v>207.0625</v>
      </c>
      <c r="J21" s="71">
        <f>I21-H21-K21</f>
        <v>0.13541666666665719</v>
      </c>
      <c r="K21" s="66"/>
      <c r="L21" s="73">
        <f>D21+G21+J21</f>
        <v>0.60416666666665719</v>
      </c>
      <c r="M21" s="155" t="s">
        <v>47</v>
      </c>
      <c r="N21" s="65">
        <f>M17+M12+M7</f>
        <v>47</v>
      </c>
      <c r="O21" s="78" t="s">
        <v>69</v>
      </c>
      <c r="P21" s="75">
        <v>214</v>
      </c>
      <c r="Q21" s="65">
        <v>5330.9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4"/>
        <v>0.29166666666665719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0.88194444444442865</v>
      </c>
      <c r="M22" s="49" t="s">
        <v>49</v>
      </c>
      <c r="N22" s="65">
        <v>28344.22</v>
      </c>
      <c r="O22" s="80" t="s">
        <v>66</v>
      </c>
      <c r="P22" s="75">
        <v>230</v>
      </c>
      <c r="Q22" s="65">
        <v>5754.54</v>
      </c>
    </row>
    <row r="23" spans="1:20" ht="27" customHeight="1" x14ac:dyDescent="0.25">
      <c r="A23" s="158" t="s">
        <v>50</v>
      </c>
      <c r="B23" s="66">
        <v>206.33333333333334</v>
      </c>
      <c r="C23" s="66">
        <v>206.54166666666666</v>
      </c>
      <c r="D23" s="66">
        <f t="shared" si="4"/>
        <v>0.20833333333331439</v>
      </c>
      <c r="E23" s="66">
        <v>206.57986111111111</v>
      </c>
      <c r="F23" s="66">
        <v>206.875</v>
      </c>
      <c r="G23" s="66">
        <f t="shared" si="5"/>
        <v>0.29513888888888573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0.79513888888888573</v>
      </c>
      <c r="M23" s="155" t="s">
        <v>64</v>
      </c>
      <c r="N23" s="85">
        <v>7</v>
      </c>
      <c r="O23" s="86" t="s">
        <v>67</v>
      </c>
      <c r="P23" s="76">
        <v>150</v>
      </c>
      <c r="Q23" s="65">
        <v>4568.9799999999996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0.68749999999997158</v>
      </c>
      <c r="E24" s="68"/>
      <c r="F24" s="68"/>
      <c r="G24" s="66">
        <f>SUM(G21:G23)</f>
        <v>0.86805555555554292</v>
      </c>
      <c r="H24" s="68"/>
      <c r="I24" s="68"/>
      <c r="J24" s="71">
        <f>SUM(J21:J23)</f>
        <v>0.72569444444445708</v>
      </c>
      <c r="K24" s="75"/>
      <c r="L24" s="83">
        <f>SUM(L21:L23)</f>
        <v>2.2812499999999716</v>
      </c>
      <c r="M24" s="65" t="s">
        <v>79</v>
      </c>
      <c r="N24" s="65">
        <v>25780.86</v>
      </c>
      <c r="P24" s="79" t="s">
        <v>68</v>
      </c>
      <c r="Q24" s="43">
        <v>40760.65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N24+Sheet13!O25</f>
        <v>382182.49499999994</v>
      </c>
      <c r="P25" s="155" t="s">
        <v>78</v>
      </c>
      <c r="Q25" s="87">
        <v>46135.81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Q24+Sheet13!Q26</f>
        <v>629075.99000000011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54.45</v>
      </c>
      <c r="M27" s="55"/>
      <c r="N27" s="88">
        <f>N22/L27</f>
        <v>520.55500459136817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9:Q10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B9" workbookViewId="0">
      <selection activeCell="P25" sqref="P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18.71093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233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90</v>
      </c>
      <c r="L4" s="22">
        <v>52</v>
      </c>
      <c r="M4" s="93">
        <f>K4+L4</f>
        <v>142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3</v>
      </c>
      <c r="L5" s="22">
        <v>0</v>
      </c>
      <c r="M5" s="93">
        <f t="shared" ref="M5:M7" si="0">K5+L5</f>
        <v>3</v>
      </c>
      <c r="N5" s="104" t="s">
        <v>177</v>
      </c>
      <c r="O5" s="66"/>
      <c r="P5" s="66"/>
      <c r="Q5" s="66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3</v>
      </c>
      <c r="L6" s="22">
        <v>2</v>
      </c>
      <c r="M6" s="93">
        <f t="shared" si="0"/>
        <v>5</v>
      </c>
      <c r="N6" s="104"/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28</v>
      </c>
      <c r="L7" s="22">
        <v>10</v>
      </c>
      <c r="M7" s="93">
        <f t="shared" si="0"/>
        <v>38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4.25" customHeight="1" x14ac:dyDescent="0.25">
      <c r="A9" s="33"/>
      <c r="B9" s="34" t="s">
        <v>14</v>
      </c>
      <c r="C9" s="22"/>
      <c r="D9" s="22">
        <v>20</v>
      </c>
      <c r="E9" s="22">
        <v>22</v>
      </c>
      <c r="F9" s="22">
        <v>23</v>
      </c>
      <c r="G9" s="22">
        <v>20</v>
      </c>
      <c r="H9" s="22">
        <v>24</v>
      </c>
      <c r="I9" s="22">
        <v>26</v>
      </c>
      <c r="J9" s="22">
        <v>18</v>
      </c>
      <c r="K9" s="22">
        <v>88</v>
      </c>
      <c r="L9" s="22">
        <v>65</v>
      </c>
      <c r="M9" s="93">
        <f t="shared" ref="M9:M12" si="1">K9+L9</f>
        <v>153</v>
      </c>
      <c r="N9" s="82" t="s">
        <v>170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2</v>
      </c>
      <c r="F10" s="22">
        <v>2</v>
      </c>
      <c r="G10" s="22">
        <v>5</v>
      </c>
      <c r="H10" s="22">
        <v>4</v>
      </c>
      <c r="I10" s="22">
        <v>3</v>
      </c>
      <c r="J10" s="22">
        <v>2</v>
      </c>
      <c r="K10" s="22">
        <v>18</v>
      </c>
      <c r="L10" s="22">
        <v>0</v>
      </c>
      <c r="M10" s="93">
        <f t="shared" si="1"/>
        <v>18</v>
      </c>
      <c r="N10" s="82" t="s">
        <v>57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>
        <v>4</v>
      </c>
      <c r="H11" s="22">
        <v>1</v>
      </c>
      <c r="I11" s="22"/>
      <c r="J11" s="22"/>
      <c r="K11" s="22">
        <v>0</v>
      </c>
      <c r="L11" s="22">
        <v>5</v>
      </c>
      <c r="M11" s="93">
        <f t="shared" si="1"/>
        <v>5</v>
      </c>
      <c r="N11" s="82" t="s">
        <v>170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24</v>
      </c>
      <c r="E12" s="22">
        <v>20</v>
      </c>
      <c r="F12" s="22">
        <v>5</v>
      </c>
      <c r="G12" s="22">
        <v>3</v>
      </c>
      <c r="H12" s="22">
        <v>5</v>
      </c>
      <c r="I12" s="22">
        <v>10</v>
      </c>
      <c r="J12" s="22">
        <v>5</v>
      </c>
      <c r="K12" s="22">
        <v>42</v>
      </c>
      <c r="L12" s="22">
        <v>30</v>
      </c>
      <c r="M12" s="93">
        <f t="shared" si="1"/>
        <v>72</v>
      </c>
      <c r="N12" s="82" t="s">
        <v>57</v>
      </c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66</v>
      </c>
      <c r="L14" s="22">
        <v>31</v>
      </c>
      <c r="M14" s="93">
        <f t="shared" ref="M14:M17" si="2">K14+L14</f>
        <v>97</v>
      </c>
      <c r="N14" s="103" t="s">
        <v>170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4</v>
      </c>
      <c r="L15" s="22">
        <v>0</v>
      </c>
      <c r="M15" s="93">
        <f t="shared" si="2"/>
        <v>4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10</v>
      </c>
      <c r="L16" s="22">
        <v>0</v>
      </c>
      <c r="M16" s="93">
        <f t="shared" si="2"/>
        <v>10</v>
      </c>
      <c r="N16" s="103" t="s">
        <v>170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58</v>
      </c>
      <c r="L17" s="22">
        <v>34</v>
      </c>
      <c r="M17" s="93">
        <f t="shared" si="2"/>
        <v>92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392</v>
      </c>
      <c r="O18" s="252" t="s">
        <v>71</v>
      </c>
      <c r="P18" s="253"/>
      <c r="Q18" s="65">
        <v>3748.5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25</v>
      </c>
      <c r="O19" s="69"/>
      <c r="P19" s="46" t="s">
        <v>130</v>
      </c>
      <c r="Q19" s="65">
        <v>12126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20</v>
      </c>
      <c r="O20" s="77" t="s">
        <v>65</v>
      </c>
      <c r="P20" s="75">
        <v>60</v>
      </c>
      <c r="Q20" s="65">
        <v>4181</v>
      </c>
    </row>
    <row r="21" spans="1:20" ht="25.5" customHeight="1" x14ac:dyDescent="0.25">
      <c r="A21" s="16" t="s">
        <v>46</v>
      </c>
      <c r="B21" s="66">
        <v>206.25694444444446</v>
      </c>
      <c r="C21" s="66">
        <v>206.39583333333334</v>
      </c>
      <c r="D21" s="66">
        <f t="shared" ref="D21:D23" si="3">C21-B21</f>
        <v>0.13888888888888573</v>
      </c>
      <c r="E21" s="66">
        <v>206.58333333333334</v>
      </c>
      <c r="F21" s="66">
        <v>206.875</v>
      </c>
      <c r="G21" s="66">
        <f>F21-E21</f>
        <v>0.29166666666665719</v>
      </c>
      <c r="H21" s="66"/>
      <c r="I21" s="66"/>
      <c r="J21" s="71"/>
      <c r="K21" s="66"/>
      <c r="L21" s="73">
        <f>D21+G21+J21</f>
        <v>0.43055555555554292</v>
      </c>
      <c r="M21" s="155" t="s">
        <v>47</v>
      </c>
      <c r="N21" s="65">
        <f>M17+M12+M7</f>
        <v>202</v>
      </c>
      <c r="O21" s="78" t="s">
        <v>69</v>
      </c>
      <c r="P21" s="75">
        <v>264</v>
      </c>
      <c r="Q21" s="65">
        <v>6753</v>
      </c>
    </row>
    <row r="22" spans="1:20" ht="27" customHeight="1" x14ac:dyDescent="0.25">
      <c r="A22" s="16" t="s">
        <v>48</v>
      </c>
      <c r="B22" s="66">
        <v>206.30555555555554</v>
      </c>
      <c r="C22" s="66">
        <v>206.54166666666666</v>
      </c>
      <c r="D22" s="66">
        <f t="shared" ref="D22" si="4">C22-B22</f>
        <v>0.23611111111111427</v>
      </c>
      <c r="E22" s="66">
        <v>206.70833333333334</v>
      </c>
      <c r="F22" s="66">
        <v>206.875</v>
      </c>
      <c r="G22" s="66">
        <f t="shared" ref="G22:G23" si="5">F22-E22</f>
        <v>0.16666666666665719</v>
      </c>
      <c r="H22" s="66">
        <v>207</v>
      </c>
      <c r="I22" s="66">
        <v>207.16666666666666</v>
      </c>
      <c r="J22" s="71">
        <f>I22-H22-K22</f>
        <v>0.16666666666665719</v>
      </c>
      <c r="K22" s="75"/>
      <c r="L22" s="73">
        <f>D22+G22+J22</f>
        <v>0.56944444444442865</v>
      </c>
      <c r="M22" s="49" t="s">
        <v>49</v>
      </c>
      <c r="N22" s="65">
        <v>22002</v>
      </c>
      <c r="O22" s="80" t="s">
        <v>66</v>
      </c>
      <c r="P22" s="75">
        <v>199</v>
      </c>
      <c r="Q22" s="65">
        <v>4824</v>
      </c>
    </row>
    <row r="23" spans="1:20" ht="27" customHeight="1" x14ac:dyDescent="0.25">
      <c r="A23" s="158" t="s">
        <v>50</v>
      </c>
      <c r="B23" s="66">
        <v>206.25</v>
      </c>
      <c r="C23" s="66">
        <v>206.5</v>
      </c>
      <c r="D23" s="66">
        <f t="shared" si="3"/>
        <v>0.25</v>
      </c>
      <c r="E23" s="66">
        <v>206.60416666666666</v>
      </c>
      <c r="F23" s="66">
        <v>206.875</v>
      </c>
      <c r="G23" s="66">
        <f t="shared" si="5"/>
        <v>0.27083333333334281</v>
      </c>
      <c r="H23" s="66">
        <v>207.04166666666666</v>
      </c>
      <c r="I23" s="66">
        <v>207.17708333333334</v>
      </c>
      <c r="J23" s="71">
        <f>I23-H23-K23</f>
        <v>0.13541666666668561</v>
      </c>
      <c r="K23" s="156"/>
      <c r="L23" s="157">
        <f>D23+G23+J23</f>
        <v>0.65625000000002842</v>
      </c>
      <c r="M23" s="155" t="s">
        <v>64</v>
      </c>
      <c r="N23" s="85">
        <v>6</v>
      </c>
      <c r="O23" s="86" t="s">
        <v>67</v>
      </c>
      <c r="P23" s="76">
        <v>211</v>
      </c>
      <c r="Q23" s="65">
        <v>6334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0.625</v>
      </c>
      <c r="E24" s="68"/>
      <c r="F24" s="68"/>
      <c r="G24" s="66">
        <f>SUM(G21:G23)</f>
        <v>0.72916666666665719</v>
      </c>
      <c r="H24" s="68"/>
      <c r="I24" s="68"/>
      <c r="J24" s="71">
        <f>SUM(J21:J23)</f>
        <v>0.30208333333334281</v>
      </c>
      <c r="K24" s="75"/>
      <c r="L24" s="83">
        <f>SUM(L21:L23)</f>
        <v>1.65625</v>
      </c>
      <c r="M24" s="65" t="s">
        <v>79</v>
      </c>
      <c r="N24" s="65">
        <v>21869.45</v>
      </c>
      <c r="P24" s="79" t="s">
        <v>68</v>
      </c>
      <c r="Q24" s="43">
        <v>36149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N24+Sheet14!O25</f>
        <v>404051.94499999995</v>
      </c>
      <c r="P25" s="155" t="s">
        <v>78</v>
      </c>
      <c r="Q25" s="87">
        <v>40331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91</v>
      </c>
      <c r="Q26" s="69">
        <f>Q24+Sheet14!Q26</f>
        <v>665224.99000000011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39.450000000000003</v>
      </c>
      <c r="M27" s="55"/>
      <c r="N27" s="88">
        <f>N22/L27</f>
        <v>557.71863117870714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.5" bottom="0.5" header="0.31496062992126" footer="0.31496062992126"/>
  <pageSetup paperSize="9" scale="82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19" workbookViewId="0">
      <selection activeCell="O27" sqref="O27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9.28515625" style="1" customWidth="1"/>
    <col min="13" max="13" width="10.42578125" style="1" customWidth="1"/>
    <col min="14" max="14" width="10.140625" style="1" customWidth="1"/>
    <col min="15" max="15" width="11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234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18</v>
      </c>
      <c r="E4" s="22">
        <v>25</v>
      </c>
      <c r="F4" s="22">
        <v>23</v>
      </c>
      <c r="G4" s="22">
        <v>20</v>
      </c>
      <c r="H4" s="22">
        <v>25</v>
      </c>
      <c r="I4" s="22">
        <v>30</v>
      </c>
      <c r="J4" s="22">
        <v>26</v>
      </c>
      <c r="K4" s="22">
        <v>82</v>
      </c>
      <c r="L4" s="22">
        <v>85</v>
      </c>
      <c r="M4" s="93">
        <f>K4+L4</f>
        <v>167</v>
      </c>
      <c r="N4" s="104" t="s">
        <v>131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>
        <v>2</v>
      </c>
      <c r="E5" s="22"/>
      <c r="F5" s="22"/>
      <c r="G5" s="22">
        <v>3</v>
      </c>
      <c r="H5" s="22">
        <v>4</v>
      </c>
      <c r="I5" s="22">
        <v>3</v>
      </c>
      <c r="J5" s="22">
        <v>1</v>
      </c>
      <c r="K5" s="22">
        <v>13</v>
      </c>
      <c r="L5" s="22">
        <v>0</v>
      </c>
      <c r="M5" s="93">
        <f t="shared" ref="M5:M6" si="0">K5+L5</f>
        <v>13</v>
      </c>
      <c r="N5" s="104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 t="s">
        <v>13</v>
      </c>
      <c r="F6" s="22">
        <v>3</v>
      </c>
      <c r="G6" s="22" t="s">
        <v>13</v>
      </c>
      <c r="H6" s="22">
        <v>7</v>
      </c>
      <c r="I6" s="22">
        <v>8</v>
      </c>
      <c r="J6" s="22">
        <v>2</v>
      </c>
      <c r="K6" s="22">
        <v>22</v>
      </c>
      <c r="L6" s="22">
        <v>0</v>
      </c>
      <c r="M6" s="93">
        <f t="shared" si="0"/>
        <v>22</v>
      </c>
      <c r="N6" s="104" t="s">
        <v>129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5</v>
      </c>
      <c r="E7" s="22">
        <v>4</v>
      </c>
      <c r="F7" s="22">
        <v>13</v>
      </c>
      <c r="G7" s="22">
        <v>8</v>
      </c>
      <c r="H7" s="22">
        <v>10</v>
      </c>
      <c r="I7" s="22">
        <v>13</v>
      </c>
      <c r="J7" s="22">
        <v>5</v>
      </c>
      <c r="K7" s="22">
        <v>18</v>
      </c>
      <c r="L7" s="22">
        <v>40</v>
      </c>
      <c r="M7" s="93">
        <f t="shared" ref="M7" si="2">K7+L7</f>
        <v>58</v>
      </c>
      <c r="N7" s="104" t="s">
        <v>13</v>
      </c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22</v>
      </c>
      <c r="E9" s="22">
        <v>17</v>
      </c>
      <c r="F9" s="22">
        <v>27</v>
      </c>
      <c r="G9" s="22">
        <v>19</v>
      </c>
      <c r="H9" s="22">
        <v>15</v>
      </c>
      <c r="I9" s="22">
        <v>13</v>
      </c>
      <c r="J9" s="22">
        <v>18</v>
      </c>
      <c r="K9" s="22">
        <v>75</v>
      </c>
      <c r="L9" s="22">
        <v>46</v>
      </c>
      <c r="M9" s="93">
        <f t="shared" ref="M9:M12" si="3">K9+L9</f>
        <v>121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3</v>
      </c>
      <c r="F10" s="22">
        <v>3</v>
      </c>
      <c r="G10" s="22">
        <v>5</v>
      </c>
      <c r="H10" s="22">
        <v>7</v>
      </c>
      <c r="I10" s="22">
        <v>8</v>
      </c>
      <c r="J10" s="22">
        <v>9</v>
      </c>
      <c r="K10" s="22">
        <v>33</v>
      </c>
      <c r="L10" s="22">
        <v>4</v>
      </c>
      <c r="M10" s="93">
        <f t="shared" si="3"/>
        <v>37</v>
      </c>
      <c r="N10" s="82" t="s">
        <v>57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7</v>
      </c>
      <c r="E11" s="22">
        <v>9</v>
      </c>
      <c r="F11" s="22">
        <v>5</v>
      </c>
      <c r="G11" s="22"/>
      <c r="H11" s="22">
        <v>8</v>
      </c>
      <c r="I11" s="22">
        <v>7</v>
      </c>
      <c r="J11" s="22">
        <v>4</v>
      </c>
      <c r="K11" s="22">
        <v>51</v>
      </c>
      <c r="L11" s="22">
        <v>0</v>
      </c>
      <c r="M11" s="93">
        <f t="shared" si="3"/>
        <v>51</v>
      </c>
      <c r="N11" s="82" t="s">
        <v>13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>
        <v>5</v>
      </c>
      <c r="F12" s="22"/>
      <c r="G12" s="22"/>
      <c r="H12" s="22"/>
      <c r="I12" s="22"/>
      <c r="J12" s="22"/>
      <c r="K12" s="22">
        <v>5</v>
      </c>
      <c r="L12" s="22">
        <v>3</v>
      </c>
      <c r="M12" s="93">
        <f t="shared" si="3"/>
        <v>8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14</v>
      </c>
      <c r="E14" s="22">
        <v>15</v>
      </c>
      <c r="F14" s="22">
        <v>16</v>
      </c>
      <c r="G14" s="22">
        <v>12</v>
      </c>
      <c r="H14" s="22">
        <v>13</v>
      </c>
      <c r="I14" s="22">
        <v>15</v>
      </c>
      <c r="J14" s="22">
        <v>15</v>
      </c>
      <c r="K14" s="22">
        <v>99</v>
      </c>
      <c r="L14" s="22">
        <v>0</v>
      </c>
      <c r="M14" s="93">
        <f t="shared" ref="M14:M17" si="4">K14+L14</f>
        <v>99</v>
      </c>
      <c r="N14" s="103" t="s">
        <v>131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>
        <v>4</v>
      </c>
      <c r="E15" s="22">
        <v>5</v>
      </c>
      <c r="F15" s="22">
        <v>3</v>
      </c>
      <c r="G15" s="22">
        <v>6</v>
      </c>
      <c r="H15" s="22">
        <v>5</v>
      </c>
      <c r="I15" s="22">
        <v>6</v>
      </c>
      <c r="J15" s="22">
        <v>4</v>
      </c>
      <c r="K15" s="22">
        <v>33</v>
      </c>
      <c r="L15" s="22">
        <v>0</v>
      </c>
      <c r="M15" s="93">
        <f t="shared" si="4"/>
        <v>33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3</v>
      </c>
      <c r="E16" s="22">
        <v>4</v>
      </c>
      <c r="F16" s="22">
        <v>2</v>
      </c>
      <c r="G16" s="22">
        <v>6</v>
      </c>
      <c r="H16" s="22">
        <v>7</v>
      </c>
      <c r="I16" s="22">
        <v>5</v>
      </c>
      <c r="J16" s="22">
        <v>8</v>
      </c>
      <c r="K16" s="22">
        <v>35</v>
      </c>
      <c r="L16" s="22">
        <v>0</v>
      </c>
      <c r="M16" s="93">
        <f t="shared" si="4"/>
        <v>35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4</v>
      </c>
      <c r="F17" s="22">
        <v>5</v>
      </c>
      <c r="G17" s="22">
        <v>4</v>
      </c>
      <c r="H17" s="22">
        <v>6</v>
      </c>
      <c r="I17" s="22">
        <v>4</v>
      </c>
      <c r="J17" s="22">
        <v>2</v>
      </c>
      <c r="K17" s="22">
        <v>26</v>
      </c>
      <c r="L17" s="22">
        <v>0</v>
      </c>
      <c r="M17" s="93">
        <f t="shared" si="4"/>
        <v>26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387</v>
      </c>
      <c r="O18" s="252" t="s">
        <v>71</v>
      </c>
      <c r="P18" s="253"/>
      <c r="Q18" s="65" t="s">
        <v>235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83</v>
      </c>
      <c r="O19" s="69">
        <v>1652.97</v>
      </c>
      <c r="P19" s="46" t="s">
        <v>171</v>
      </c>
      <c r="Q19" s="65" t="s">
        <v>236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108</v>
      </c>
      <c r="O20" s="77" t="s">
        <v>65</v>
      </c>
      <c r="P20" s="75">
        <v>80</v>
      </c>
      <c r="Q20" s="65">
        <v>5464</v>
      </c>
    </row>
    <row r="21" spans="1:20" ht="25.5" customHeight="1" x14ac:dyDescent="0.25">
      <c r="A21" s="16" t="s">
        <v>46</v>
      </c>
      <c r="B21" s="66">
        <v>206.25694444444446</v>
      </c>
      <c r="C21" s="66">
        <v>206.54166666666666</v>
      </c>
      <c r="D21" s="66">
        <f t="shared" ref="D21:D23" si="5">C21-B21</f>
        <v>0.28472222222220012</v>
      </c>
      <c r="E21" s="66">
        <v>206.61805555555554</v>
      </c>
      <c r="F21" s="66">
        <v>206.875</v>
      </c>
      <c r="G21" s="66">
        <f>F21-E21</f>
        <v>0.25694444444445708</v>
      </c>
      <c r="H21" s="66">
        <v>206.92013888888889</v>
      </c>
      <c r="I21" s="66">
        <v>207.20833333333334</v>
      </c>
      <c r="J21" s="71">
        <f>I21-H21-K21</f>
        <v>0.28819444444445708</v>
      </c>
      <c r="K21" s="66"/>
      <c r="L21" s="73">
        <f>D21+G21+J21</f>
        <v>0.82986111111111427</v>
      </c>
      <c r="M21" s="155" t="s">
        <v>47</v>
      </c>
      <c r="N21" s="65">
        <f>M17+M12+M7</f>
        <v>92</v>
      </c>
      <c r="O21" s="78" t="s">
        <v>69</v>
      </c>
      <c r="P21" s="75">
        <v>243</v>
      </c>
      <c r="Q21" s="65">
        <v>6284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5"/>
        <v>0.29166666666665719</v>
      </c>
      <c r="E22" s="66">
        <v>206.60416666666666</v>
      </c>
      <c r="F22" s="66">
        <v>206.875</v>
      </c>
      <c r="G22" s="66">
        <f t="shared" ref="G22:G23" si="6">F22-E22</f>
        <v>0.27083333333334281</v>
      </c>
      <c r="H22" s="66">
        <v>206.91666666666666</v>
      </c>
      <c r="I22" s="66">
        <v>207.16666666666666</v>
      </c>
      <c r="J22" s="71">
        <f>I22-H22-K22</f>
        <v>0.25</v>
      </c>
      <c r="K22" s="75"/>
      <c r="L22" s="73">
        <f>D22+G22+J22</f>
        <v>0.8125</v>
      </c>
      <c r="M22" s="49" t="s">
        <v>49</v>
      </c>
      <c r="N22" s="65">
        <v>26486</v>
      </c>
      <c r="O22" s="80" t="s">
        <v>66</v>
      </c>
      <c r="P22" s="75">
        <v>164</v>
      </c>
      <c r="Q22" s="65">
        <v>4057</v>
      </c>
    </row>
    <row r="23" spans="1:20" ht="27" customHeight="1" x14ac:dyDescent="0.25">
      <c r="A23" s="158" t="s">
        <v>50</v>
      </c>
      <c r="B23" s="66">
        <v>206.26388888888889</v>
      </c>
      <c r="C23" s="66">
        <v>206.5</v>
      </c>
      <c r="D23" s="66">
        <f t="shared" si="5"/>
        <v>0.23611111111111427</v>
      </c>
      <c r="E23" s="66">
        <v>206.57638888888889</v>
      </c>
      <c r="F23" s="66">
        <v>206.875</v>
      </c>
      <c r="G23" s="66">
        <f t="shared" si="6"/>
        <v>0.29861111111111427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0.82638888888891415</v>
      </c>
      <c r="M23" s="155" t="s">
        <v>64</v>
      </c>
      <c r="N23" s="85">
        <v>7</v>
      </c>
      <c r="O23" s="86" t="s">
        <v>67</v>
      </c>
      <c r="P23" s="76">
        <v>204</v>
      </c>
      <c r="Q23" s="65">
        <v>6202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0.81249999999997158</v>
      </c>
      <c r="E24" s="68"/>
      <c r="F24" s="68"/>
      <c r="G24" s="66">
        <f>SUM(G21:G23)</f>
        <v>0.82638888888891415</v>
      </c>
      <c r="H24" s="68"/>
      <c r="I24" s="68"/>
      <c r="J24" s="71">
        <f>SUM(J21:J23)</f>
        <v>0.82986111111114269</v>
      </c>
      <c r="K24" s="75"/>
      <c r="L24" s="83">
        <f>SUM(L21:L23)</f>
        <v>2.4687500000000284</v>
      </c>
      <c r="M24" s="65" t="s">
        <v>79</v>
      </c>
      <c r="N24" s="65">
        <v>25907.4</v>
      </c>
      <c r="P24" s="79" t="s">
        <v>68</v>
      </c>
      <c r="Q24" s="43">
        <v>42642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N24+Sheet15!O25</f>
        <v>429959.34499999997</v>
      </c>
      <c r="P25" s="155" t="s">
        <v>78</v>
      </c>
      <c r="Q25" s="87">
        <v>48107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41000</v>
      </c>
      <c r="P26" s="51" t="s">
        <v>91</v>
      </c>
      <c r="Q26" s="69">
        <f>Q24+Sheet15!Q26</f>
        <v>707866.99000000011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59.15</v>
      </c>
      <c r="M27" s="55"/>
      <c r="N27" s="88">
        <f>N22/L27</f>
        <v>447.77683854606931</v>
      </c>
      <c r="O27" s="81" t="s">
        <v>74</v>
      </c>
      <c r="P27" s="69" t="s">
        <v>237</v>
      </c>
      <c r="Q27" s="65">
        <v>10.3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1" right="0" top="0.5" bottom="0.5" header="0.31496062992126" footer="0.31496062992126"/>
  <pageSetup paperSize="9" scale="82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N27" sqref="N27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238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15</v>
      </c>
      <c r="E4" s="22">
        <v>18</v>
      </c>
      <c r="F4" s="22">
        <v>25</v>
      </c>
      <c r="G4" s="22">
        <v>10</v>
      </c>
      <c r="H4" s="22">
        <v>22</v>
      </c>
      <c r="I4" s="22">
        <v>35</v>
      </c>
      <c r="J4" s="22">
        <v>36</v>
      </c>
      <c r="K4" s="22">
        <v>96</v>
      </c>
      <c r="L4" s="22">
        <v>65</v>
      </c>
      <c r="M4" s="93">
        <f>K4+L4</f>
        <v>161</v>
      </c>
      <c r="N4" s="104" t="s">
        <v>170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3</v>
      </c>
      <c r="H5" s="22">
        <v>2</v>
      </c>
      <c r="I5" s="22">
        <v>4</v>
      </c>
      <c r="J5" s="22">
        <v>1</v>
      </c>
      <c r="K5" s="22">
        <v>10</v>
      </c>
      <c r="L5" s="22">
        <v>0</v>
      </c>
      <c r="M5" s="93">
        <f t="shared" ref="M5:M7" si="0">K5+L5</f>
        <v>10</v>
      </c>
      <c r="N5" s="104" t="s">
        <v>57</v>
      </c>
      <c r="O5" s="66" t="s">
        <v>239</v>
      </c>
      <c r="P5" s="66" t="s">
        <v>240</v>
      </c>
      <c r="Q5" s="66" t="s">
        <v>241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2</v>
      </c>
      <c r="G6" s="22">
        <v>2</v>
      </c>
      <c r="H6" s="22"/>
      <c r="I6" s="22">
        <v>1</v>
      </c>
      <c r="J6" s="22" t="s">
        <v>13</v>
      </c>
      <c r="K6" s="22">
        <v>5</v>
      </c>
      <c r="L6" s="22">
        <v>0</v>
      </c>
      <c r="M6" s="93">
        <f>K6+L6</f>
        <v>5</v>
      </c>
      <c r="N6" s="104" t="s">
        <v>170</v>
      </c>
      <c r="O6" s="66" t="s">
        <v>13</v>
      </c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7</v>
      </c>
      <c r="E7" s="22">
        <v>5</v>
      </c>
      <c r="F7" s="22">
        <v>8</v>
      </c>
      <c r="G7" s="22">
        <v>10</v>
      </c>
      <c r="H7" s="22">
        <v>10</v>
      </c>
      <c r="I7" s="22">
        <v>10</v>
      </c>
      <c r="J7" s="22"/>
      <c r="K7" s="22">
        <v>42</v>
      </c>
      <c r="L7" s="22">
        <v>8</v>
      </c>
      <c r="M7" s="93">
        <f t="shared" si="0"/>
        <v>50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18</v>
      </c>
      <c r="E9" s="22">
        <v>25</v>
      </c>
      <c r="F9" s="22">
        <v>10</v>
      </c>
      <c r="G9" s="22">
        <v>10</v>
      </c>
      <c r="H9" s="22">
        <v>7</v>
      </c>
      <c r="I9" s="22">
        <v>4</v>
      </c>
      <c r="J9" s="22">
        <v>13</v>
      </c>
      <c r="K9" s="22">
        <v>57</v>
      </c>
      <c r="L9" s="22">
        <v>30</v>
      </c>
      <c r="M9" s="93">
        <f t="shared" ref="M9:M12" si="1">K9+L9</f>
        <v>87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5</v>
      </c>
      <c r="F10" s="22">
        <v>4</v>
      </c>
      <c r="G10" s="22">
        <v>3</v>
      </c>
      <c r="H10" s="22">
        <v>4</v>
      </c>
      <c r="I10" s="22">
        <v>4</v>
      </c>
      <c r="J10" s="22">
        <v>6</v>
      </c>
      <c r="K10" s="22">
        <v>26</v>
      </c>
      <c r="L10" s="22">
        <v>0</v>
      </c>
      <c r="M10" s="93">
        <f t="shared" si="1"/>
        <v>26</v>
      </c>
      <c r="N10" s="82" t="s">
        <v>57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7</v>
      </c>
      <c r="E11" s="22">
        <v>9</v>
      </c>
      <c r="F11" s="22">
        <v>9</v>
      </c>
      <c r="G11" s="22">
        <v>7</v>
      </c>
      <c r="H11" s="22"/>
      <c r="I11" s="22"/>
      <c r="J11" s="22">
        <v>6</v>
      </c>
      <c r="K11" s="22">
        <v>5</v>
      </c>
      <c r="L11" s="22">
        <v>36</v>
      </c>
      <c r="M11" s="93">
        <f t="shared" si="1"/>
        <v>41</v>
      </c>
      <c r="N11" s="82" t="s">
        <v>13</v>
      </c>
      <c r="O11" s="82" t="s">
        <v>243</v>
      </c>
      <c r="P11" s="82" t="s">
        <v>244</v>
      </c>
      <c r="Q11" s="33" t="s">
        <v>242</v>
      </c>
    </row>
    <row r="12" spans="1:17" ht="13.5" customHeight="1" x14ac:dyDescent="0.25">
      <c r="A12" s="36"/>
      <c r="B12" s="34" t="s">
        <v>19</v>
      </c>
      <c r="C12" s="22"/>
      <c r="D12" s="22"/>
      <c r="E12" s="22">
        <v>2</v>
      </c>
      <c r="F12" s="22">
        <v>1</v>
      </c>
      <c r="G12" s="22"/>
      <c r="H12" s="22"/>
      <c r="I12" s="22"/>
      <c r="J12" s="22">
        <v>3</v>
      </c>
      <c r="K12" s="22">
        <v>3</v>
      </c>
      <c r="L12" s="22">
        <v>0</v>
      </c>
      <c r="M12" s="93">
        <f t="shared" si="1"/>
        <v>3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15</v>
      </c>
      <c r="E14" s="22">
        <v>22</v>
      </c>
      <c r="F14" s="22">
        <v>33</v>
      </c>
      <c r="G14" s="22">
        <v>35</v>
      </c>
      <c r="H14" s="22">
        <v>30</v>
      </c>
      <c r="I14" s="22">
        <v>28</v>
      </c>
      <c r="J14" s="22">
        <v>25</v>
      </c>
      <c r="K14" s="22">
        <v>111</v>
      </c>
      <c r="L14" s="22">
        <v>77</v>
      </c>
      <c r="M14" s="93">
        <f t="shared" ref="M14:M17" si="2">K14+L14</f>
        <v>188</v>
      </c>
      <c r="N14" s="103" t="s">
        <v>57</v>
      </c>
      <c r="O14" s="101"/>
      <c r="P14" s="82"/>
      <c r="Q14" s="37"/>
    </row>
    <row r="15" spans="1:17" ht="14.25" customHeight="1" x14ac:dyDescent="0.25">
      <c r="A15" s="106" t="s">
        <v>36</v>
      </c>
      <c r="B15" s="21" t="s">
        <v>16</v>
      </c>
      <c r="C15" s="22"/>
      <c r="D15" s="22"/>
      <c r="E15" s="22">
        <v>2</v>
      </c>
      <c r="F15" s="22">
        <v>15</v>
      </c>
      <c r="G15" s="22">
        <v>5</v>
      </c>
      <c r="H15" s="22">
        <v>2</v>
      </c>
      <c r="I15" s="22">
        <v>3</v>
      </c>
      <c r="J15" s="22">
        <v>2</v>
      </c>
      <c r="K15" s="22">
        <v>29</v>
      </c>
      <c r="L15" s="22">
        <v>0</v>
      </c>
      <c r="M15" s="93">
        <f t="shared" si="2"/>
        <v>29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6</v>
      </c>
      <c r="E16" s="22">
        <v>3</v>
      </c>
      <c r="F16" s="22">
        <v>5</v>
      </c>
      <c r="G16" s="22">
        <v>4</v>
      </c>
      <c r="H16" s="22">
        <v>5</v>
      </c>
      <c r="I16" s="22">
        <v>8</v>
      </c>
      <c r="J16" s="22">
        <v>7</v>
      </c>
      <c r="K16" s="22">
        <v>38</v>
      </c>
      <c r="L16" s="22">
        <v>0</v>
      </c>
      <c r="M16" s="93">
        <f t="shared" si="2"/>
        <v>38</v>
      </c>
      <c r="N16" s="103"/>
      <c r="O16" s="103"/>
      <c r="P16" s="82"/>
      <c r="Q16" s="37"/>
    </row>
    <row r="17" spans="1:20" ht="14.25" customHeight="1" x14ac:dyDescent="0.25">
      <c r="A17" s="37"/>
      <c r="B17" s="21" t="s">
        <v>19</v>
      </c>
      <c r="C17" s="22"/>
      <c r="D17" s="22">
        <v>11</v>
      </c>
      <c r="E17" s="22"/>
      <c r="F17" s="22"/>
      <c r="G17" s="22"/>
      <c r="H17" s="22">
        <v>2</v>
      </c>
      <c r="I17" s="22">
        <v>2</v>
      </c>
      <c r="J17" s="22"/>
      <c r="K17" s="22">
        <v>6</v>
      </c>
      <c r="L17" s="22">
        <v>9</v>
      </c>
      <c r="M17" s="93">
        <f t="shared" si="2"/>
        <v>15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436</v>
      </c>
      <c r="O18" s="252" t="s">
        <v>71</v>
      </c>
      <c r="P18" s="253"/>
      <c r="Q18" s="65" t="s">
        <v>70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65</v>
      </c>
      <c r="O19" s="69">
        <v>1760</v>
      </c>
      <c r="P19" s="46" t="s">
        <v>178</v>
      </c>
      <c r="Q19" s="65" t="s">
        <v>245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84</v>
      </c>
      <c r="O20" s="77" t="s">
        <v>65</v>
      </c>
      <c r="P20" s="75">
        <v>100</v>
      </c>
      <c r="Q20" s="65">
        <v>6812</v>
      </c>
    </row>
    <row r="21" spans="1:20" ht="25.5" customHeight="1" x14ac:dyDescent="0.25">
      <c r="A21" s="16" t="s">
        <v>46</v>
      </c>
      <c r="B21" s="66">
        <v>206.27083333333334</v>
      </c>
      <c r="C21" s="66">
        <v>206.41666666666666</v>
      </c>
      <c r="D21" s="66">
        <f t="shared" ref="D21:D22" si="3">C21-B21</f>
        <v>0.14583333333331439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0.68749999999997158</v>
      </c>
      <c r="M21" s="155" t="s">
        <v>47</v>
      </c>
      <c r="N21" s="65">
        <f>M17+M12+M7</f>
        <v>68</v>
      </c>
      <c r="O21" s="78" t="s">
        <v>69</v>
      </c>
      <c r="P21" s="75">
        <v>243</v>
      </c>
      <c r="Q21" s="65">
        <v>5614</v>
      </c>
    </row>
    <row r="22" spans="1:20" ht="27" customHeight="1" x14ac:dyDescent="0.25">
      <c r="A22" s="16" t="s">
        <v>48</v>
      </c>
      <c r="B22" s="66">
        <v>206.29166666666666</v>
      </c>
      <c r="C22" s="66">
        <v>206.5</v>
      </c>
      <c r="D22" s="66">
        <f t="shared" si="3"/>
        <v>0.20833333333334281</v>
      </c>
      <c r="E22" s="66">
        <v>206.61111111111111</v>
      </c>
      <c r="F22" s="66">
        <v>206.875</v>
      </c>
      <c r="G22" s="66">
        <f t="shared" ref="G22:G23" si="4">F22-E22</f>
        <v>0.26388888888888573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0.76041666666668561</v>
      </c>
      <c r="M22" s="49" t="s">
        <v>49</v>
      </c>
      <c r="N22" s="65">
        <v>27460</v>
      </c>
      <c r="O22" s="80" t="s">
        <v>66</v>
      </c>
      <c r="P22" s="75">
        <v>148</v>
      </c>
      <c r="Q22" s="65">
        <v>4849</v>
      </c>
    </row>
    <row r="23" spans="1:20" ht="27" customHeight="1" x14ac:dyDescent="0.25">
      <c r="A23" s="158" t="s">
        <v>50</v>
      </c>
      <c r="B23" s="66">
        <v>206.26041666666666</v>
      </c>
      <c r="C23" s="66">
        <v>206.5</v>
      </c>
      <c r="D23" s="66">
        <f t="shared" ref="D23" si="5">C23-B23</f>
        <v>0.23958333333334281</v>
      </c>
      <c r="E23" s="66">
        <v>206.61458333333334</v>
      </c>
      <c r="F23" s="66">
        <v>206.875</v>
      </c>
      <c r="G23" s="66">
        <f t="shared" si="4"/>
        <v>0.26041666666665719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0.79166666666668561</v>
      </c>
      <c r="M23" s="155" t="s">
        <v>64</v>
      </c>
      <c r="N23" s="85">
        <v>7</v>
      </c>
      <c r="O23" s="86" t="s">
        <v>67</v>
      </c>
      <c r="P23" s="76">
        <v>241</v>
      </c>
      <c r="Q23" s="65">
        <v>7325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0.59375</v>
      </c>
      <c r="E24" s="68"/>
      <c r="F24" s="68"/>
      <c r="G24" s="66">
        <f>SUM(G21:G23)</f>
        <v>0.81597222222220012</v>
      </c>
      <c r="H24" s="68"/>
      <c r="I24" s="68"/>
      <c r="J24" s="71">
        <f>SUM(J21:J23)</f>
        <v>0.82986111111114269</v>
      </c>
      <c r="K24" s="75"/>
      <c r="L24" s="83">
        <f>SUM(L21:L23)</f>
        <v>2.2395833333333428</v>
      </c>
      <c r="M24" s="65" t="s">
        <v>79</v>
      </c>
      <c r="N24" s="65">
        <v>25351.13</v>
      </c>
      <c r="P24" s="79" t="s">
        <v>68</v>
      </c>
      <c r="Q24" s="43">
        <v>46356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N24+Sheet16!O25</f>
        <v>455310.47499999998</v>
      </c>
      <c r="P25" s="155" t="s">
        <v>78</v>
      </c>
      <c r="Q25" s="87">
        <v>53168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Q24+Sheet16!Q26</f>
        <v>754222.99000000011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53.45</v>
      </c>
      <c r="M27" s="55"/>
      <c r="N27" s="88">
        <f>N22/L27</f>
        <v>513.75116931711875</v>
      </c>
      <c r="O27" s="81" t="s">
        <v>74</v>
      </c>
      <c r="P27" s="69"/>
      <c r="Q27" s="65" t="s">
        <v>246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5" width="10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247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26</v>
      </c>
      <c r="E4" s="22">
        <v>20</v>
      </c>
      <c r="F4" s="22">
        <v>32</v>
      </c>
      <c r="G4" s="22">
        <v>18</v>
      </c>
      <c r="H4" s="22">
        <v>22</v>
      </c>
      <c r="I4" s="22">
        <v>20</v>
      </c>
      <c r="J4" s="22">
        <v>20</v>
      </c>
      <c r="K4" s="22">
        <v>83</v>
      </c>
      <c r="L4" s="22">
        <v>75</v>
      </c>
      <c r="M4" s="93">
        <f>K4+L4</f>
        <v>158</v>
      </c>
      <c r="N4" s="104" t="s">
        <v>13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2</v>
      </c>
      <c r="H5" s="22">
        <v>2</v>
      </c>
      <c r="I5" s="22">
        <v>2</v>
      </c>
      <c r="J5" s="22">
        <v>2</v>
      </c>
      <c r="K5" s="22">
        <v>0</v>
      </c>
      <c r="L5" s="22">
        <v>8</v>
      </c>
      <c r="M5" s="93">
        <f t="shared" ref="M5:M7" si="0">K5+L5</f>
        <v>8</v>
      </c>
      <c r="N5" s="104" t="s">
        <v>13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2</v>
      </c>
      <c r="F6" s="22">
        <v>3</v>
      </c>
      <c r="G6" s="22">
        <v>1</v>
      </c>
      <c r="H6" s="22">
        <v>1</v>
      </c>
      <c r="I6" s="22">
        <v>2</v>
      </c>
      <c r="J6" s="22">
        <v>1</v>
      </c>
      <c r="K6" s="22">
        <v>10</v>
      </c>
      <c r="L6" s="22">
        <v>0</v>
      </c>
      <c r="M6" s="93">
        <f t="shared" si="0"/>
        <v>10</v>
      </c>
      <c r="N6" s="104" t="s">
        <v>13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12</v>
      </c>
      <c r="E7" s="22">
        <v>10</v>
      </c>
      <c r="F7" s="22">
        <v>12</v>
      </c>
      <c r="G7" s="22">
        <v>2</v>
      </c>
      <c r="H7" s="22">
        <v>15</v>
      </c>
      <c r="I7" s="22">
        <v>8</v>
      </c>
      <c r="J7" s="22">
        <v>7</v>
      </c>
      <c r="K7" s="22">
        <v>41</v>
      </c>
      <c r="L7" s="22">
        <v>25</v>
      </c>
      <c r="M7" s="93">
        <f t="shared" si="0"/>
        <v>66</v>
      </c>
      <c r="N7" s="104" t="s">
        <v>13</v>
      </c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3.5" customHeight="1" x14ac:dyDescent="0.25">
      <c r="A9" s="33"/>
      <c r="B9" s="34" t="s">
        <v>14</v>
      </c>
      <c r="C9" s="22"/>
      <c r="D9" s="22">
        <v>9</v>
      </c>
      <c r="E9" s="22">
        <v>5</v>
      </c>
      <c r="F9" s="22">
        <v>6</v>
      </c>
      <c r="G9" s="22">
        <v>8</v>
      </c>
      <c r="H9" s="22">
        <v>10</v>
      </c>
      <c r="I9" s="22">
        <v>11</v>
      </c>
      <c r="J9" s="22">
        <v>11</v>
      </c>
      <c r="K9" s="22">
        <v>40</v>
      </c>
      <c r="L9" s="22">
        <v>20</v>
      </c>
      <c r="M9" s="93">
        <f t="shared" ref="M9:M12" si="2">K9+L9</f>
        <v>60</v>
      </c>
      <c r="N9" s="82" t="s">
        <v>13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9</v>
      </c>
      <c r="F10" s="22">
        <v>7</v>
      </c>
      <c r="G10" s="22">
        <v>3</v>
      </c>
      <c r="H10" s="22">
        <v>4</v>
      </c>
      <c r="I10" s="22">
        <v>2</v>
      </c>
      <c r="J10" s="22"/>
      <c r="K10" s="22">
        <v>24</v>
      </c>
      <c r="L10" s="22">
        <v>9</v>
      </c>
      <c r="M10" s="93">
        <f t="shared" si="2"/>
        <v>33</v>
      </c>
      <c r="N10" s="82" t="s">
        <v>13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4</v>
      </c>
      <c r="E11" s="22">
        <v>3</v>
      </c>
      <c r="F11" s="22">
        <v>4</v>
      </c>
      <c r="G11" s="22">
        <v>7</v>
      </c>
      <c r="H11" s="22">
        <v>4</v>
      </c>
      <c r="I11" s="22">
        <v>5</v>
      </c>
      <c r="J11" s="22">
        <v>5</v>
      </c>
      <c r="K11" s="22">
        <v>17</v>
      </c>
      <c r="L11" s="22">
        <v>11</v>
      </c>
      <c r="M11" s="93">
        <f t="shared" si="2"/>
        <v>28</v>
      </c>
      <c r="N11" s="82"/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>
        <v>3</v>
      </c>
      <c r="F12" s="22">
        <v>3</v>
      </c>
      <c r="G12" s="22"/>
      <c r="H12" s="22"/>
      <c r="I12" s="22"/>
      <c r="J12" s="22"/>
      <c r="K12" s="22">
        <v>8</v>
      </c>
      <c r="L12" s="22">
        <v>0</v>
      </c>
      <c r="M12" s="93">
        <f t="shared" si="2"/>
        <v>8</v>
      </c>
      <c r="N12" s="82"/>
      <c r="O12" s="82" t="s">
        <v>13</v>
      </c>
      <c r="P12" s="82"/>
      <c r="Q12" s="37" t="s">
        <v>13</v>
      </c>
    </row>
    <row r="13" spans="1:17" ht="30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35</v>
      </c>
      <c r="E14" s="22">
        <v>40</v>
      </c>
      <c r="F14" s="22">
        <v>45</v>
      </c>
      <c r="G14" s="22">
        <v>35</v>
      </c>
      <c r="H14" s="22">
        <v>40</v>
      </c>
      <c r="I14" s="22">
        <v>30</v>
      </c>
      <c r="J14" s="22">
        <v>25</v>
      </c>
      <c r="K14" s="22">
        <v>160</v>
      </c>
      <c r="L14" s="22">
        <v>90</v>
      </c>
      <c r="M14" s="93">
        <f t="shared" ref="M14:M17" si="3">K14+L14</f>
        <v>250</v>
      </c>
      <c r="N14" s="103" t="s">
        <v>13</v>
      </c>
      <c r="O14" s="101"/>
      <c r="P14" s="82"/>
      <c r="Q14" s="37"/>
    </row>
    <row r="15" spans="1:17" ht="12.75" customHeight="1" x14ac:dyDescent="0.25">
      <c r="A15" s="106" t="s">
        <v>36</v>
      </c>
      <c r="B15" s="21" t="s">
        <v>16</v>
      </c>
      <c r="C15" s="22"/>
      <c r="D15" s="22">
        <v>4</v>
      </c>
      <c r="E15" s="22">
        <v>5</v>
      </c>
      <c r="F15" s="22">
        <v>6</v>
      </c>
      <c r="G15" s="22">
        <v>4</v>
      </c>
      <c r="H15" s="22">
        <v>2</v>
      </c>
      <c r="I15" s="22">
        <v>2</v>
      </c>
      <c r="J15" s="22"/>
      <c r="K15" s="22">
        <v>23</v>
      </c>
      <c r="L15" s="22">
        <v>0</v>
      </c>
      <c r="M15" s="93">
        <f t="shared" si="3"/>
        <v>23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5</v>
      </c>
      <c r="E16" s="22">
        <v>4</v>
      </c>
      <c r="F16" s="22">
        <v>3</v>
      </c>
      <c r="G16" s="22">
        <v>5</v>
      </c>
      <c r="H16" s="22">
        <v>3</v>
      </c>
      <c r="I16" s="22">
        <v>2</v>
      </c>
      <c r="J16" s="22">
        <v>3</v>
      </c>
      <c r="K16" s="22">
        <v>25</v>
      </c>
      <c r="L16" s="22">
        <v>0</v>
      </c>
      <c r="M16" s="93">
        <f t="shared" si="3"/>
        <v>25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4</v>
      </c>
      <c r="F17" s="22">
        <v>3</v>
      </c>
      <c r="G17" s="22"/>
      <c r="H17" s="22">
        <v>5</v>
      </c>
      <c r="I17" s="22">
        <v>8</v>
      </c>
      <c r="J17" s="22">
        <v>1</v>
      </c>
      <c r="K17" s="22">
        <v>10</v>
      </c>
      <c r="L17" s="22">
        <v>16</v>
      </c>
      <c r="M17" s="93">
        <f t="shared" si="3"/>
        <v>26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468</v>
      </c>
      <c r="O18" s="252" t="s">
        <v>71</v>
      </c>
      <c r="P18" s="253"/>
      <c r="Q18" s="65" t="s">
        <v>248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64</v>
      </c>
      <c r="O19" s="69">
        <v>1659</v>
      </c>
      <c r="P19" s="46" t="s">
        <v>173</v>
      </c>
      <c r="Q19" s="65" t="s">
        <v>249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63</v>
      </c>
      <c r="O20" s="77" t="s">
        <v>65</v>
      </c>
      <c r="P20" s="75">
        <v>80</v>
      </c>
      <c r="Q20" s="65">
        <v>5362</v>
      </c>
    </row>
    <row r="21" spans="1:20" ht="25.5" customHeight="1" x14ac:dyDescent="0.25">
      <c r="A21" s="16" t="s">
        <v>46</v>
      </c>
      <c r="B21" s="66">
        <v>206.25694444444446</v>
      </c>
      <c r="C21" s="66">
        <v>206.54166666666666</v>
      </c>
      <c r="D21" s="66">
        <f t="shared" ref="D21:D23" si="4">C21-B21</f>
        <v>0.28472222222220012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206.92361111111111</v>
      </c>
      <c r="I21" s="66">
        <v>207.20833333333334</v>
      </c>
      <c r="J21" s="71">
        <f>I21-H21-K21</f>
        <v>0.28472222222222854</v>
      </c>
      <c r="K21" s="66"/>
      <c r="L21" s="73">
        <f>D21+G21+J21</f>
        <v>0.86111111111108585</v>
      </c>
      <c r="M21" s="155" t="s">
        <v>47</v>
      </c>
      <c r="N21" s="65">
        <f>M17+M12+M7</f>
        <v>100</v>
      </c>
      <c r="O21" s="78" t="s">
        <v>69</v>
      </c>
      <c r="P21" s="75">
        <v>211</v>
      </c>
      <c r="Q21" s="65">
        <v>5310</v>
      </c>
    </row>
    <row r="22" spans="1:20" ht="27" customHeight="1" x14ac:dyDescent="0.25">
      <c r="A22" s="16" t="s">
        <v>48</v>
      </c>
      <c r="B22" s="66">
        <v>206.34375</v>
      </c>
      <c r="C22" s="66">
        <v>206.4375</v>
      </c>
      <c r="D22" s="66">
        <f t="shared" ref="D22" si="5">C22-B22</f>
        <v>9.375E-2</v>
      </c>
      <c r="E22" s="66">
        <v>206.64583333333334</v>
      </c>
      <c r="F22" s="66">
        <v>206.875</v>
      </c>
      <c r="G22" s="66">
        <f t="shared" ref="G22" si="6">F22-E22</f>
        <v>0.22916666666665719</v>
      </c>
      <c r="H22" s="66">
        <v>206.95833333333334</v>
      </c>
      <c r="I22" s="66">
        <v>207.20833333333334</v>
      </c>
      <c r="J22" s="71">
        <f>I22-H22-K22</f>
        <v>0.25</v>
      </c>
      <c r="K22" s="75"/>
      <c r="L22" s="73">
        <f>D22+G22+J22</f>
        <v>0.57291666666665719</v>
      </c>
      <c r="M22" s="49" t="s">
        <v>49</v>
      </c>
      <c r="N22" s="65">
        <v>28259</v>
      </c>
      <c r="O22" s="80" t="s">
        <v>66</v>
      </c>
      <c r="P22" s="75">
        <v>172</v>
      </c>
      <c r="Q22" s="65">
        <v>4191</v>
      </c>
    </row>
    <row r="23" spans="1:20" ht="27" customHeight="1" x14ac:dyDescent="0.25">
      <c r="A23" s="158" t="s">
        <v>50</v>
      </c>
      <c r="B23" s="66">
        <v>206.32638888888889</v>
      </c>
      <c r="C23" s="66">
        <v>206.54166666666666</v>
      </c>
      <c r="D23" s="66">
        <f t="shared" si="4"/>
        <v>0.21527777777777146</v>
      </c>
      <c r="E23" s="66">
        <v>206.625</v>
      </c>
      <c r="F23" s="66">
        <v>206.875</v>
      </c>
      <c r="G23" s="66">
        <f>F23-E23</f>
        <v>0.25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0.75694444444445708</v>
      </c>
      <c r="M23" s="155" t="s">
        <v>64</v>
      </c>
      <c r="N23" s="85">
        <v>7</v>
      </c>
      <c r="O23" s="86" t="s">
        <v>67</v>
      </c>
      <c r="P23" s="76">
        <v>263</v>
      </c>
      <c r="Q23" s="65">
        <v>8100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0.59374999999997158</v>
      </c>
      <c r="E24" s="68"/>
      <c r="F24" s="68"/>
      <c r="G24" s="66">
        <f>SUM(G21:G23)</f>
        <v>0.77083333333331439</v>
      </c>
      <c r="H24" s="68"/>
      <c r="I24" s="68"/>
      <c r="J24" s="71">
        <f>SUM(J21:J23)</f>
        <v>0.82638888888891415</v>
      </c>
      <c r="K24" s="75"/>
      <c r="L24" s="83">
        <f>SUM(L21:L23)</f>
        <v>2.1909722222222001</v>
      </c>
      <c r="M24" s="65" t="s">
        <v>79</v>
      </c>
      <c r="N24" s="65">
        <v>26341.99</v>
      </c>
      <c r="P24" s="79" t="s">
        <v>68</v>
      </c>
      <c r="Q24" s="43">
        <v>44764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N24+Sheet17!O25</f>
        <v>481652.46499999997</v>
      </c>
      <c r="P25" s="155" t="s">
        <v>78</v>
      </c>
      <c r="Q25" s="87">
        <v>50126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Q24+Sheet17!Q26</f>
        <v>798986.99000000011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52.35</v>
      </c>
      <c r="M27" s="55"/>
      <c r="N27" s="88">
        <f>N22/L27</f>
        <v>539.80897803247376</v>
      </c>
      <c r="O27" s="81" t="s">
        <v>74</v>
      </c>
      <c r="P27" s="69"/>
      <c r="Q27" s="65" t="s">
        <v>250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251</v>
      </c>
    </row>
    <row r="3" spans="1:17" ht="31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22</v>
      </c>
      <c r="E4" s="22">
        <v>28</v>
      </c>
      <c r="F4" s="22">
        <v>30</v>
      </c>
      <c r="G4" s="22">
        <v>20</v>
      </c>
      <c r="H4" s="22">
        <v>30</v>
      </c>
      <c r="I4" s="22">
        <v>32</v>
      </c>
      <c r="J4" s="22">
        <v>14</v>
      </c>
      <c r="K4" s="22">
        <v>118</v>
      </c>
      <c r="L4" s="22">
        <v>58</v>
      </c>
      <c r="M4" s="93">
        <f>K4+L4</f>
        <v>176</v>
      </c>
      <c r="N4" s="104"/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3</v>
      </c>
      <c r="H5" s="22"/>
      <c r="I5" s="22">
        <v>6</v>
      </c>
      <c r="J5" s="22">
        <v>1</v>
      </c>
      <c r="K5" s="22">
        <v>10</v>
      </c>
      <c r="L5" s="22">
        <v>2</v>
      </c>
      <c r="M5" s="93">
        <f t="shared" ref="M5:M7" si="0">K5+L5</f>
        <v>12</v>
      </c>
      <c r="N5" s="104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3</v>
      </c>
      <c r="F6" s="22">
        <v>4</v>
      </c>
      <c r="G6" s="22"/>
      <c r="H6" s="22">
        <v>3</v>
      </c>
      <c r="I6" s="22">
        <v>2</v>
      </c>
      <c r="J6" s="22">
        <v>3</v>
      </c>
      <c r="K6" s="22">
        <v>15</v>
      </c>
      <c r="L6" s="22">
        <v>0</v>
      </c>
      <c r="M6" s="93">
        <f t="shared" si="0"/>
        <v>15</v>
      </c>
      <c r="N6" s="104"/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8</v>
      </c>
      <c r="E7" s="22">
        <v>12</v>
      </c>
      <c r="F7" s="22">
        <v>15</v>
      </c>
      <c r="G7" s="22">
        <v>15</v>
      </c>
      <c r="H7" s="22">
        <v>5</v>
      </c>
      <c r="I7" s="22">
        <v>15</v>
      </c>
      <c r="J7" s="22">
        <v>12</v>
      </c>
      <c r="K7" s="22">
        <v>62</v>
      </c>
      <c r="L7" s="22">
        <v>20</v>
      </c>
      <c r="M7" s="93">
        <f t="shared" si="0"/>
        <v>82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77</v>
      </c>
      <c r="L9" s="22">
        <v>24</v>
      </c>
      <c r="M9" s="93">
        <f t="shared" ref="M9:M12" si="2">K9+L9</f>
        <v>101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17</v>
      </c>
      <c r="L10" s="22">
        <v>11</v>
      </c>
      <c r="M10" s="93">
        <f t="shared" si="2"/>
        <v>28</v>
      </c>
      <c r="N10" s="82"/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30</v>
      </c>
      <c r="L11" s="22">
        <v>3</v>
      </c>
      <c r="M11" s="93">
        <f t="shared" si="2"/>
        <v>33</v>
      </c>
      <c r="N11" s="82"/>
      <c r="O11" s="66"/>
      <c r="P11" s="66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19</v>
      </c>
      <c r="L12" s="22">
        <v>0</v>
      </c>
      <c r="M12" s="93">
        <f t="shared" si="2"/>
        <v>19</v>
      </c>
      <c r="N12" s="82"/>
      <c r="O12" s="82" t="s">
        <v>13</v>
      </c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20</v>
      </c>
      <c r="E14" s="22">
        <v>25</v>
      </c>
      <c r="F14" s="22">
        <v>30</v>
      </c>
      <c r="G14" s="22">
        <v>20</v>
      </c>
      <c r="H14" s="22">
        <v>25</v>
      </c>
      <c r="I14" s="22">
        <v>25</v>
      </c>
      <c r="J14" s="22">
        <v>20</v>
      </c>
      <c r="K14" s="22">
        <v>95</v>
      </c>
      <c r="L14" s="22">
        <v>70</v>
      </c>
      <c r="M14" s="93">
        <f t="shared" ref="M14:M17" si="3">K14+L14</f>
        <v>165</v>
      </c>
      <c r="N14" s="103"/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>
        <v>5</v>
      </c>
      <c r="E15" s="22">
        <v>3</v>
      </c>
      <c r="F15" s="22"/>
      <c r="G15" s="22"/>
      <c r="H15" s="22">
        <v>3</v>
      </c>
      <c r="I15" s="22"/>
      <c r="J15" s="22"/>
      <c r="K15" s="22">
        <v>11</v>
      </c>
      <c r="L15" s="22">
        <v>0</v>
      </c>
      <c r="M15" s="93">
        <f t="shared" si="3"/>
        <v>11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5</v>
      </c>
      <c r="E16" s="22">
        <v>4</v>
      </c>
      <c r="F16" s="22">
        <v>6</v>
      </c>
      <c r="G16" s="22"/>
      <c r="H16" s="22"/>
      <c r="I16" s="22">
        <v>5</v>
      </c>
      <c r="J16" s="22">
        <v>5</v>
      </c>
      <c r="K16" s="22">
        <v>25</v>
      </c>
      <c r="L16" s="22">
        <v>0</v>
      </c>
      <c r="M16" s="93">
        <f t="shared" si="3"/>
        <v>25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/>
      <c r="F17" s="22"/>
      <c r="G17" s="22"/>
      <c r="H17" s="22">
        <v>5</v>
      </c>
      <c r="I17" s="22"/>
      <c r="J17" s="22">
        <v>5</v>
      </c>
      <c r="K17" s="22">
        <v>10</v>
      </c>
      <c r="L17" s="22">
        <v>4</v>
      </c>
      <c r="M17" s="93">
        <f t="shared" si="3"/>
        <v>14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442</v>
      </c>
      <c r="O18" s="252" t="s">
        <v>71</v>
      </c>
      <c r="P18" s="253"/>
      <c r="Q18" s="65" t="s">
        <v>70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51</v>
      </c>
      <c r="O19" s="69">
        <v>966.47</v>
      </c>
      <c r="P19" s="46" t="s">
        <v>77</v>
      </c>
      <c r="Q19" s="65">
        <v>16558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73</v>
      </c>
      <c r="O20" s="77" t="s">
        <v>65</v>
      </c>
      <c r="P20" s="75">
        <v>80</v>
      </c>
      <c r="Q20" s="65">
        <v>5680</v>
      </c>
    </row>
    <row r="21" spans="1:20" ht="25.5" customHeight="1" x14ac:dyDescent="0.25">
      <c r="A21" s="16" t="s">
        <v>46</v>
      </c>
      <c r="B21" s="66">
        <v>206.26041666666666</v>
      </c>
      <c r="C21" s="66">
        <v>206.54166666666666</v>
      </c>
      <c r="D21" s="66">
        <f t="shared" ref="D21:D23" si="4">C21-B21</f>
        <v>0.28125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0.86458333333334281</v>
      </c>
      <c r="M21" s="155" t="s">
        <v>47</v>
      </c>
      <c r="N21" s="65">
        <f>M17+M12+M7</f>
        <v>115</v>
      </c>
      <c r="O21" s="78" t="s">
        <v>69</v>
      </c>
      <c r="P21" s="75">
        <v>279</v>
      </c>
      <c r="Q21" s="65">
        <v>7111</v>
      </c>
    </row>
    <row r="22" spans="1:20" ht="27" customHeight="1" x14ac:dyDescent="0.25">
      <c r="A22" s="16" t="s">
        <v>48</v>
      </c>
      <c r="B22" s="66">
        <v>206.26041666666666</v>
      </c>
      <c r="C22" s="66">
        <v>206.41666666666666</v>
      </c>
      <c r="D22" s="66">
        <f t="shared" si="4"/>
        <v>0.15625</v>
      </c>
      <c r="E22" s="66">
        <v>206.625</v>
      </c>
      <c r="F22" s="66">
        <v>206.875</v>
      </c>
      <c r="G22" s="66">
        <f t="shared" ref="G22:G23" si="5">F22-E22</f>
        <v>0.25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0.69444444444445708</v>
      </c>
      <c r="M22" s="49" t="s">
        <v>49</v>
      </c>
      <c r="N22" s="65">
        <v>28259</v>
      </c>
      <c r="O22" s="80" t="s">
        <v>66</v>
      </c>
      <c r="P22" s="75">
        <v>164</v>
      </c>
      <c r="Q22" s="65">
        <v>4151.8</v>
      </c>
    </row>
    <row r="23" spans="1:20" ht="27" customHeight="1" x14ac:dyDescent="0.25">
      <c r="A23" s="158" t="s">
        <v>50</v>
      </c>
      <c r="B23" s="66">
        <v>206.35763888888889</v>
      </c>
      <c r="C23" s="66">
        <v>206.54166666666666</v>
      </c>
      <c r="D23" s="66">
        <f t="shared" si="4"/>
        <v>0.18402777777777146</v>
      </c>
      <c r="E23" s="66">
        <v>206.70833333333334</v>
      </c>
      <c r="F23" s="66">
        <v>206.875</v>
      </c>
      <c r="G23" s="66">
        <f t="shared" si="5"/>
        <v>0.16666666666665719</v>
      </c>
      <c r="H23" s="66">
        <v>206.92708333333334</v>
      </c>
      <c r="I23" s="66">
        <v>207.20833333333334</v>
      </c>
      <c r="J23" s="71">
        <f>I23-H23-K23</f>
        <v>0.28125</v>
      </c>
      <c r="K23" s="156"/>
      <c r="L23" s="157">
        <f>D23+G23+J23</f>
        <v>0.63194444444442865</v>
      </c>
      <c r="M23" s="155" t="s">
        <v>64</v>
      </c>
      <c r="N23" s="85">
        <v>7</v>
      </c>
      <c r="O23" s="86" t="s">
        <v>67</v>
      </c>
      <c r="P23" s="76">
        <v>256</v>
      </c>
      <c r="Q23" s="65">
        <v>7641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0.62152777777777146</v>
      </c>
      <c r="E24" s="68"/>
      <c r="F24" s="68"/>
      <c r="G24" s="66">
        <f>SUM(G21:G23)</f>
        <v>0.70833333333331439</v>
      </c>
      <c r="H24" s="68"/>
      <c r="I24" s="68"/>
      <c r="J24" s="71">
        <f>SUM(J21:J23)</f>
        <v>0.86111111111114269</v>
      </c>
      <c r="K24" s="75"/>
      <c r="L24" s="83">
        <f>SUM(L21:L23)</f>
        <v>2.1909722222222285</v>
      </c>
      <c r="M24" s="65" t="s">
        <v>79</v>
      </c>
      <c r="N24" s="65">
        <v>26474.54</v>
      </c>
      <c r="P24" s="79" t="s">
        <v>68</v>
      </c>
      <c r="Q24" s="43">
        <v>45193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N24+Sheet18!O25</f>
        <v>508127.00499999995</v>
      </c>
      <c r="P25" s="155" t="s">
        <v>78</v>
      </c>
      <c r="Q25" s="87">
        <v>50874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Q24+Sheet18!Q26</f>
        <v>844179.99000000011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52.35</v>
      </c>
      <c r="M27" s="55"/>
      <c r="N27" s="88">
        <f>N22/L27</f>
        <v>539.80897803247376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9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191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26</v>
      </c>
      <c r="F4" s="22">
        <v>23</v>
      </c>
      <c r="G4" s="22">
        <v>26</v>
      </c>
      <c r="H4" s="22">
        <v>17</v>
      </c>
      <c r="I4" s="22">
        <v>18</v>
      </c>
      <c r="J4" s="22">
        <v>20</v>
      </c>
      <c r="K4" s="22">
        <v>96</v>
      </c>
      <c r="L4" s="22">
        <v>60</v>
      </c>
      <c r="M4" s="93">
        <f>K4+L4</f>
        <v>156</v>
      </c>
      <c r="N4" s="104" t="s">
        <v>13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2</v>
      </c>
      <c r="J5" s="22">
        <v>1</v>
      </c>
      <c r="K5" s="22">
        <v>0</v>
      </c>
      <c r="L5" s="22">
        <v>6</v>
      </c>
      <c r="M5" s="93">
        <f t="shared" ref="M5:M7" si="0">K5+L5</f>
        <v>6</v>
      </c>
      <c r="N5" s="104" t="s">
        <v>13</v>
      </c>
      <c r="O5" s="66">
        <v>10.4375</v>
      </c>
      <c r="P5" s="66">
        <v>13.5625</v>
      </c>
      <c r="Q5" s="66" t="s">
        <v>189</v>
      </c>
    </row>
    <row r="6" spans="1:17" ht="15.75" customHeight="1" x14ac:dyDescent="0.25">
      <c r="A6" s="23" t="s">
        <v>17</v>
      </c>
      <c r="B6" s="21" t="s">
        <v>18</v>
      </c>
      <c r="C6" s="22"/>
      <c r="D6" s="22" t="s">
        <v>13</v>
      </c>
      <c r="E6" s="22">
        <v>7</v>
      </c>
      <c r="F6" s="22">
        <v>9</v>
      </c>
      <c r="G6" s="22">
        <v>3</v>
      </c>
      <c r="H6" s="22"/>
      <c r="I6" s="22">
        <v>1</v>
      </c>
      <c r="J6" s="22" t="s">
        <v>13</v>
      </c>
      <c r="K6" s="22">
        <v>0</v>
      </c>
      <c r="L6" s="22">
        <v>20</v>
      </c>
      <c r="M6" s="93">
        <f t="shared" si="0"/>
        <v>20</v>
      </c>
      <c r="N6" s="104" t="s">
        <v>13</v>
      </c>
      <c r="O6" s="96"/>
      <c r="P6" s="65"/>
      <c r="Q6" s="256" t="s">
        <v>190</v>
      </c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5</v>
      </c>
      <c r="F7" s="22">
        <v>2</v>
      </c>
      <c r="G7" s="22">
        <v>6</v>
      </c>
      <c r="H7" s="22">
        <v>7</v>
      </c>
      <c r="I7" s="22">
        <v>5</v>
      </c>
      <c r="J7" s="22">
        <v>5</v>
      </c>
      <c r="K7" s="22">
        <v>23</v>
      </c>
      <c r="L7" s="22">
        <v>10</v>
      </c>
      <c r="M7" s="93">
        <f t="shared" si="0"/>
        <v>33</v>
      </c>
      <c r="N7" s="104"/>
      <c r="O7" s="97"/>
      <c r="P7" s="65"/>
      <c r="Q7" s="257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3.5" customHeight="1" x14ac:dyDescent="0.25">
      <c r="A9" s="33"/>
      <c r="B9" s="34" t="s">
        <v>14</v>
      </c>
      <c r="C9" s="22"/>
      <c r="D9" s="22">
        <v>12</v>
      </c>
      <c r="E9" s="22">
        <v>11</v>
      </c>
      <c r="F9" s="22">
        <v>13</v>
      </c>
      <c r="G9" s="22">
        <v>11</v>
      </c>
      <c r="H9" s="22">
        <v>20</v>
      </c>
      <c r="I9" s="22">
        <v>23</v>
      </c>
      <c r="J9" s="22">
        <v>20</v>
      </c>
      <c r="K9" s="22">
        <v>75</v>
      </c>
      <c r="L9" s="22">
        <v>35</v>
      </c>
      <c r="M9" s="93">
        <f t="shared" ref="M9:M12" si="1">K9+L9</f>
        <v>110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7</v>
      </c>
      <c r="F10" s="22">
        <v>4</v>
      </c>
      <c r="G10" s="22">
        <v>6</v>
      </c>
      <c r="H10" s="22">
        <v>4</v>
      </c>
      <c r="I10" s="22">
        <v>5</v>
      </c>
      <c r="J10" s="22"/>
      <c r="K10" s="22">
        <v>27</v>
      </c>
      <c r="L10" s="22">
        <v>11</v>
      </c>
      <c r="M10" s="93">
        <f t="shared" si="1"/>
        <v>38</v>
      </c>
      <c r="N10" s="82"/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7</v>
      </c>
      <c r="F11" s="22">
        <v>8</v>
      </c>
      <c r="G11" s="22">
        <v>5</v>
      </c>
      <c r="H11" s="22">
        <v>14</v>
      </c>
      <c r="I11" s="22">
        <v>6</v>
      </c>
      <c r="J11" s="22">
        <v>4</v>
      </c>
      <c r="K11" s="22">
        <v>45</v>
      </c>
      <c r="L11" s="22">
        <v>5</v>
      </c>
      <c r="M11" s="93">
        <f t="shared" si="1"/>
        <v>50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5</v>
      </c>
      <c r="F12" s="22">
        <v>4</v>
      </c>
      <c r="G12" s="22">
        <v>4</v>
      </c>
      <c r="H12" s="22">
        <v>3</v>
      </c>
      <c r="I12" s="22">
        <v>5</v>
      </c>
      <c r="J12" s="22">
        <v>2</v>
      </c>
      <c r="K12" s="22">
        <v>12</v>
      </c>
      <c r="L12" s="22">
        <v>14</v>
      </c>
      <c r="M12" s="93">
        <f t="shared" si="1"/>
        <v>26</v>
      </c>
      <c r="N12" s="82"/>
      <c r="O12" s="82"/>
      <c r="P12" s="82"/>
      <c r="Q12" s="37"/>
    </row>
    <row r="13" spans="1:17" ht="33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154</v>
      </c>
      <c r="L14" s="22">
        <v>85</v>
      </c>
      <c r="M14" s="93">
        <f t="shared" ref="M14:M17" si="2">K14+L14</f>
        <v>239</v>
      </c>
      <c r="N14" s="103"/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10</v>
      </c>
      <c r="L15" s="22">
        <v>0</v>
      </c>
      <c r="M15" s="93">
        <f t="shared" si="2"/>
        <v>10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33</v>
      </c>
      <c r="L16" s="22">
        <v>0</v>
      </c>
      <c r="M16" s="93">
        <f t="shared" si="2"/>
        <v>33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30</v>
      </c>
      <c r="L17" s="22">
        <v>15</v>
      </c>
      <c r="M17" s="93">
        <f t="shared" si="2"/>
        <v>45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505</v>
      </c>
      <c r="O18" s="252" t="s">
        <v>71</v>
      </c>
      <c r="P18" s="253"/>
      <c r="Q18" s="65" t="s">
        <v>187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54</v>
      </c>
      <c r="O19" s="69">
        <v>1887.29</v>
      </c>
      <c r="P19" s="46" t="s">
        <v>179</v>
      </c>
      <c r="Q19" s="65" t="s">
        <v>188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103</v>
      </c>
      <c r="O20" s="77" t="s">
        <v>65</v>
      </c>
      <c r="P20" s="75">
        <v>80</v>
      </c>
      <c r="Q20" s="65">
        <v>5579.9</v>
      </c>
    </row>
    <row r="21" spans="1:20" ht="25.5" customHeight="1" x14ac:dyDescent="0.25">
      <c r="A21" s="16" t="s">
        <v>46</v>
      </c>
      <c r="B21" s="66">
        <v>206.24652777777777</v>
      </c>
      <c r="C21" s="66">
        <v>206.35069444444446</v>
      </c>
      <c r="D21" s="66">
        <f t="shared" ref="D21:D23" si="3">C21-B21</f>
        <v>0.10416666666668561</v>
      </c>
      <c r="E21" s="66">
        <v>206.61458333333334</v>
      </c>
      <c r="F21" s="66">
        <v>206.875</v>
      </c>
      <c r="G21" s="66">
        <f>F21-E21</f>
        <v>0.26041666666665719</v>
      </c>
      <c r="H21" s="66">
        <v>206.9375</v>
      </c>
      <c r="I21" s="66">
        <v>207.20833333333334</v>
      </c>
      <c r="J21" s="71">
        <f>I21-H21-K21</f>
        <v>0.27083333333334281</v>
      </c>
      <c r="K21" s="66"/>
      <c r="L21" s="73">
        <f>D21+G21+J21</f>
        <v>0.63541666666668561</v>
      </c>
      <c r="M21" s="155" t="s">
        <v>47</v>
      </c>
      <c r="N21" s="65">
        <f>M17+M12+M7</f>
        <v>104</v>
      </c>
      <c r="O21" s="78" t="s">
        <v>69</v>
      </c>
      <c r="P21" s="75">
        <v>232</v>
      </c>
      <c r="Q21" s="65">
        <v>5821.48</v>
      </c>
    </row>
    <row r="22" spans="1:20" ht="27" customHeight="1" x14ac:dyDescent="0.25">
      <c r="A22" s="16" t="s">
        <v>48</v>
      </c>
      <c r="B22" s="66">
        <v>206.30555555555554</v>
      </c>
      <c r="C22" s="66">
        <v>206.46527777777777</v>
      </c>
      <c r="D22" s="66">
        <f t="shared" ref="D22" si="4">C22-B22</f>
        <v>0.15972222222222854</v>
      </c>
      <c r="E22" s="66">
        <v>206.60763888888889</v>
      </c>
      <c r="F22" s="66">
        <v>206.875</v>
      </c>
      <c r="G22" s="66">
        <f>F22-E22</f>
        <v>0.26736111111111427</v>
      </c>
      <c r="H22" s="66">
        <v>206.93402777777777</v>
      </c>
      <c r="I22" s="66">
        <v>207.20833333333334</v>
      </c>
      <c r="J22" s="71">
        <f>I22-H22-K22</f>
        <v>0.27430555555557135</v>
      </c>
      <c r="K22" s="75"/>
      <c r="L22" s="73">
        <f>D22+G22+J22</f>
        <v>0.70138888888891415</v>
      </c>
      <c r="M22" s="49" t="s">
        <v>49</v>
      </c>
      <c r="N22" s="65">
        <v>31137.29</v>
      </c>
      <c r="O22" s="80" t="s">
        <v>66</v>
      </c>
      <c r="P22" s="75">
        <v>152</v>
      </c>
      <c r="Q22" s="65">
        <v>3742.75</v>
      </c>
    </row>
    <row r="23" spans="1:20" ht="27" customHeight="1" x14ac:dyDescent="0.25">
      <c r="A23" s="158" t="s">
        <v>50</v>
      </c>
      <c r="B23" s="66">
        <v>206.25</v>
      </c>
      <c r="C23" s="66">
        <v>206.54166666666666</v>
      </c>
      <c r="D23" s="66">
        <f t="shared" si="3"/>
        <v>0.29166666666665719</v>
      </c>
      <c r="E23" s="66">
        <v>206.64583333333334</v>
      </c>
      <c r="F23" s="66">
        <v>206.875</v>
      </c>
      <c r="G23" s="66">
        <f t="shared" ref="G23" si="5">F23-E23</f>
        <v>0.22916666666665719</v>
      </c>
      <c r="H23" s="66">
        <v>206.97916666666666</v>
      </c>
      <c r="I23" s="66">
        <v>207.20833333333334</v>
      </c>
      <c r="J23" s="71">
        <f>I23-H23-K23</f>
        <v>0.22916666666668561</v>
      </c>
      <c r="K23" s="156"/>
      <c r="L23" s="157">
        <f>D23+G23+J23</f>
        <v>0.75</v>
      </c>
      <c r="M23" s="155" t="s">
        <v>64</v>
      </c>
      <c r="N23" s="85">
        <v>7</v>
      </c>
      <c r="O23" s="86" t="s">
        <v>67</v>
      </c>
      <c r="P23" s="76">
        <v>266</v>
      </c>
      <c r="Q23" s="65">
        <v>8119.75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0.55555555555557135</v>
      </c>
      <c r="E24" s="68"/>
      <c r="F24" s="68"/>
      <c r="G24" s="66">
        <f>SUM(G21:G23)</f>
        <v>0.75694444444442865</v>
      </c>
      <c r="H24" s="68"/>
      <c r="I24" s="68"/>
      <c r="J24" s="71">
        <f>SUM(J21:J23)</f>
        <v>0.77430555555559977</v>
      </c>
      <c r="K24" s="75"/>
      <c r="L24" s="83">
        <f>SUM(L21:L23)</f>
        <v>2.0868055555555998</v>
      </c>
      <c r="M24" s="65" t="s">
        <v>79</v>
      </c>
      <c r="N24" s="65">
        <v>26318.65</v>
      </c>
      <c r="P24" s="79" t="s">
        <v>68</v>
      </c>
      <c r="Q24" s="43">
        <v>45179.72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 +Sheet1!N24</f>
        <v>52998.28</v>
      </c>
      <c r="P25" s="155" t="s">
        <v>78</v>
      </c>
      <c r="Q25" s="87">
        <v>50759.62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 +Sheet1!Q25</f>
        <v>95265.77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50.05</v>
      </c>
      <c r="M27" s="55"/>
      <c r="N27" s="88">
        <f>N22/L27</f>
        <v>622.12367632367636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4" workbookViewId="0">
      <selection activeCell="K24" sqref="K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5" width="10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252</v>
      </c>
    </row>
    <row r="3" spans="1:17" ht="27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25</v>
      </c>
      <c r="F4" s="22">
        <v>18</v>
      </c>
      <c r="G4" s="22">
        <v>12</v>
      </c>
      <c r="H4" s="22">
        <v>15</v>
      </c>
      <c r="I4" s="22">
        <v>10</v>
      </c>
      <c r="J4" s="22">
        <v>19</v>
      </c>
      <c r="K4" s="22">
        <v>75</v>
      </c>
      <c r="L4" s="22">
        <v>44</v>
      </c>
      <c r="M4" s="93">
        <f>K4+L4</f>
        <v>119</v>
      </c>
      <c r="N4" s="104"/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2</v>
      </c>
      <c r="H5" s="22"/>
      <c r="I5" s="22"/>
      <c r="J5" s="22">
        <v>3</v>
      </c>
      <c r="K5" s="22">
        <v>6</v>
      </c>
      <c r="L5" s="22">
        <v>1</v>
      </c>
      <c r="M5" s="93">
        <f t="shared" ref="M5:M7" si="0">K5+L5</f>
        <v>7</v>
      </c>
      <c r="N5" s="104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185"/>
      <c r="E6" s="77"/>
      <c r="F6" s="77"/>
      <c r="G6" s="186"/>
      <c r="H6" s="185"/>
      <c r="I6" s="185">
        <v>3</v>
      </c>
      <c r="J6" s="185">
        <v>2</v>
      </c>
      <c r="K6" s="22">
        <v>5</v>
      </c>
      <c r="L6" s="22">
        <v>0</v>
      </c>
      <c r="M6" s="93">
        <f t="shared" si="0"/>
        <v>5</v>
      </c>
      <c r="N6" s="104"/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12</v>
      </c>
      <c r="E7" s="22">
        <v>18</v>
      </c>
      <c r="F7" s="22">
        <v>5</v>
      </c>
      <c r="G7" s="22"/>
      <c r="H7" s="22">
        <v>10</v>
      </c>
      <c r="I7" s="22">
        <v>10</v>
      </c>
      <c r="J7" s="22">
        <v>2</v>
      </c>
      <c r="K7" s="22">
        <v>55</v>
      </c>
      <c r="L7" s="22">
        <v>2</v>
      </c>
      <c r="M7" s="93">
        <f t="shared" si="0"/>
        <v>57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3.5" customHeight="1" x14ac:dyDescent="0.25">
      <c r="A9" s="33"/>
      <c r="B9" s="34" t="s">
        <v>14</v>
      </c>
      <c r="C9" s="22"/>
      <c r="D9" s="22">
        <v>20</v>
      </c>
      <c r="E9" s="22">
        <v>18</v>
      </c>
      <c r="F9" s="22">
        <v>9</v>
      </c>
      <c r="G9" s="22">
        <v>11</v>
      </c>
      <c r="H9" s="22">
        <v>12</v>
      </c>
      <c r="I9" s="22">
        <v>11</v>
      </c>
      <c r="J9" s="22">
        <v>10</v>
      </c>
      <c r="K9" s="22">
        <v>66</v>
      </c>
      <c r="L9" s="22">
        <v>25</v>
      </c>
      <c r="M9" s="93">
        <f t="shared" ref="M9:M12" si="2">K9+L9</f>
        <v>91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5</v>
      </c>
      <c r="F10" s="22">
        <v>6</v>
      </c>
      <c r="G10" s="22">
        <v>5</v>
      </c>
      <c r="H10" s="22">
        <v>4</v>
      </c>
      <c r="I10" s="22">
        <v>6</v>
      </c>
      <c r="J10" s="22">
        <v>4</v>
      </c>
      <c r="K10" s="22">
        <v>13</v>
      </c>
      <c r="L10" s="22">
        <v>21</v>
      </c>
      <c r="M10" s="93">
        <f t="shared" si="2"/>
        <v>34</v>
      </c>
      <c r="N10" s="82"/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7</v>
      </c>
      <c r="F11" s="22">
        <v>8</v>
      </c>
      <c r="G11" s="22">
        <v>6</v>
      </c>
      <c r="H11" s="22">
        <v>7</v>
      </c>
      <c r="I11" s="22">
        <v>6</v>
      </c>
      <c r="J11" s="22">
        <v>8</v>
      </c>
      <c r="K11" s="22">
        <v>45</v>
      </c>
      <c r="L11" s="22">
        <v>0</v>
      </c>
      <c r="M11" s="93">
        <f t="shared" si="2"/>
        <v>45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3">
        <f t="shared" si="2"/>
        <v>0</v>
      </c>
      <c r="N12" s="82"/>
      <c r="O12" s="82"/>
      <c r="P12" s="82"/>
      <c r="Q12" s="37"/>
    </row>
    <row r="13" spans="1:17" ht="28.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25</v>
      </c>
      <c r="E14" s="22">
        <v>24</v>
      </c>
      <c r="F14" s="22">
        <v>30</v>
      </c>
      <c r="G14" s="22">
        <v>20</v>
      </c>
      <c r="H14" s="22">
        <v>26</v>
      </c>
      <c r="I14" s="22">
        <v>26</v>
      </c>
      <c r="J14" s="22">
        <v>20</v>
      </c>
      <c r="K14" s="22">
        <v>84</v>
      </c>
      <c r="L14" s="22">
        <v>85</v>
      </c>
      <c r="M14" s="93">
        <f t="shared" ref="M14:M17" si="3">K14+L14</f>
        <v>169</v>
      </c>
      <c r="N14" s="103"/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>
        <v>2</v>
      </c>
      <c r="E15" s="22">
        <v>4</v>
      </c>
      <c r="F15" s="22">
        <v>0</v>
      </c>
      <c r="G15" s="22">
        <v>5</v>
      </c>
      <c r="H15" s="22">
        <v>1</v>
      </c>
      <c r="I15" s="22"/>
      <c r="J15" s="22"/>
      <c r="K15" s="22">
        <v>12</v>
      </c>
      <c r="L15" s="22">
        <v>0</v>
      </c>
      <c r="M15" s="93">
        <f t="shared" si="3"/>
        <v>12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4</v>
      </c>
      <c r="E16" s="22">
        <v>3</v>
      </c>
      <c r="F16" s="22">
        <v>2</v>
      </c>
      <c r="G16" s="22">
        <v>4</v>
      </c>
      <c r="H16" s="22"/>
      <c r="I16" s="22"/>
      <c r="J16" s="22"/>
      <c r="K16" s="22">
        <v>13</v>
      </c>
      <c r="L16" s="22">
        <v>0</v>
      </c>
      <c r="M16" s="93">
        <f t="shared" si="3"/>
        <v>13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/>
      <c r="F17" s="22">
        <v>5</v>
      </c>
      <c r="G17" s="22">
        <v>4</v>
      </c>
      <c r="H17" s="22"/>
      <c r="I17" s="22">
        <v>3</v>
      </c>
      <c r="J17" s="22"/>
      <c r="K17" s="22">
        <v>11</v>
      </c>
      <c r="L17" s="22">
        <v>4</v>
      </c>
      <c r="M17" s="93">
        <f t="shared" si="3"/>
        <v>15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379</v>
      </c>
      <c r="O18" s="252" t="s">
        <v>71</v>
      </c>
      <c r="P18" s="253"/>
      <c r="Q18" s="65" t="s">
        <v>254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53</v>
      </c>
      <c r="O19" s="69"/>
      <c r="P19" s="46" t="s">
        <v>253</v>
      </c>
      <c r="Q19" s="65">
        <v>20186.3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63</v>
      </c>
      <c r="O20" s="77" t="s">
        <v>65</v>
      </c>
      <c r="P20" s="75">
        <v>100</v>
      </c>
      <c r="Q20" s="65">
        <v>6960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4">C21-B21</f>
        <v>0.29166666666665719</v>
      </c>
      <c r="E21" s="66">
        <v>206.60416666666666</v>
      </c>
      <c r="F21" s="66">
        <v>206.875</v>
      </c>
      <c r="G21" s="66">
        <f>F21-E21</f>
        <v>0.27083333333334281</v>
      </c>
      <c r="H21" s="66">
        <v>206.9375</v>
      </c>
      <c r="I21" s="66">
        <v>207.20833333333334</v>
      </c>
      <c r="J21" s="71">
        <f>I21-H21-K21</f>
        <v>0.27083333333334281</v>
      </c>
      <c r="K21" s="66"/>
      <c r="L21" s="73">
        <f>D21+G21+J21</f>
        <v>0.83333333333334281</v>
      </c>
      <c r="M21" s="155" t="s">
        <v>47</v>
      </c>
      <c r="N21" s="65">
        <f>M17+M12+M7</f>
        <v>72</v>
      </c>
      <c r="O21" s="78" t="s">
        <v>69</v>
      </c>
      <c r="P21" s="75">
        <v>331</v>
      </c>
      <c r="Q21" s="65">
        <v>8128.74</v>
      </c>
    </row>
    <row r="22" spans="1:20" ht="27" customHeight="1" x14ac:dyDescent="0.25">
      <c r="A22" s="16" t="s">
        <v>48</v>
      </c>
      <c r="B22" s="66"/>
      <c r="C22" s="66"/>
      <c r="D22" s="66"/>
      <c r="E22" s="66">
        <v>206.58333333333334</v>
      </c>
      <c r="F22" s="66">
        <v>206.875</v>
      </c>
      <c r="G22" s="66">
        <f t="shared" ref="G22" si="5">F22-E22</f>
        <v>0.29166666666665719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0.57986111111111427</v>
      </c>
      <c r="M22" s="49" t="s">
        <v>49</v>
      </c>
      <c r="N22" s="65">
        <v>22100</v>
      </c>
      <c r="O22" s="80" t="s">
        <v>66</v>
      </c>
      <c r="P22" s="75">
        <v>185</v>
      </c>
      <c r="Q22" s="65">
        <v>4575.2299999999996</v>
      </c>
    </row>
    <row r="23" spans="1:20" ht="27" customHeight="1" x14ac:dyDescent="0.25">
      <c r="A23" s="158" t="s">
        <v>50</v>
      </c>
      <c r="B23" s="66">
        <v>206.34722222222223</v>
      </c>
      <c r="C23" s="66">
        <v>206.54166666666666</v>
      </c>
      <c r="D23" s="66">
        <f t="shared" si="4"/>
        <v>0.19444444444442865</v>
      </c>
      <c r="E23" s="66">
        <v>206.60763888888889</v>
      </c>
      <c r="F23" s="66">
        <v>206.875</v>
      </c>
      <c r="G23" s="66">
        <f t="shared" ref="G23" si="6">F23-E23</f>
        <v>0.26736111111111427</v>
      </c>
      <c r="H23" s="66">
        <v>206.92708333333334</v>
      </c>
      <c r="I23" s="66">
        <v>207.20833333333334</v>
      </c>
      <c r="J23" s="71">
        <f>I23-H23-K23</f>
        <v>0.28125</v>
      </c>
      <c r="K23" s="156"/>
      <c r="L23" s="157">
        <f>D23+G23+J23</f>
        <v>0.74305555555554292</v>
      </c>
      <c r="M23" s="155" t="s">
        <v>64</v>
      </c>
      <c r="N23" s="85">
        <v>7</v>
      </c>
      <c r="O23" s="86" t="s">
        <v>67</v>
      </c>
      <c r="P23" s="76">
        <v>244</v>
      </c>
      <c r="Q23" s="65">
        <v>7881.33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0.48611111111108585</v>
      </c>
      <c r="E24" s="68"/>
      <c r="F24" s="68"/>
      <c r="G24" s="66">
        <f>SUM(G21:G23)</f>
        <v>0.82986111111111427</v>
      </c>
      <c r="H24" s="68"/>
      <c r="I24" s="68"/>
      <c r="J24" s="71">
        <f>SUM(J21:J23)</f>
        <v>0.84027777777779988</v>
      </c>
      <c r="K24" s="75"/>
      <c r="L24" s="83">
        <f>SUM(L21:L23)</f>
        <v>2.15625</v>
      </c>
      <c r="M24" s="65" t="s">
        <v>79</v>
      </c>
      <c r="N24" s="65">
        <v>27317.17</v>
      </c>
      <c r="P24" s="79" t="s">
        <v>68</v>
      </c>
      <c r="Q24" s="43">
        <v>46924.76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N24+Sheet19!O25</f>
        <v>535444.17499999993</v>
      </c>
      <c r="P25" s="155" t="s">
        <v>78</v>
      </c>
      <c r="Q25" s="87">
        <v>53884.76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Q24+Sheet19!Q26</f>
        <v>891104.75000000012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51.45</v>
      </c>
      <c r="M27" s="55"/>
      <c r="N27" s="88">
        <f>N22/L27</f>
        <v>429.54324586977646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4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8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7.28515625" style="1" customWidth="1"/>
    <col min="17" max="17" width="20.85546875" style="1" customWidth="1"/>
    <col min="18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261</v>
      </c>
    </row>
    <row r="3" spans="1:18" ht="29.2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8" ht="15" customHeight="1" x14ac:dyDescent="0.25">
      <c r="A4" s="20"/>
      <c r="B4" s="21" t="s">
        <v>14</v>
      </c>
      <c r="C4" s="22"/>
      <c r="D4" s="22">
        <v>22</v>
      </c>
      <c r="E4" s="22">
        <v>28</v>
      </c>
      <c r="F4" s="22">
        <v>33</v>
      </c>
      <c r="G4" s="22">
        <v>25</v>
      </c>
      <c r="H4" s="22">
        <v>14</v>
      </c>
      <c r="I4" s="22">
        <v>13</v>
      </c>
      <c r="J4" s="22">
        <v>27</v>
      </c>
      <c r="K4" s="22">
        <v>138</v>
      </c>
      <c r="L4" s="22">
        <v>45</v>
      </c>
      <c r="M4" s="93">
        <f>K4+L4</f>
        <v>183</v>
      </c>
      <c r="N4" s="104" t="s">
        <v>170</v>
      </c>
      <c r="O4" s="95" t="s">
        <v>92</v>
      </c>
      <c r="P4" s="105" t="s">
        <v>93</v>
      </c>
      <c r="Q4" s="65"/>
    </row>
    <row r="5" spans="1:18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3">
        <f t="shared" ref="M5:M6" si="0">K5+L5</f>
        <v>0</v>
      </c>
      <c r="N5" s="104" t="s">
        <v>170</v>
      </c>
      <c r="O5" s="66" t="s">
        <v>13</v>
      </c>
      <c r="P5" s="66" t="s">
        <v>13</v>
      </c>
      <c r="Q5" s="65"/>
    </row>
    <row r="6" spans="1:18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3</v>
      </c>
      <c r="F6" s="22">
        <v>4</v>
      </c>
      <c r="G6" s="22">
        <v>1</v>
      </c>
      <c r="H6" s="22">
        <v>2</v>
      </c>
      <c r="I6" s="22">
        <v>2</v>
      </c>
      <c r="J6" s="22">
        <v>4</v>
      </c>
      <c r="K6" s="22">
        <v>19</v>
      </c>
      <c r="L6" s="22">
        <v>0</v>
      </c>
      <c r="M6" s="93">
        <f t="shared" si="0"/>
        <v>19</v>
      </c>
      <c r="N6" s="104" t="s">
        <v>57</v>
      </c>
      <c r="O6" s="66" t="s">
        <v>13</v>
      </c>
      <c r="P6" s="66" t="s">
        <v>13</v>
      </c>
      <c r="Q6" s="66" t="s">
        <v>13</v>
      </c>
    </row>
    <row r="7" spans="1:18" ht="15" customHeight="1" x14ac:dyDescent="0.25">
      <c r="A7" s="25"/>
      <c r="B7" s="21" t="s">
        <v>19</v>
      </c>
      <c r="C7" s="22"/>
      <c r="D7" s="22">
        <v>2</v>
      </c>
      <c r="E7" s="22">
        <v>2</v>
      </c>
      <c r="F7" s="22">
        <v>2</v>
      </c>
      <c r="G7" s="22">
        <v>2</v>
      </c>
      <c r="H7" s="22">
        <v>2</v>
      </c>
      <c r="I7" s="22">
        <v>3</v>
      </c>
      <c r="J7" s="22">
        <v>2</v>
      </c>
      <c r="K7" s="22">
        <v>12</v>
      </c>
      <c r="L7" s="22">
        <v>3</v>
      </c>
      <c r="M7" s="93">
        <f t="shared" ref="M7" si="1">K7+L7</f>
        <v>15</v>
      </c>
      <c r="N7" s="104"/>
      <c r="O7" s="66" t="s">
        <v>13</v>
      </c>
      <c r="P7" s="66" t="s">
        <v>13</v>
      </c>
      <c r="Q7" s="66" t="s">
        <v>13</v>
      </c>
    </row>
    <row r="8" spans="1:18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66" t="s">
        <v>13</v>
      </c>
      <c r="P8" s="66" t="s">
        <v>13</v>
      </c>
      <c r="Q8" s="66" t="s">
        <v>13</v>
      </c>
    </row>
    <row r="9" spans="1:18" ht="16.5" customHeight="1" x14ac:dyDescent="0.25">
      <c r="A9" s="33"/>
      <c r="B9" s="34" t="s">
        <v>14</v>
      </c>
      <c r="C9" s="22"/>
      <c r="D9" s="22">
        <v>15</v>
      </c>
      <c r="E9" s="22">
        <v>13</v>
      </c>
      <c r="F9" s="22">
        <v>20</v>
      </c>
      <c r="G9" s="22">
        <v>14</v>
      </c>
      <c r="H9" s="22">
        <v>19</v>
      </c>
      <c r="I9" s="22">
        <v>21</v>
      </c>
      <c r="J9" s="22">
        <v>18</v>
      </c>
      <c r="K9" s="22">
        <v>80</v>
      </c>
      <c r="L9" s="22">
        <v>40</v>
      </c>
      <c r="M9" s="93">
        <f t="shared" ref="M9:M12" si="2">K9+L9</f>
        <v>120</v>
      </c>
      <c r="N9" s="82" t="s">
        <v>57</v>
      </c>
      <c r="O9" s="99"/>
      <c r="P9" s="82"/>
      <c r="Q9" s="36" t="s">
        <v>13</v>
      </c>
    </row>
    <row r="10" spans="1:18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4</v>
      </c>
      <c r="G10" s="22">
        <v>6</v>
      </c>
      <c r="H10" s="22">
        <v>7</v>
      </c>
      <c r="I10" s="22">
        <v>2</v>
      </c>
      <c r="J10" s="22">
        <v>1</v>
      </c>
      <c r="K10" s="22">
        <v>5</v>
      </c>
      <c r="L10" s="22">
        <v>14</v>
      </c>
      <c r="M10" s="93">
        <f t="shared" si="2"/>
        <v>19</v>
      </c>
      <c r="N10" s="82" t="s">
        <v>57</v>
      </c>
      <c r="O10" s="250" t="s">
        <v>176</v>
      </c>
      <c r="P10" s="251"/>
      <c r="Q10" s="43" t="s">
        <v>73</v>
      </c>
    </row>
    <row r="11" spans="1:18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3</v>
      </c>
      <c r="F11" s="22">
        <v>2</v>
      </c>
      <c r="G11" s="22">
        <v>5</v>
      </c>
      <c r="H11" s="22">
        <v>4</v>
      </c>
      <c r="I11" s="22">
        <v>2</v>
      </c>
      <c r="J11" s="22"/>
      <c r="K11" s="22">
        <v>21</v>
      </c>
      <c r="L11" s="22">
        <v>0</v>
      </c>
      <c r="M11" s="93">
        <f t="shared" si="2"/>
        <v>21</v>
      </c>
      <c r="N11" s="82" t="s">
        <v>255</v>
      </c>
      <c r="O11" s="66" t="s">
        <v>13</v>
      </c>
      <c r="P11" s="180" t="s">
        <v>13</v>
      </c>
      <c r="Q11" s="66" t="s">
        <v>256</v>
      </c>
      <c r="R11" s="1" t="s">
        <v>13</v>
      </c>
    </row>
    <row r="12" spans="1:18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3">
        <f t="shared" si="2"/>
        <v>0</v>
      </c>
      <c r="N12" s="82"/>
      <c r="O12" s="82"/>
      <c r="P12" s="82"/>
      <c r="Q12" s="65" t="s">
        <v>257</v>
      </c>
    </row>
    <row r="13" spans="1:18" ht="31.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8" ht="15" x14ac:dyDescent="0.25">
      <c r="A14" s="33"/>
      <c r="B14" s="21" t="s">
        <v>14</v>
      </c>
      <c r="C14" s="22"/>
      <c r="D14" s="22">
        <v>20</v>
      </c>
      <c r="E14" s="22">
        <v>22</v>
      </c>
      <c r="F14" s="22">
        <v>25</v>
      </c>
      <c r="G14" s="22">
        <v>20</v>
      </c>
      <c r="H14" s="22">
        <v>25</v>
      </c>
      <c r="I14" s="22">
        <v>15</v>
      </c>
      <c r="J14" s="22">
        <v>8</v>
      </c>
      <c r="K14" s="22">
        <v>80</v>
      </c>
      <c r="L14" s="22">
        <v>55</v>
      </c>
      <c r="M14" s="93">
        <f t="shared" ref="M14:M17" si="3">K14+L14</f>
        <v>135</v>
      </c>
      <c r="N14" s="103" t="s">
        <v>57</v>
      </c>
      <c r="O14" s="101"/>
      <c r="P14" s="82"/>
      <c r="Q14" s="37"/>
    </row>
    <row r="15" spans="1:18" ht="15.75" customHeight="1" x14ac:dyDescent="0.25">
      <c r="A15" s="106" t="s">
        <v>36</v>
      </c>
      <c r="B15" s="21" t="s">
        <v>16</v>
      </c>
      <c r="C15" s="22"/>
      <c r="D15" s="22">
        <v>4</v>
      </c>
      <c r="E15" s="22">
        <v>6</v>
      </c>
      <c r="F15" s="22">
        <v>8</v>
      </c>
      <c r="G15" s="22">
        <v>7</v>
      </c>
      <c r="H15" s="22">
        <v>5</v>
      </c>
      <c r="I15" s="22">
        <v>3</v>
      </c>
      <c r="J15" s="22"/>
      <c r="K15" s="22">
        <v>33</v>
      </c>
      <c r="L15" s="22">
        <v>0</v>
      </c>
      <c r="M15" s="93">
        <f t="shared" si="3"/>
        <v>33</v>
      </c>
      <c r="N15" s="103" t="s">
        <v>170</v>
      </c>
      <c r="O15" s="102"/>
      <c r="P15" s="82"/>
      <c r="Q15" s="37"/>
    </row>
    <row r="16" spans="1:18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3</v>
      </c>
      <c r="F16" s="22"/>
      <c r="G16" s="22">
        <v>5</v>
      </c>
      <c r="H16" s="22"/>
      <c r="I16" s="22"/>
      <c r="J16" s="22"/>
      <c r="K16" s="22">
        <v>10</v>
      </c>
      <c r="L16" s="22">
        <v>0</v>
      </c>
      <c r="M16" s="93">
        <f t="shared" si="3"/>
        <v>10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/>
      <c r="F17" s="22">
        <v>3</v>
      </c>
      <c r="G17" s="22"/>
      <c r="H17" s="22">
        <v>5</v>
      </c>
      <c r="I17" s="22">
        <v>2</v>
      </c>
      <c r="J17" s="22"/>
      <c r="K17" s="22">
        <v>12</v>
      </c>
      <c r="L17" s="22">
        <v>2</v>
      </c>
      <c r="M17" s="93">
        <f t="shared" si="3"/>
        <v>14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438</v>
      </c>
      <c r="O18" s="252" t="s">
        <v>71</v>
      </c>
      <c r="P18" s="253"/>
      <c r="Q18" s="65" t="s">
        <v>258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52</v>
      </c>
      <c r="O19" s="69">
        <v>1652.97</v>
      </c>
      <c r="P19" s="46" t="s">
        <v>259</v>
      </c>
      <c r="Q19" s="65" t="s">
        <v>260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50</v>
      </c>
      <c r="O20" s="77" t="s">
        <v>65</v>
      </c>
      <c r="P20" s="75">
        <v>35</v>
      </c>
      <c r="Q20" s="65">
        <v>891.55</v>
      </c>
    </row>
    <row r="21" spans="1:20" ht="25.5" customHeight="1" x14ac:dyDescent="0.25">
      <c r="A21" s="16" t="s">
        <v>46</v>
      </c>
      <c r="B21" s="66">
        <v>206.3125</v>
      </c>
      <c r="C21" s="66">
        <v>206.54166666666666</v>
      </c>
      <c r="D21" s="66">
        <f t="shared" ref="D21:D23" si="4">C21-B21</f>
        <v>0.22916666666665719</v>
      </c>
      <c r="E21" s="66">
        <v>206.60416666666666</v>
      </c>
      <c r="F21" s="66">
        <v>206.85416666666666</v>
      </c>
      <c r="G21" s="66">
        <f>F21-E21</f>
        <v>0.25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0.77083333333334281</v>
      </c>
      <c r="M21" s="155" t="s">
        <v>47</v>
      </c>
      <c r="N21" s="65">
        <f>M17+M12+M7</f>
        <v>29</v>
      </c>
      <c r="O21" s="78" t="s">
        <v>69</v>
      </c>
      <c r="P21" s="75">
        <v>323</v>
      </c>
      <c r="Q21" s="65">
        <v>7974.74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4"/>
        <v>0.29166666666665719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206.9375</v>
      </c>
      <c r="I22" s="66">
        <v>207.20833333333334</v>
      </c>
      <c r="J22" s="71">
        <f>I22-H22-K22</f>
        <v>0.27083333333334281</v>
      </c>
      <c r="K22" s="75"/>
      <c r="L22" s="73">
        <f>D22+G22+J22</f>
        <v>0.85416666666665719</v>
      </c>
      <c r="M22" s="49" t="s">
        <v>49</v>
      </c>
      <c r="N22" s="65">
        <v>27612</v>
      </c>
      <c r="O22" s="80" t="s">
        <v>66</v>
      </c>
      <c r="P22" s="75">
        <v>173</v>
      </c>
      <c r="Q22" s="65">
        <v>4353.92</v>
      </c>
    </row>
    <row r="23" spans="1:20" ht="27" customHeight="1" x14ac:dyDescent="0.25">
      <c r="A23" s="158" t="s">
        <v>50</v>
      </c>
      <c r="B23" s="66">
        <v>206.29166666666666</v>
      </c>
      <c r="C23" s="66">
        <v>206.54166666666666</v>
      </c>
      <c r="D23" s="66">
        <f t="shared" si="4"/>
        <v>0.25</v>
      </c>
      <c r="E23" s="66">
        <v>206.61458333333334</v>
      </c>
      <c r="F23" s="66">
        <v>206.875</v>
      </c>
      <c r="G23" s="66">
        <f t="shared" si="5"/>
        <v>0.26041666666665719</v>
      </c>
      <c r="H23" s="66">
        <v>206.91666666666666</v>
      </c>
      <c r="I23" s="66">
        <v>207.125</v>
      </c>
      <c r="J23" s="71">
        <f>I23-H23-K23</f>
        <v>0.20833333333334281</v>
      </c>
      <c r="K23" s="156"/>
      <c r="L23" s="157">
        <f>D23+G23+J23</f>
        <v>0.71875</v>
      </c>
      <c r="M23" s="155" t="s">
        <v>64</v>
      </c>
      <c r="N23" s="85">
        <v>7</v>
      </c>
      <c r="O23" s="86" t="s">
        <v>67</v>
      </c>
      <c r="P23" s="76">
        <v>240</v>
      </c>
      <c r="Q23" s="65">
        <v>7119.3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0.77083333333331439</v>
      </c>
      <c r="E24" s="68"/>
      <c r="F24" s="68"/>
      <c r="G24" s="66">
        <f>SUM(G21:G23)</f>
        <v>0.80208333333331439</v>
      </c>
      <c r="H24" s="68"/>
      <c r="I24" s="68"/>
      <c r="J24" s="71">
        <f>SUM(J21:J23)</f>
        <v>0.77083333333337123</v>
      </c>
      <c r="K24" s="75"/>
      <c r="L24" s="83">
        <f>SUM(L21:L23)</f>
        <v>2.34375</v>
      </c>
      <c r="M24" s="65" t="s">
        <v>79</v>
      </c>
      <c r="N24" s="65">
        <v>26355.53</v>
      </c>
      <c r="P24" s="79" t="s">
        <v>68</v>
      </c>
      <c r="Q24" s="43">
        <v>43887.360000000001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N24+Sheet20!O25</f>
        <v>561799.70499999996</v>
      </c>
      <c r="P25" s="155" t="s">
        <v>78</v>
      </c>
      <c r="Q25" s="87">
        <v>49296.160000000003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Q24+Sheet20!Q26</f>
        <v>934992.1100000001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56.15</v>
      </c>
      <c r="M27" s="55"/>
      <c r="N27" s="88">
        <f>N22/L27</f>
        <v>491.75422974176314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L25" sqref="L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7109375" style="1" customWidth="1"/>
    <col min="16" max="16" width="16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266</v>
      </c>
    </row>
    <row r="3" spans="1:17" ht="29.2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32</v>
      </c>
      <c r="F4" s="22">
        <v>35</v>
      </c>
      <c r="G4" s="22"/>
      <c r="H4" s="22"/>
      <c r="I4" s="22"/>
      <c r="J4" s="22"/>
      <c r="K4" s="22">
        <v>118</v>
      </c>
      <c r="L4" s="22">
        <v>45</v>
      </c>
      <c r="M4" s="93">
        <f>K4+L4</f>
        <v>163</v>
      </c>
      <c r="N4" s="104" t="s">
        <v>170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>
        <v>1</v>
      </c>
      <c r="G5" s="22"/>
      <c r="H5" s="22"/>
      <c r="I5" s="22"/>
      <c r="J5" s="22"/>
      <c r="K5" s="22">
        <v>3</v>
      </c>
      <c r="L5" s="22">
        <v>0</v>
      </c>
      <c r="M5" s="93">
        <f t="shared" ref="M5:M7" si="0">K5+L5</f>
        <v>3</v>
      </c>
      <c r="N5" s="104" t="s">
        <v>57</v>
      </c>
      <c r="O5" s="66">
        <v>206.39583333333334</v>
      </c>
      <c r="P5" s="66">
        <v>206.58333333333334</v>
      </c>
      <c r="Q5" s="66" t="s">
        <v>264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1</v>
      </c>
      <c r="E6" s="22">
        <v>2</v>
      </c>
      <c r="F6" s="22">
        <v>2</v>
      </c>
      <c r="G6" s="22"/>
      <c r="H6" s="22"/>
      <c r="I6" s="22"/>
      <c r="J6" s="22"/>
      <c r="K6" s="22">
        <v>10</v>
      </c>
      <c r="L6" s="22">
        <v>0</v>
      </c>
      <c r="M6" s="93">
        <f t="shared" si="0"/>
        <v>10</v>
      </c>
      <c r="N6" s="104" t="s">
        <v>57</v>
      </c>
      <c r="O6" s="96"/>
      <c r="P6" s="65"/>
      <c r="Q6" s="248" t="s">
        <v>265</v>
      </c>
    </row>
    <row r="7" spans="1:17" ht="15" customHeight="1" x14ac:dyDescent="0.25">
      <c r="A7" s="25"/>
      <c r="B7" s="21" t="s">
        <v>19</v>
      </c>
      <c r="C7" s="22"/>
      <c r="D7" s="22">
        <v>4</v>
      </c>
      <c r="E7" s="22">
        <v>9</v>
      </c>
      <c r="F7" s="22">
        <v>2</v>
      </c>
      <c r="G7" s="22"/>
      <c r="H7" s="22"/>
      <c r="I7" s="22"/>
      <c r="J7" s="22"/>
      <c r="K7" s="22">
        <v>8</v>
      </c>
      <c r="L7" s="22">
        <v>11</v>
      </c>
      <c r="M7" s="93">
        <f t="shared" si="0"/>
        <v>19</v>
      </c>
      <c r="N7" s="104" t="s">
        <v>132</v>
      </c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12</v>
      </c>
      <c r="E9" s="22">
        <v>16</v>
      </c>
      <c r="F9" s="22">
        <v>41</v>
      </c>
      <c r="G9" s="22">
        <v>17</v>
      </c>
      <c r="H9" s="22">
        <v>24</v>
      </c>
      <c r="I9" s="22">
        <v>28</v>
      </c>
      <c r="J9" s="22">
        <v>22</v>
      </c>
      <c r="K9" s="22">
        <v>90</v>
      </c>
      <c r="L9" s="22">
        <v>70</v>
      </c>
      <c r="M9" s="93">
        <f t="shared" ref="M9:M12" si="1">K9+L9</f>
        <v>160</v>
      </c>
      <c r="N9" s="82" t="s">
        <v>170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6</v>
      </c>
      <c r="F10" s="22">
        <v>4</v>
      </c>
      <c r="G10" s="22">
        <v>9</v>
      </c>
      <c r="H10" s="22">
        <v>10</v>
      </c>
      <c r="I10" s="22">
        <v>3</v>
      </c>
      <c r="J10" s="22">
        <v>5</v>
      </c>
      <c r="K10" s="22">
        <v>35</v>
      </c>
      <c r="L10" s="22">
        <v>5</v>
      </c>
      <c r="M10" s="93">
        <f t="shared" si="1"/>
        <v>40</v>
      </c>
      <c r="N10" s="82" t="s">
        <v>57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3</v>
      </c>
      <c r="F11" s="22">
        <v>4</v>
      </c>
      <c r="G11" s="22">
        <v>5</v>
      </c>
      <c r="H11" s="22">
        <v>3</v>
      </c>
      <c r="I11" s="22">
        <v>4</v>
      </c>
      <c r="J11" s="22">
        <v>3</v>
      </c>
      <c r="K11" s="22">
        <v>20</v>
      </c>
      <c r="L11" s="22">
        <v>5</v>
      </c>
      <c r="M11" s="93">
        <f t="shared" si="1"/>
        <v>25</v>
      </c>
      <c r="N11" s="82" t="s">
        <v>13</v>
      </c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>
        <v>5</v>
      </c>
      <c r="G12" s="22"/>
      <c r="H12" s="22">
        <v>1</v>
      </c>
      <c r="I12" s="22">
        <v>1</v>
      </c>
      <c r="J12" s="22"/>
      <c r="K12" s="22">
        <v>7</v>
      </c>
      <c r="L12" s="22">
        <v>0</v>
      </c>
      <c r="M12" s="93">
        <f t="shared" si="1"/>
        <v>7</v>
      </c>
      <c r="N12" s="82"/>
      <c r="O12" s="66" t="s">
        <v>13</v>
      </c>
      <c r="P12" s="66" t="s">
        <v>13</v>
      </c>
      <c r="Q12" s="37" t="s">
        <v>13</v>
      </c>
    </row>
    <row r="13" spans="1:17" ht="32.2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179" t="s">
        <v>13</v>
      </c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45</v>
      </c>
      <c r="L14" s="22">
        <v>75</v>
      </c>
      <c r="M14" s="93">
        <f t="shared" ref="M14:M17" si="2">K14+L14</f>
        <v>120</v>
      </c>
      <c r="N14" s="103" t="s">
        <v>170</v>
      </c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29</v>
      </c>
      <c r="L15" s="22">
        <v>0</v>
      </c>
      <c r="M15" s="93">
        <f t="shared" si="2"/>
        <v>29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35</v>
      </c>
      <c r="L16" s="22">
        <v>0</v>
      </c>
      <c r="M16" s="93">
        <f t="shared" si="2"/>
        <v>35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8</v>
      </c>
      <c r="M17" s="93">
        <f t="shared" si="2"/>
        <v>8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443</v>
      </c>
      <c r="O18" s="252" t="s">
        <v>71</v>
      </c>
      <c r="P18" s="253"/>
      <c r="Q18" s="65" t="s">
        <v>262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72</v>
      </c>
      <c r="O19" s="69">
        <v>723.61</v>
      </c>
      <c r="P19" s="46" t="s">
        <v>180</v>
      </c>
      <c r="Q19" s="65" t="s">
        <v>263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70</v>
      </c>
      <c r="O20" s="77" t="s">
        <v>65</v>
      </c>
      <c r="P20" s="75">
        <v>80</v>
      </c>
      <c r="Q20" s="65">
        <v>5392</v>
      </c>
    </row>
    <row r="21" spans="1:20" ht="25.5" customHeight="1" x14ac:dyDescent="0.25">
      <c r="A21" s="16" t="s">
        <v>46</v>
      </c>
      <c r="B21" s="66">
        <v>206.25694444444446</v>
      </c>
      <c r="C21" s="66">
        <v>206.39583333333334</v>
      </c>
      <c r="D21" s="66">
        <f t="shared" ref="D21:D23" si="3">C21-B21</f>
        <v>0.13888888888888573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0.72222222222222854</v>
      </c>
      <c r="M21" s="155" t="s">
        <v>47</v>
      </c>
      <c r="N21" s="65">
        <f>M17+M12+M7</f>
        <v>34</v>
      </c>
      <c r="O21" s="78" t="s">
        <v>69</v>
      </c>
      <c r="P21" s="75">
        <v>291</v>
      </c>
      <c r="Q21" s="65">
        <v>7306</v>
      </c>
    </row>
    <row r="22" spans="1:20" ht="27" customHeight="1" x14ac:dyDescent="0.25">
      <c r="A22" s="16" t="s">
        <v>48</v>
      </c>
      <c r="B22" s="66">
        <v>206.24652777777777</v>
      </c>
      <c r="C22" s="66">
        <v>206.54166666666666</v>
      </c>
      <c r="D22" s="66">
        <f t="shared" si="3"/>
        <v>0.29513888888888573</v>
      </c>
      <c r="E22" s="66">
        <v>206.65277777777777</v>
      </c>
      <c r="F22" s="66">
        <v>206.875</v>
      </c>
      <c r="G22" s="66">
        <f t="shared" ref="G22:G23" si="4">F22-E22</f>
        <v>0.22222222222222854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0.80555555555557135</v>
      </c>
      <c r="M22" s="49" t="s">
        <v>49</v>
      </c>
      <c r="N22" s="65">
        <v>28615.79</v>
      </c>
      <c r="O22" s="80" t="s">
        <v>66</v>
      </c>
      <c r="P22" s="75">
        <v>182</v>
      </c>
      <c r="Q22" s="65">
        <v>4520.58</v>
      </c>
    </row>
    <row r="23" spans="1:20" ht="27" customHeight="1" x14ac:dyDescent="0.25">
      <c r="A23" s="158" t="s">
        <v>50</v>
      </c>
      <c r="B23" s="66">
        <v>206.28472222222223</v>
      </c>
      <c r="C23" s="66">
        <v>206.45833333333334</v>
      </c>
      <c r="D23" s="66">
        <f t="shared" si="3"/>
        <v>0.17361111111111427</v>
      </c>
      <c r="E23" s="66">
        <v>206.64930555555554</v>
      </c>
      <c r="F23" s="66">
        <v>206.875</v>
      </c>
      <c r="G23" s="66">
        <f t="shared" si="4"/>
        <v>0.22569444444445708</v>
      </c>
      <c r="H23" s="66">
        <v>206.94791666666666</v>
      </c>
      <c r="I23" s="66">
        <v>207.20833333333334</v>
      </c>
      <c r="J23" s="71">
        <f>I23-H23-K23</f>
        <v>0.26041666666668561</v>
      </c>
      <c r="K23" s="156"/>
      <c r="L23" s="157">
        <f>D23+G23+J23</f>
        <v>0.65972222222225696</v>
      </c>
      <c r="M23" s="155" t="s">
        <v>64</v>
      </c>
      <c r="N23" s="85">
        <v>7</v>
      </c>
      <c r="O23" s="86" t="s">
        <v>67</v>
      </c>
      <c r="P23" s="76">
        <v>193</v>
      </c>
      <c r="Q23" s="65">
        <v>5751.72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0.60763888888888573</v>
      </c>
      <c r="E24" s="68"/>
      <c r="F24" s="68"/>
      <c r="G24" s="66">
        <f>SUM(G21:G23)</f>
        <v>0.73958333333334281</v>
      </c>
      <c r="H24" s="68"/>
      <c r="I24" s="68"/>
      <c r="J24" s="71">
        <f>SUM(J21:J23)</f>
        <v>0.84027777777782831</v>
      </c>
      <c r="K24" s="75"/>
      <c r="L24" s="83">
        <f>SUM(L21:L23)</f>
        <v>2.1875000000000568</v>
      </c>
      <c r="M24" s="65" t="s">
        <v>79</v>
      </c>
      <c r="N24" s="65">
        <v>26751</v>
      </c>
      <c r="P24" s="79" t="s">
        <v>68</v>
      </c>
      <c r="Q24" s="43">
        <v>42847.66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N24+Sheet21!O25</f>
        <v>588550.70499999996</v>
      </c>
      <c r="P25" s="155" t="s">
        <v>78</v>
      </c>
      <c r="Q25" s="87">
        <v>48239.66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41000</v>
      </c>
      <c r="P26" s="51" t="s">
        <v>91</v>
      </c>
      <c r="Q26" s="69">
        <f>Q24+Sheet21!Q26</f>
        <v>977839.77000000014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52.3</v>
      </c>
      <c r="M27" s="55"/>
      <c r="N27" s="88">
        <f>N22/L27</f>
        <v>547.14703632887199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19685039370078741" footer="0"/>
  <pageSetup paperSize="9" scale="85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H23" sqref="H23: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3.140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267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>
        <v>3</v>
      </c>
      <c r="D4" s="22">
        <v>18</v>
      </c>
      <c r="E4" s="22">
        <v>32</v>
      </c>
      <c r="F4" s="22">
        <v>29</v>
      </c>
      <c r="G4" s="22">
        <v>33</v>
      </c>
      <c r="H4" s="22">
        <v>20</v>
      </c>
      <c r="I4" s="22">
        <v>19</v>
      </c>
      <c r="J4" s="3">
        <v>19</v>
      </c>
      <c r="K4" s="22">
        <v>122</v>
      </c>
      <c r="L4" s="22">
        <v>51</v>
      </c>
      <c r="M4" s="93">
        <f>K4+L4</f>
        <v>173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>
        <v>2</v>
      </c>
      <c r="E5" s="22">
        <v>2</v>
      </c>
      <c r="F5" s="22" t="s">
        <v>13</v>
      </c>
      <c r="G5" s="22"/>
      <c r="H5" s="22">
        <v>5</v>
      </c>
      <c r="I5" s="22">
        <v>2</v>
      </c>
      <c r="J5" s="22">
        <v>4</v>
      </c>
      <c r="K5" s="22">
        <v>9</v>
      </c>
      <c r="L5" s="22">
        <v>6</v>
      </c>
      <c r="M5" s="93">
        <f>K5+L5</f>
        <v>15</v>
      </c>
      <c r="N5" s="104" t="s">
        <v>170</v>
      </c>
      <c r="O5" s="66">
        <v>206.38888888888889</v>
      </c>
      <c r="P5" s="66">
        <v>206.51388888888889</v>
      </c>
      <c r="Q5" s="66" t="s">
        <v>269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4</v>
      </c>
      <c r="F6" s="22">
        <v>6</v>
      </c>
      <c r="G6" s="22">
        <v>5</v>
      </c>
      <c r="H6" s="22">
        <v>4</v>
      </c>
      <c r="I6" s="22">
        <v>2</v>
      </c>
      <c r="J6" s="22"/>
      <c r="K6" s="22">
        <v>26</v>
      </c>
      <c r="L6" s="22">
        <v>0</v>
      </c>
      <c r="M6" s="93">
        <f t="shared" ref="M6:M7" si="0">K6+L6</f>
        <v>26</v>
      </c>
      <c r="N6" s="104" t="s">
        <v>57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1</v>
      </c>
      <c r="E7" s="22">
        <v>2</v>
      </c>
      <c r="F7" s="22">
        <v>2</v>
      </c>
      <c r="G7" s="22"/>
      <c r="H7" s="22">
        <v>7</v>
      </c>
      <c r="I7" s="22">
        <v>2</v>
      </c>
      <c r="J7" s="22"/>
      <c r="K7" s="22">
        <v>11</v>
      </c>
      <c r="L7" s="22">
        <v>3</v>
      </c>
      <c r="M7" s="93">
        <f t="shared" si="0"/>
        <v>14</v>
      </c>
      <c r="N7" s="104" t="s">
        <v>13</v>
      </c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8" customHeight="1" x14ac:dyDescent="0.25">
      <c r="A9" s="33"/>
      <c r="B9" s="34" t="s">
        <v>14</v>
      </c>
      <c r="C9" s="22"/>
      <c r="D9" s="22">
        <v>22</v>
      </c>
      <c r="E9" s="22">
        <v>30</v>
      </c>
      <c r="F9" s="22">
        <v>30</v>
      </c>
      <c r="G9" s="22">
        <v>23</v>
      </c>
      <c r="H9" s="22">
        <v>26</v>
      </c>
      <c r="I9" s="22">
        <v>24</v>
      </c>
      <c r="J9" s="22">
        <v>25</v>
      </c>
      <c r="K9" s="22">
        <v>120</v>
      </c>
      <c r="L9" s="22">
        <v>60</v>
      </c>
      <c r="M9" s="93">
        <f t="shared" ref="M9:M12" si="1">K9+L9</f>
        <v>180</v>
      </c>
      <c r="N9" s="82" t="s">
        <v>170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7</v>
      </c>
      <c r="E10" s="22">
        <v>8</v>
      </c>
      <c r="F10" s="22">
        <v>4</v>
      </c>
      <c r="G10" s="22">
        <v>6</v>
      </c>
      <c r="H10" s="22">
        <v>5</v>
      </c>
      <c r="I10" s="22">
        <v>7</v>
      </c>
      <c r="J10" s="22">
        <v>6</v>
      </c>
      <c r="K10" s="22">
        <v>43</v>
      </c>
      <c r="L10" s="22">
        <v>0</v>
      </c>
      <c r="M10" s="93">
        <f t="shared" si="1"/>
        <v>43</v>
      </c>
      <c r="N10" s="82" t="s">
        <v>57</v>
      </c>
      <c r="O10" s="250" t="s">
        <v>172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4</v>
      </c>
      <c r="F11" s="22">
        <v>3</v>
      </c>
      <c r="G11" s="22">
        <v>3</v>
      </c>
      <c r="H11" s="22">
        <v>6</v>
      </c>
      <c r="I11" s="22">
        <v>4</v>
      </c>
      <c r="J11" s="22"/>
      <c r="K11" s="22">
        <v>25</v>
      </c>
      <c r="L11" s="22">
        <v>0</v>
      </c>
      <c r="M11" s="93">
        <f t="shared" si="1"/>
        <v>25</v>
      </c>
      <c r="N11" s="82"/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4</v>
      </c>
      <c r="F12" s="22">
        <v>4</v>
      </c>
      <c r="G12" s="22">
        <v>5</v>
      </c>
      <c r="H12" s="22">
        <v>2</v>
      </c>
      <c r="I12" s="22"/>
      <c r="J12" s="22"/>
      <c r="K12" s="22">
        <v>10</v>
      </c>
      <c r="L12" s="22">
        <v>8</v>
      </c>
      <c r="M12" s="93">
        <f t="shared" si="1"/>
        <v>18</v>
      </c>
      <c r="N12" s="82"/>
      <c r="O12" s="82"/>
      <c r="P12" s="82"/>
      <c r="Q12" s="37" t="s">
        <v>13</v>
      </c>
    </row>
    <row r="13" spans="1:17" ht="33.7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76</v>
      </c>
      <c r="L14" s="22">
        <v>0</v>
      </c>
      <c r="M14" s="93">
        <f t="shared" ref="M14:M17" si="2">K14+L14</f>
        <v>76</v>
      </c>
      <c r="N14" s="103" t="s">
        <v>57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23</v>
      </c>
      <c r="L15" s="22">
        <v>0</v>
      </c>
      <c r="M15" s="93">
        <f t="shared" si="2"/>
        <v>23</v>
      </c>
      <c r="N15" s="103" t="s">
        <v>170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31</v>
      </c>
      <c r="L16" s="22">
        <v>0</v>
      </c>
      <c r="M16" s="93">
        <f t="shared" si="2"/>
        <v>31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4</v>
      </c>
      <c r="L17" s="22">
        <v>0</v>
      </c>
      <c r="M17" s="93">
        <f t="shared" si="2"/>
        <v>4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429</v>
      </c>
      <c r="O18" s="252" t="s">
        <v>71</v>
      </c>
      <c r="P18" s="253"/>
      <c r="Q18" s="65" t="s">
        <v>181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81</v>
      </c>
      <c r="O19" s="69">
        <v>2283.98</v>
      </c>
      <c r="P19" s="46" t="s">
        <v>173</v>
      </c>
      <c r="Q19" s="65" t="s">
        <v>268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82</v>
      </c>
      <c r="O20" s="77" t="s">
        <v>65</v>
      </c>
      <c r="P20" s="75">
        <v>80</v>
      </c>
      <c r="Q20" s="65">
        <v>4190.42</v>
      </c>
    </row>
    <row r="21" spans="1:20" ht="25.5" customHeight="1" x14ac:dyDescent="0.25">
      <c r="A21" s="16" t="s">
        <v>46</v>
      </c>
      <c r="B21" s="66">
        <v>206.27083333333334</v>
      </c>
      <c r="C21" s="66">
        <v>206.39583333333334</v>
      </c>
      <c r="D21" s="66">
        <f t="shared" ref="D21:D23" si="3">C21-B21</f>
        <v>0.125</v>
      </c>
      <c r="E21" s="66">
        <v>206.57986111111111</v>
      </c>
      <c r="F21" s="66">
        <v>206.875</v>
      </c>
      <c r="G21" s="66">
        <f t="shared" ref="G21" si="4">F21-E21</f>
        <v>0.29513888888888573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0.67013888888888573</v>
      </c>
      <c r="M21" s="155" t="s">
        <v>47</v>
      </c>
      <c r="N21" s="65">
        <f>M17+M12+M7</f>
        <v>36</v>
      </c>
      <c r="O21" s="78" t="s">
        <v>69</v>
      </c>
      <c r="P21" s="75">
        <v>218</v>
      </c>
      <c r="Q21" s="65">
        <v>5448.7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ref="D22" si="5">C22-B22</f>
        <v>0.29166666666665719</v>
      </c>
      <c r="E22" s="66">
        <v>206.57638888888889</v>
      </c>
      <c r="F22" s="66">
        <v>206.875</v>
      </c>
      <c r="G22" s="66">
        <f t="shared" ref="G22" si="6">F22-E22</f>
        <v>0.29861111111111427</v>
      </c>
      <c r="H22" s="66">
        <v>206.02777777777777</v>
      </c>
      <c r="I22" s="66">
        <v>207.20833333333334</v>
      </c>
      <c r="J22" s="71">
        <f>I22-H22-K22</f>
        <v>1.1805555555555713</v>
      </c>
      <c r="K22" s="75"/>
      <c r="L22" s="73">
        <f>D22+G22+J22</f>
        <v>1.7708333333333428</v>
      </c>
      <c r="M22" s="49" t="s">
        <v>49</v>
      </c>
      <c r="N22" s="65">
        <v>27833.98</v>
      </c>
      <c r="O22" s="80" t="s">
        <v>66</v>
      </c>
      <c r="P22" s="75">
        <v>139</v>
      </c>
      <c r="Q22" s="65">
        <v>3491.26</v>
      </c>
    </row>
    <row r="23" spans="1:20" ht="27" customHeight="1" x14ac:dyDescent="0.25">
      <c r="A23" s="158" t="s">
        <v>50</v>
      </c>
      <c r="B23" s="66">
        <v>206.30902777777777</v>
      </c>
      <c r="C23" s="66">
        <v>206.54166666666666</v>
      </c>
      <c r="D23" s="66">
        <f t="shared" si="3"/>
        <v>0.23263888888888573</v>
      </c>
      <c r="E23" s="66">
        <v>206.58333333333334</v>
      </c>
      <c r="F23" s="66">
        <v>206.875</v>
      </c>
      <c r="G23" s="66">
        <f t="shared" ref="G23" si="7">F23-E23</f>
        <v>0.29166666666665719</v>
      </c>
      <c r="H23" s="66">
        <v>0</v>
      </c>
      <c r="I23" s="66">
        <v>0</v>
      </c>
      <c r="J23" s="71">
        <f>I23-H23-K23</f>
        <v>0</v>
      </c>
      <c r="K23" s="156"/>
      <c r="L23" s="157">
        <f>D23+G23+J23</f>
        <v>0.52430555555554292</v>
      </c>
      <c r="M23" s="155" t="s">
        <v>64</v>
      </c>
      <c r="N23" s="85">
        <v>7</v>
      </c>
      <c r="O23" s="86" t="s">
        <v>67</v>
      </c>
      <c r="P23" s="76">
        <v>107</v>
      </c>
      <c r="Q23" s="65">
        <v>3078.85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0.64930555555554292</v>
      </c>
      <c r="E24" s="68"/>
      <c r="F24" s="68"/>
      <c r="G24" s="66">
        <f>SUM(G21:G23)</f>
        <v>0.88541666666665719</v>
      </c>
      <c r="H24" s="68"/>
      <c r="I24" s="68"/>
      <c r="J24" s="71">
        <f>SUM(J21:J23)</f>
        <v>1.4305555555555713</v>
      </c>
      <c r="K24" s="75"/>
      <c r="L24" s="55">
        <v>47.1</v>
      </c>
      <c r="M24" s="65" t="s">
        <v>79</v>
      </c>
      <c r="N24" s="65">
        <v>26794.6</v>
      </c>
      <c r="P24" s="79" t="s">
        <v>68</v>
      </c>
      <c r="Q24" s="43">
        <v>40228.28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N24+Sheet22!O25</f>
        <v>615345.30499999993</v>
      </c>
      <c r="P25" s="155" t="s">
        <v>78</v>
      </c>
      <c r="Q25" s="87">
        <v>45642.57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91</v>
      </c>
      <c r="Q26" s="69">
        <f>Q24+Sheet22!Q26</f>
        <v>1018068.0500000002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47.1</v>
      </c>
      <c r="M27" s="55"/>
      <c r="N27" s="88">
        <f>N22/L27</f>
        <v>590.95498938428875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zoomScaleNormal="100" workbookViewId="0">
      <selection activeCell="F24" sqref="F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270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22</v>
      </c>
      <c r="E4" s="22">
        <v>28</v>
      </c>
      <c r="F4" s="22">
        <v>25</v>
      </c>
      <c r="G4" s="22">
        <v>9</v>
      </c>
      <c r="H4" s="22">
        <v>12</v>
      </c>
      <c r="I4" s="22">
        <v>11</v>
      </c>
      <c r="J4" s="22">
        <v>13</v>
      </c>
      <c r="K4" s="22">
        <v>55</v>
      </c>
      <c r="L4" s="22">
        <v>65</v>
      </c>
      <c r="M4" s="93">
        <f>K4+L4</f>
        <v>120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2</v>
      </c>
      <c r="J5" s="22">
        <v>1</v>
      </c>
      <c r="K5" s="22">
        <v>6</v>
      </c>
      <c r="L5" s="22">
        <v>0</v>
      </c>
      <c r="M5" s="93">
        <f t="shared" ref="M5:M7" si="0">K5+L5</f>
        <v>6</v>
      </c>
      <c r="N5" s="104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5</v>
      </c>
      <c r="F6" s="22">
        <v>4</v>
      </c>
      <c r="G6" s="22"/>
      <c r="H6" s="22">
        <v>6</v>
      </c>
      <c r="I6" s="22">
        <v>3</v>
      </c>
      <c r="J6" s="22"/>
      <c r="K6" s="22">
        <v>16</v>
      </c>
      <c r="L6" s="22">
        <v>5</v>
      </c>
      <c r="M6" s="93">
        <f t="shared" si="0"/>
        <v>21</v>
      </c>
      <c r="N6" s="104" t="s">
        <v>170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6</v>
      </c>
      <c r="E7" s="22">
        <v>12</v>
      </c>
      <c r="F7" s="22">
        <v>8</v>
      </c>
      <c r="G7" s="22">
        <v>4</v>
      </c>
      <c r="H7" s="22">
        <v>9</v>
      </c>
      <c r="I7" s="22">
        <v>4</v>
      </c>
      <c r="J7" s="22"/>
      <c r="K7" s="22">
        <v>18</v>
      </c>
      <c r="L7" s="22">
        <v>25</v>
      </c>
      <c r="M7" s="93">
        <f t="shared" si="0"/>
        <v>43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5" customHeight="1" x14ac:dyDescent="0.25">
      <c r="A9" s="33"/>
      <c r="B9" s="34" t="s">
        <v>14</v>
      </c>
      <c r="C9" s="22"/>
      <c r="D9" s="22"/>
      <c r="E9" s="22"/>
      <c r="F9" s="22">
        <v>46</v>
      </c>
      <c r="G9" s="22">
        <v>14</v>
      </c>
      <c r="H9" s="22">
        <v>20</v>
      </c>
      <c r="I9" s="22">
        <v>22</v>
      </c>
      <c r="J9" s="22">
        <v>21</v>
      </c>
      <c r="K9" s="22">
        <v>65</v>
      </c>
      <c r="L9" s="22">
        <v>58</v>
      </c>
      <c r="M9" s="93">
        <f t="shared" ref="M9:M12" si="2">K9+L9</f>
        <v>123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13</v>
      </c>
      <c r="G10" s="22">
        <v>7</v>
      </c>
      <c r="H10" s="22">
        <v>4</v>
      </c>
      <c r="I10" s="22">
        <v>3</v>
      </c>
      <c r="J10" s="22">
        <v>1</v>
      </c>
      <c r="K10" s="22">
        <v>0</v>
      </c>
      <c r="L10" s="22">
        <v>28</v>
      </c>
      <c r="M10" s="93">
        <f t="shared" si="2"/>
        <v>28</v>
      </c>
      <c r="N10" s="82" t="s">
        <v>170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>
        <v>20</v>
      </c>
      <c r="G11" s="22">
        <v>3</v>
      </c>
      <c r="H11" s="22">
        <v>4</v>
      </c>
      <c r="I11" s="22">
        <v>3</v>
      </c>
      <c r="J11" s="22">
        <v>4</v>
      </c>
      <c r="K11" s="22">
        <v>34</v>
      </c>
      <c r="L11" s="22">
        <v>0</v>
      </c>
      <c r="M11" s="93">
        <f t="shared" si="2"/>
        <v>34</v>
      </c>
      <c r="N11" s="82"/>
      <c r="O11" s="66">
        <v>206.25</v>
      </c>
      <c r="P11" s="82" t="s">
        <v>273</v>
      </c>
      <c r="Q11" s="33" t="s">
        <v>274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>
        <v>4</v>
      </c>
      <c r="G12" s="22"/>
      <c r="H12" s="22"/>
      <c r="I12" s="22">
        <v>1</v>
      </c>
      <c r="J12" s="22"/>
      <c r="K12" s="22">
        <v>5</v>
      </c>
      <c r="L12" s="22">
        <v>0</v>
      </c>
      <c r="M12" s="93">
        <f t="shared" si="2"/>
        <v>5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22</v>
      </c>
      <c r="E14" s="22">
        <v>28</v>
      </c>
      <c r="F14" s="22">
        <v>30</v>
      </c>
      <c r="G14" s="22">
        <v>20</v>
      </c>
      <c r="H14" s="22">
        <v>10</v>
      </c>
      <c r="I14" s="22">
        <v>2</v>
      </c>
      <c r="J14" s="22"/>
      <c r="K14" s="22">
        <v>72</v>
      </c>
      <c r="L14" s="22">
        <v>40</v>
      </c>
      <c r="M14" s="93">
        <f t="shared" ref="M14:M17" si="3">K14+L14</f>
        <v>112</v>
      </c>
      <c r="N14" s="103" t="s">
        <v>57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>
        <v>5</v>
      </c>
      <c r="G15" s="22">
        <v>6</v>
      </c>
      <c r="H15" s="22">
        <v>3</v>
      </c>
      <c r="I15" s="22">
        <v>6</v>
      </c>
      <c r="J15" s="22">
        <v>1</v>
      </c>
      <c r="K15" s="22">
        <v>21</v>
      </c>
      <c r="L15" s="22">
        <v>4</v>
      </c>
      <c r="M15" s="93">
        <f t="shared" si="3"/>
        <v>25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5</v>
      </c>
      <c r="E16" s="22">
        <v>2</v>
      </c>
      <c r="F16" s="22">
        <v>3</v>
      </c>
      <c r="G16" s="22">
        <v>2</v>
      </c>
      <c r="H16" s="22">
        <v>3</v>
      </c>
      <c r="I16" s="22">
        <v>2</v>
      </c>
      <c r="J16" s="22">
        <v>3</v>
      </c>
      <c r="K16" s="22">
        <v>20</v>
      </c>
      <c r="L16" s="22">
        <v>0</v>
      </c>
      <c r="M16" s="93">
        <f t="shared" si="3"/>
        <v>20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>
        <v>1</v>
      </c>
      <c r="H17" s="22"/>
      <c r="I17" s="22"/>
      <c r="J17" s="22">
        <v>1</v>
      </c>
      <c r="K17" s="22">
        <v>2</v>
      </c>
      <c r="L17" s="22">
        <v>3</v>
      </c>
      <c r="M17" s="93">
        <f t="shared" si="3"/>
        <v>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355</v>
      </c>
      <c r="O18" s="252" t="s">
        <v>71</v>
      </c>
      <c r="P18" s="253"/>
      <c r="Q18" s="65" t="s">
        <v>271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59</v>
      </c>
      <c r="O19" s="69">
        <v>1457.56</v>
      </c>
      <c r="P19" s="46" t="s">
        <v>182</v>
      </c>
      <c r="Q19" s="65" t="s">
        <v>272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75</v>
      </c>
      <c r="O20" s="77" t="s">
        <v>65</v>
      </c>
      <c r="P20" s="75">
        <v>79</v>
      </c>
      <c r="Q20" s="65">
        <v>5277.2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4">C21-B21</f>
        <v>0.29166666666665719</v>
      </c>
      <c r="E21" s="66">
        <v>206.60763888888889</v>
      </c>
      <c r="F21" s="66">
        <v>206.875</v>
      </c>
      <c r="G21" s="66">
        <f t="shared" ref="G21" si="5">F21-E21</f>
        <v>0.26736111111111427</v>
      </c>
      <c r="H21" s="66">
        <v>206.96527777777777</v>
      </c>
      <c r="I21" s="66">
        <v>207.20833333333334</v>
      </c>
      <c r="J21" s="71">
        <f>I21-H21-K21</f>
        <v>0.24305555555557135</v>
      </c>
      <c r="K21" s="66"/>
      <c r="L21" s="73">
        <f>D21+G21+J21</f>
        <v>0.80208333333334281</v>
      </c>
      <c r="M21" s="155" t="s">
        <v>47</v>
      </c>
      <c r="N21" s="65">
        <f>M17+M12+M7</f>
        <v>53</v>
      </c>
      <c r="O21" s="78" t="s">
        <v>69</v>
      </c>
      <c r="P21" s="75">
        <v>273</v>
      </c>
      <c r="Q21" s="65">
        <v>6793.04</v>
      </c>
    </row>
    <row r="22" spans="1:20" ht="27" customHeight="1" x14ac:dyDescent="0.25">
      <c r="A22" s="16" t="s">
        <v>48</v>
      </c>
      <c r="B22" s="66">
        <v>0</v>
      </c>
      <c r="C22" s="66">
        <v>0</v>
      </c>
      <c r="D22" s="71">
        <f>C22-B22-E22</f>
        <v>0</v>
      </c>
      <c r="E22" s="66">
        <v>0</v>
      </c>
      <c r="F22" s="66">
        <v>0</v>
      </c>
      <c r="G22" s="71">
        <f>F22-E22-H22</f>
        <v>0</v>
      </c>
      <c r="H22" s="66">
        <v>0</v>
      </c>
      <c r="I22" s="66">
        <v>0</v>
      </c>
      <c r="J22" s="71">
        <f>I22-H22-K22</f>
        <v>0</v>
      </c>
      <c r="K22" s="75"/>
      <c r="L22" s="73">
        <f>D22+G22+J22</f>
        <v>0</v>
      </c>
      <c r="M22" s="49" t="s">
        <v>49</v>
      </c>
      <c r="N22" s="65">
        <v>23057.56</v>
      </c>
      <c r="O22" s="80" t="s">
        <v>66</v>
      </c>
      <c r="P22" s="75">
        <v>171</v>
      </c>
      <c r="Q22" s="65">
        <v>4418.3500000000004</v>
      </c>
    </row>
    <row r="23" spans="1:20" ht="27" customHeight="1" x14ac:dyDescent="0.25">
      <c r="A23" s="158" t="s">
        <v>50</v>
      </c>
      <c r="B23" s="66">
        <v>206.28472222222223</v>
      </c>
      <c r="C23" s="66">
        <v>206.54166666666666</v>
      </c>
      <c r="D23" s="66">
        <f t="shared" si="4"/>
        <v>0.25694444444442865</v>
      </c>
      <c r="E23" s="66">
        <v>206.59375</v>
      </c>
      <c r="F23" s="66">
        <v>206.875</v>
      </c>
      <c r="G23" s="66">
        <f t="shared" ref="G23" si="6">F23-E23</f>
        <v>0.28125</v>
      </c>
      <c r="H23" s="66">
        <v>206.92708333333334</v>
      </c>
      <c r="I23" s="66">
        <v>207.20833333333334</v>
      </c>
      <c r="J23" s="71">
        <f>I23-H23-K23</f>
        <v>0.28125</v>
      </c>
      <c r="K23" s="156"/>
      <c r="L23" s="157">
        <f>D23+G23+J23</f>
        <v>0.81944444444442865</v>
      </c>
      <c r="M23" s="155" t="s">
        <v>64</v>
      </c>
      <c r="N23" s="85">
        <v>7</v>
      </c>
      <c r="O23" s="86" t="s">
        <v>67</v>
      </c>
      <c r="P23" s="76">
        <v>152</v>
      </c>
      <c r="Q23" s="65">
        <v>4107.95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0.54861111111108585</v>
      </c>
      <c r="E24" s="68"/>
      <c r="F24" s="68"/>
      <c r="G24" s="66">
        <f>SUM(G21:G23)</f>
        <v>0.54861111111111427</v>
      </c>
      <c r="H24" s="68"/>
      <c r="I24" s="68"/>
      <c r="J24" s="71">
        <f>SUM(J21:J23)</f>
        <v>0.52430555555557135</v>
      </c>
      <c r="K24" s="75"/>
      <c r="L24" s="83">
        <f>SUM(L21:L23)</f>
        <v>1.6215277777777715</v>
      </c>
      <c r="M24" s="65" t="s">
        <v>79</v>
      </c>
      <c r="N24" s="65">
        <v>26134.26</v>
      </c>
      <c r="P24" s="79" t="s">
        <v>68</v>
      </c>
      <c r="Q24" s="43">
        <v>44555.42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N24+Sheet23!O25</f>
        <v>641479.56499999994</v>
      </c>
      <c r="P25" s="155" t="s">
        <v>78</v>
      </c>
      <c r="Q25" s="183">
        <v>46356.15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41000</v>
      </c>
      <c r="P26" s="51" t="s">
        <v>91</v>
      </c>
      <c r="Q26" s="69">
        <f>Q24+Sheet23!Q26</f>
        <v>1062623.4700000002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38.549999999999997</v>
      </c>
      <c r="M27" s="55"/>
      <c r="N27" s="88">
        <f>N22/L27</f>
        <v>598.12088197146568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" bottom="0" header="0.31496062992126" footer="0.31496062992126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N24" sqref="N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275</v>
      </c>
    </row>
    <row r="3" spans="1:18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8" ht="15" customHeight="1" x14ac:dyDescent="0.25">
      <c r="A4" s="20"/>
      <c r="B4" s="21" t="s">
        <v>14</v>
      </c>
      <c r="C4" s="22"/>
      <c r="D4" s="22">
        <v>22</v>
      </c>
      <c r="E4" s="22">
        <v>25</v>
      </c>
      <c r="F4" s="22">
        <v>20</v>
      </c>
      <c r="G4" s="22">
        <v>12</v>
      </c>
      <c r="H4" s="22">
        <v>15</v>
      </c>
      <c r="I4" s="22">
        <v>27</v>
      </c>
      <c r="J4" s="22">
        <v>23</v>
      </c>
      <c r="K4" s="22">
        <v>115</v>
      </c>
      <c r="L4" s="22">
        <v>29</v>
      </c>
      <c r="M4" s="93">
        <f t="shared" ref="M4:M5" si="0">K4+L4</f>
        <v>144</v>
      </c>
      <c r="N4" s="104" t="s">
        <v>57</v>
      </c>
      <c r="O4" s="95" t="s">
        <v>92</v>
      </c>
      <c r="P4" s="105" t="s">
        <v>93</v>
      </c>
      <c r="Q4" s="43" t="s">
        <v>13</v>
      </c>
    </row>
    <row r="5" spans="1:18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4</v>
      </c>
      <c r="I5" s="22">
        <v>5</v>
      </c>
      <c r="J5" s="22">
        <v>4</v>
      </c>
      <c r="K5" s="22">
        <v>10</v>
      </c>
      <c r="L5" s="22">
        <v>3</v>
      </c>
      <c r="M5" s="93">
        <f t="shared" si="0"/>
        <v>13</v>
      </c>
      <c r="N5" s="104" t="s">
        <v>276</v>
      </c>
      <c r="O5" s="66">
        <v>206.44791666666666</v>
      </c>
      <c r="P5" s="66">
        <v>206.72222222222223</v>
      </c>
      <c r="Q5" s="66">
        <f t="shared" ref="Q5" si="1">P5-O5</f>
        <v>0.27430555555557135</v>
      </c>
    </row>
    <row r="6" spans="1:18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4</v>
      </c>
      <c r="F6" s="22">
        <v>3</v>
      </c>
      <c r="G6" s="22">
        <v>2</v>
      </c>
      <c r="H6" s="22">
        <v>3</v>
      </c>
      <c r="I6" s="22"/>
      <c r="J6" s="22">
        <v>2</v>
      </c>
      <c r="K6" s="22">
        <v>17</v>
      </c>
      <c r="L6" s="22">
        <v>0</v>
      </c>
      <c r="M6" s="93">
        <f t="shared" ref="M6" si="2">K6+L6</f>
        <v>17</v>
      </c>
      <c r="N6" s="104" t="s">
        <v>57</v>
      </c>
      <c r="O6" s="96"/>
      <c r="P6" s="65"/>
      <c r="Q6" s="248" t="s">
        <v>278</v>
      </c>
    </row>
    <row r="7" spans="1:18" ht="15" customHeight="1" x14ac:dyDescent="0.25">
      <c r="A7" s="25"/>
      <c r="B7" s="21" t="s">
        <v>19</v>
      </c>
      <c r="C7" s="22"/>
      <c r="D7" s="22">
        <v>2</v>
      </c>
      <c r="E7" s="22">
        <v>3</v>
      </c>
      <c r="F7" s="22">
        <v>8</v>
      </c>
      <c r="G7" s="22">
        <v>2</v>
      </c>
      <c r="H7" s="22">
        <v>1</v>
      </c>
      <c r="I7" s="22">
        <v>5</v>
      </c>
      <c r="J7" s="22"/>
      <c r="K7" s="22">
        <v>10</v>
      </c>
      <c r="L7" s="22">
        <v>11</v>
      </c>
      <c r="M7" s="93">
        <f t="shared" ref="M7" si="3">K7+L7</f>
        <v>21</v>
      </c>
      <c r="N7" s="104"/>
      <c r="O7" s="97"/>
      <c r="P7" s="65"/>
      <c r="Q7" s="249"/>
    </row>
    <row r="8" spans="1:18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8" ht="17.25" customHeight="1" x14ac:dyDescent="0.25">
      <c r="A9" s="33"/>
      <c r="B9" s="34" t="s">
        <v>14</v>
      </c>
      <c r="C9" s="22"/>
      <c r="D9" s="22">
        <v>20</v>
      </c>
      <c r="E9" s="22">
        <v>25</v>
      </c>
      <c r="F9" s="22">
        <v>22</v>
      </c>
      <c r="G9" s="22">
        <v>10</v>
      </c>
      <c r="H9" s="22"/>
      <c r="I9" s="22"/>
      <c r="J9" s="22"/>
      <c r="K9" s="22">
        <v>136</v>
      </c>
      <c r="L9" s="22">
        <v>5</v>
      </c>
      <c r="M9" s="93">
        <f t="shared" ref="M9:M12" si="4">K9+L9</f>
        <v>141</v>
      </c>
      <c r="N9" s="82" t="s">
        <v>170</v>
      </c>
      <c r="O9" s="99"/>
      <c r="P9" s="82"/>
      <c r="Q9" s="36"/>
    </row>
    <row r="10" spans="1:18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6</v>
      </c>
      <c r="F10" s="22">
        <v>4</v>
      </c>
      <c r="G10" s="22">
        <v>4</v>
      </c>
      <c r="H10" s="22"/>
      <c r="I10" s="22"/>
      <c r="J10" s="22"/>
      <c r="K10" s="22">
        <v>26</v>
      </c>
      <c r="L10" s="22">
        <v>5</v>
      </c>
      <c r="M10" s="93">
        <f t="shared" si="4"/>
        <v>31</v>
      </c>
      <c r="N10" s="82" t="s">
        <v>170</v>
      </c>
      <c r="O10" s="250" t="s">
        <v>176</v>
      </c>
      <c r="P10" s="251"/>
      <c r="Q10" s="43" t="s">
        <v>73</v>
      </c>
    </row>
    <row r="11" spans="1:18" ht="13.5" customHeight="1" x14ac:dyDescent="0.25">
      <c r="A11" s="35" t="s">
        <v>28</v>
      </c>
      <c r="B11" s="34" t="s">
        <v>18</v>
      </c>
      <c r="C11" s="22"/>
      <c r="D11" s="22"/>
      <c r="E11" s="22">
        <v>2</v>
      </c>
      <c r="F11" s="22"/>
      <c r="G11" s="22">
        <v>1</v>
      </c>
      <c r="H11" s="22"/>
      <c r="I11" s="22"/>
      <c r="J11" s="22"/>
      <c r="K11" s="22">
        <v>10</v>
      </c>
      <c r="L11" s="22">
        <v>0</v>
      </c>
      <c r="M11" s="93">
        <f t="shared" si="4"/>
        <v>10</v>
      </c>
      <c r="N11" s="82"/>
      <c r="O11" s="66">
        <v>206.25</v>
      </c>
      <c r="P11" s="66">
        <v>206.44791666666666</v>
      </c>
      <c r="Q11" s="33" t="s">
        <v>279</v>
      </c>
      <c r="R11" s="1" t="s">
        <v>13</v>
      </c>
    </row>
    <row r="12" spans="1:18" ht="13.5" customHeight="1" x14ac:dyDescent="0.25">
      <c r="A12" s="36"/>
      <c r="B12" s="34" t="s">
        <v>19</v>
      </c>
      <c r="C12" s="22"/>
      <c r="D12" s="22">
        <v>1</v>
      </c>
      <c r="E12" s="22"/>
      <c r="F12" s="22">
        <v>2</v>
      </c>
      <c r="G12" s="22">
        <v>7</v>
      </c>
      <c r="H12" s="22"/>
      <c r="I12" s="22"/>
      <c r="J12" s="22"/>
      <c r="K12" s="22">
        <v>13</v>
      </c>
      <c r="L12" s="22">
        <v>0</v>
      </c>
      <c r="M12" s="93">
        <f t="shared" si="4"/>
        <v>13</v>
      </c>
      <c r="N12" s="82"/>
      <c r="O12" s="82"/>
      <c r="P12" s="82"/>
      <c r="Q12" s="37" t="s">
        <v>280</v>
      </c>
    </row>
    <row r="13" spans="1:18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8" ht="15" x14ac:dyDescent="0.25">
      <c r="A14" s="33"/>
      <c r="B14" s="21" t="s">
        <v>14</v>
      </c>
      <c r="C14" s="22"/>
      <c r="D14" s="22">
        <v>18</v>
      </c>
      <c r="E14" s="22">
        <v>22</v>
      </c>
      <c r="F14" s="22">
        <v>30</v>
      </c>
      <c r="G14" s="22">
        <v>25</v>
      </c>
      <c r="H14" s="22">
        <v>20</v>
      </c>
      <c r="I14" s="22">
        <v>35</v>
      </c>
      <c r="J14" s="22">
        <v>8</v>
      </c>
      <c r="K14" s="22">
        <v>86</v>
      </c>
      <c r="L14" s="22">
        <v>72</v>
      </c>
      <c r="M14" s="93">
        <f t="shared" ref="M14:M17" si="5">K14+L14</f>
        <v>158</v>
      </c>
      <c r="N14" s="103" t="s">
        <v>57</v>
      </c>
      <c r="O14" s="101"/>
      <c r="P14" s="82"/>
      <c r="Q14" s="37"/>
    </row>
    <row r="15" spans="1:18" ht="16.5" customHeight="1" x14ac:dyDescent="0.25">
      <c r="A15" s="106" t="s">
        <v>36</v>
      </c>
      <c r="B15" s="21" t="s">
        <v>16</v>
      </c>
      <c r="C15" s="22"/>
      <c r="D15" s="22">
        <v>3</v>
      </c>
      <c r="E15" s="22"/>
      <c r="F15" s="22"/>
      <c r="G15" s="22"/>
      <c r="H15" s="22">
        <v>6</v>
      </c>
      <c r="I15" s="22">
        <v>4</v>
      </c>
      <c r="J15" s="22"/>
      <c r="K15" s="22">
        <v>13</v>
      </c>
      <c r="L15" s="22">
        <v>0</v>
      </c>
      <c r="M15" s="93">
        <f t="shared" si="5"/>
        <v>13</v>
      </c>
      <c r="N15" s="103" t="s">
        <v>57</v>
      </c>
      <c r="O15" s="102"/>
      <c r="P15" s="82"/>
      <c r="Q15" s="37"/>
    </row>
    <row r="16" spans="1:18" ht="15.75" customHeight="1" x14ac:dyDescent="0.25">
      <c r="A16" s="107" t="s">
        <v>17</v>
      </c>
      <c r="B16" s="21" t="s">
        <v>18</v>
      </c>
      <c r="C16" s="22"/>
      <c r="D16" s="22">
        <v>2</v>
      </c>
      <c r="E16" s="22"/>
      <c r="F16" s="22"/>
      <c r="G16" s="22">
        <v>3</v>
      </c>
      <c r="H16" s="22">
        <v>2</v>
      </c>
      <c r="I16" s="22">
        <v>2</v>
      </c>
      <c r="J16" s="22"/>
      <c r="K16" s="22">
        <v>1</v>
      </c>
      <c r="L16" s="22">
        <v>8</v>
      </c>
      <c r="M16" s="93">
        <f t="shared" si="5"/>
        <v>9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3</v>
      </c>
      <c r="G17" s="22"/>
      <c r="H17" s="22"/>
      <c r="I17" s="22">
        <v>2</v>
      </c>
      <c r="J17" s="22">
        <v>2</v>
      </c>
      <c r="K17" s="22">
        <v>7</v>
      </c>
      <c r="L17" s="22">
        <v>1</v>
      </c>
      <c r="M17" s="93">
        <f t="shared" si="5"/>
        <v>8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443</v>
      </c>
      <c r="O18" s="252" t="s">
        <v>71</v>
      </c>
      <c r="P18" s="253"/>
      <c r="Q18" s="65" t="s">
        <v>70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57</v>
      </c>
      <c r="O19" s="69">
        <v>1997.15</v>
      </c>
      <c r="P19" s="46" t="s">
        <v>183</v>
      </c>
      <c r="Q19" s="65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36</v>
      </c>
      <c r="O20" s="77" t="s">
        <v>65</v>
      </c>
      <c r="P20" s="75">
        <v>80</v>
      </c>
      <c r="Q20" s="65">
        <v>5249.72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6">C21-B21</f>
        <v>0.29166666666665719</v>
      </c>
      <c r="E21" s="66">
        <v>206.58333333333334</v>
      </c>
      <c r="F21" s="66">
        <v>206.875</v>
      </c>
      <c r="G21" s="66">
        <f>F21-E21</f>
        <v>0.29166666666665719</v>
      </c>
      <c r="H21" s="66">
        <v>206</v>
      </c>
      <c r="I21" s="66">
        <v>207</v>
      </c>
      <c r="J21" s="71">
        <f>I21-H21-K21</f>
        <v>1</v>
      </c>
      <c r="K21" s="66"/>
      <c r="L21" s="73">
        <f>D21+G21+J21</f>
        <v>1.5833333333333144</v>
      </c>
      <c r="M21" s="155" t="s">
        <v>47</v>
      </c>
      <c r="N21" s="65">
        <f>M17+M12+M7</f>
        <v>42</v>
      </c>
      <c r="O21" s="78" t="s">
        <v>69</v>
      </c>
      <c r="P21" s="75">
        <v>309</v>
      </c>
      <c r="Q21" s="65">
        <v>7663.6</v>
      </c>
    </row>
    <row r="22" spans="1:20" ht="27" customHeight="1" x14ac:dyDescent="0.25">
      <c r="A22" s="16" t="s">
        <v>48</v>
      </c>
      <c r="B22" s="66">
        <v>206.44791666666666</v>
      </c>
      <c r="C22" s="66">
        <v>206.54166666666666</v>
      </c>
      <c r="D22" s="66">
        <f t="shared" si="6"/>
        <v>9.375E-2</v>
      </c>
      <c r="E22" s="66">
        <v>206.57986111111111</v>
      </c>
      <c r="F22" s="66">
        <v>206.86805555555554</v>
      </c>
      <c r="G22" s="66">
        <f t="shared" ref="G22:G23" si="7">F22-E22</f>
        <v>0.28819444444442865</v>
      </c>
      <c r="H22" s="66">
        <v>206.93055555555554</v>
      </c>
      <c r="I22" s="66">
        <v>207.20833333333334</v>
      </c>
      <c r="J22" s="71">
        <f>I22-H22-K22</f>
        <v>0.27777777777779988</v>
      </c>
      <c r="K22" s="75"/>
      <c r="L22" s="73">
        <f>D22+G22+J22</f>
        <v>0.65972222222222854</v>
      </c>
      <c r="M22" s="49" t="s">
        <v>49</v>
      </c>
      <c r="N22" s="65">
        <v>26197.95</v>
      </c>
      <c r="O22" s="80" t="s">
        <v>66</v>
      </c>
      <c r="P22" s="75">
        <v>174</v>
      </c>
      <c r="Q22" s="65">
        <v>4509.3500000000004</v>
      </c>
    </row>
    <row r="23" spans="1:20" ht="27" customHeight="1" x14ac:dyDescent="0.25">
      <c r="A23" s="158" t="s">
        <v>50</v>
      </c>
      <c r="B23" s="66">
        <v>206.27083333333334</v>
      </c>
      <c r="C23" s="66">
        <v>206.44791666666666</v>
      </c>
      <c r="D23" s="66">
        <f t="shared" si="6"/>
        <v>0.17708333333331439</v>
      </c>
      <c r="E23" s="66">
        <v>206.72222222222223</v>
      </c>
      <c r="F23" s="66">
        <v>206.875</v>
      </c>
      <c r="G23" s="66">
        <f t="shared" si="7"/>
        <v>0.15277777777777146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0.62152777777777146</v>
      </c>
      <c r="M23" s="155" t="s">
        <v>64</v>
      </c>
      <c r="N23" s="85">
        <v>7</v>
      </c>
      <c r="O23" s="86" t="s">
        <v>67</v>
      </c>
      <c r="P23" s="76">
        <v>198</v>
      </c>
      <c r="Q23" s="65">
        <v>5970.87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0.56249999999997158</v>
      </c>
      <c r="E24" s="68"/>
      <c r="F24" s="68"/>
      <c r="G24" s="66">
        <f>SUM(G21:G23)</f>
        <v>0.73263888888885731</v>
      </c>
      <c r="H24" s="68"/>
      <c r="I24" s="68"/>
      <c r="J24" s="71">
        <f>SUM(J21:J23)</f>
        <v>1.5694444444444855</v>
      </c>
      <c r="K24" s="75"/>
      <c r="L24" s="55">
        <v>44.45</v>
      </c>
      <c r="M24" s="65" t="s">
        <v>79</v>
      </c>
      <c r="N24" s="65">
        <v>26167.31</v>
      </c>
      <c r="P24" s="79" t="s">
        <v>68</v>
      </c>
      <c r="Q24" s="43">
        <v>42092.23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N24+Sheet24!O25</f>
        <v>667646.875</v>
      </c>
      <c r="P25" s="155" t="s">
        <v>78</v>
      </c>
      <c r="Q25" s="87">
        <v>47296.95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667646.88</v>
      </c>
      <c r="P26" s="51" t="s">
        <v>91</v>
      </c>
      <c r="Q26" s="69">
        <f>Q24+Sheet24!Q26</f>
        <v>1104715.7000000002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44.45</v>
      </c>
      <c r="M27" s="55"/>
      <c r="N27" s="88">
        <f>N22/L27</f>
        <v>589.38020247469069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1" workbookViewId="0">
      <selection activeCell="G24" sqref="G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855468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281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16</v>
      </c>
      <c r="E4" s="22">
        <v>15</v>
      </c>
      <c r="F4" s="22">
        <v>14</v>
      </c>
      <c r="G4" s="22">
        <v>7</v>
      </c>
      <c r="H4" s="22">
        <v>9</v>
      </c>
      <c r="I4" s="22">
        <v>14</v>
      </c>
      <c r="J4" s="22">
        <v>11</v>
      </c>
      <c r="K4" s="22">
        <v>65</v>
      </c>
      <c r="L4" s="22">
        <v>21</v>
      </c>
      <c r="M4" s="93">
        <f>K4+L4</f>
        <v>86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5</v>
      </c>
      <c r="H5" s="22">
        <v>3</v>
      </c>
      <c r="I5" s="22">
        <v>2</v>
      </c>
      <c r="J5" s="22">
        <v>1</v>
      </c>
      <c r="K5" s="22">
        <v>11</v>
      </c>
      <c r="L5" s="22">
        <v>0</v>
      </c>
      <c r="M5" s="93">
        <f t="shared" ref="M5:M7" si="0">K5+L5</f>
        <v>11</v>
      </c>
      <c r="N5" s="104" t="s">
        <v>57</v>
      </c>
      <c r="O5" s="66"/>
      <c r="P5" s="66"/>
      <c r="Q5" s="33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6</v>
      </c>
      <c r="F6" s="22">
        <v>9</v>
      </c>
      <c r="G6" s="22">
        <v>6</v>
      </c>
      <c r="H6" s="22">
        <v>7</v>
      </c>
      <c r="I6" s="22">
        <v>12</v>
      </c>
      <c r="J6" s="22">
        <v>8</v>
      </c>
      <c r="K6" s="22">
        <v>32</v>
      </c>
      <c r="L6" s="22">
        <v>16</v>
      </c>
      <c r="M6" s="93">
        <f t="shared" si="0"/>
        <v>48</v>
      </c>
      <c r="N6" s="104" t="s">
        <v>170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/>
      <c r="E7" s="22">
        <v>3</v>
      </c>
      <c r="F7" s="22">
        <v>4</v>
      </c>
      <c r="G7" s="22" t="s">
        <v>13</v>
      </c>
      <c r="H7" s="22">
        <v>4</v>
      </c>
      <c r="I7" s="22">
        <v>3</v>
      </c>
      <c r="J7" s="22">
        <v>2</v>
      </c>
      <c r="K7" s="22">
        <v>16</v>
      </c>
      <c r="L7" s="22">
        <v>0</v>
      </c>
      <c r="M7" s="93">
        <f t="shared" si="0"/>
        <v>16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5.75" customHeight="1" x14ac:dyDescent="0.25">
      <c r="A9" s="33"/>
      <c r="B9" s="34" t="s">
        <v>14</v>
      </c>
      <c r="C9" s="22"/>
      <c r="D9" s="22">
        <v>21</v>
      </c>
      <c r="E9" s="22">
        <v>22</v>
      </c>
      <c r="F9" s="22">
        <v>18</v>
      </c>
      <c r="G9" s="22">
        <v>24</v>
      </c>
      <c r="H9" s="22"/>
      <c r="I9" s="22"/>
      <c r="J9" s="22"/>
      <c r="K9" s="22">
        <v>107</v>
      </c>
      <c r="L9" s="22">
        <v>50</v>
      </c>
      <c r="M9" s="93">
        <f t="shared" ref="M9:M17" si="1">K9+L9</f>
        <v>157</v>
      </c>
      <c r="N9" s="82" t="s">
        <v>170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11</v>
      </c>
      <c r="E10" s="22">
        <v>5</v>
      </c>
      <c r="F10" s="22">
        <v>1</v>
      </c>
      <c r="G10" s="22">
        <v>8</v>
      </c>
      <c r="H10" s="22"/>
      <c r="I10" s="22"/>
      <c r="J10" s="22"/>
      <c r="K10" s="22">
        <v>37</v>
      </c>
      <c r="L10" s="22">
        <v>0</v>
      </c>
      <c r="M10" s="93">
        <f t="shared" si="1"/>
        <v>37</v>
      </c>
      <c r="N10" s="82" t="s">
        <v>57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2</v>
      </c>
      <c r="F11" s="22">
        <v>1</v>
      </c>
      <c r="G11" s="22">
        <v>2</v>
      </c>
      <c r="H11" s="22"/>
      <c r="I11" s="22"/>
      <c r="J11" s="22"/>
      <c r="K11" s="22">
        <v>13</v>
      </c>
      <c r="L11" s="22">
        <v>0</v>
      </c>
      <c r="M11" s="93">
        <f t="shared" si="1"/>
        <v>13</v>
      </c>
      <c r="N11" s="82" t="s">
        <v>13</v>
      </c>
      <c r="O11" s="82"/>
      <c r="P11" s="82"/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4</v>
      </c>
      <c r="E12" s="22">
        <v>2</v>
      </c>
      <c r="F12" s="22">
        <v>1</v>
      </c>
      <c r="G12" s="22">
        <v>3</v>
      </c>
      <c r="H12" s="22"/>
      <c r="I12" s="22"/>
      <c r="J12" s="22"/>
      <c r="K12" s="22">
        <v>4</v>
      </c>
      <c r="L12" s="22">
        <v>7</v>
      </c>
      <c r="M12" s="93">
        <f t="shared" si="1"/>
        <v>11</v>
      </c>
      <c r="N12" s="82"/>
      <c r="O12" s="82"/>
      <c r="P12" s="82"/>
      <c r="Q12" s="37" t="s">
        <v>13</v>
      </c>
    </row>
    <row r="13" spans="1:17" ht="31.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18</v>
      </c>
      <c r="E14" s="22">
        <v>22</v>
      </c>
      <c r="F14" s="22">
        <v>21</v>
      </c>
      <c r="G14" s="22">
        <v>28</v>
      </c>
      <c r="H14" s="22">
        <v>22</v>
      </c>
      <c r="I14" s="22">
        <v>21</v>
      </c>
      <c r="J14" s="22">
        <v>33</v>
      </c>
      <c r="K14" s="22">
        <v>85</v>
      </c>
      <c r="L14" s="22">
        <v>80</v>
      </c>
      <c r="M14" s="93">
        <f t="shared" si="1"/>
        <v>165</v>
      </c>
      <c r="N14" s="103" t="s">
        <v>57</v>
      </c>
      <c r="O14" s="101"/>
      <c r="P14" s="82"/>
      <c r="Q14" s="37"/>
    </row>
    <row r="15" spans="1:17" ht="19.5" customHeight="1" x14ac:dyDescent="0.25">
      <c r="A15" s="106" t="s">
        <v>36</v>
      </c>
      <c r="B15" s="21" t="s">
        <v>16</v>
      </c>
      <c r="C15" s="22"/>
      <c r="D15" s="22"/>
      <c r="E15" s="22">
        <v>5</v>
      </c>
      <c r="F15" s="22">
        <v>5</v>
      </c>
      <c r="G15" s="22">
        <v>5</v>
      </c>
      <c r="H15" s="22">
        <v>2</v>
      </c>
      <c r="I15" s="22">
        <v>3</v>
      </c>
      <c r="J15" s="22">
        <v>1</v>
      </c>
      <c r="K15" s="22">
        <v>21</v>
      </c>
      <c r="L15" s="22">
        <v>0</v>
      </c>
      <c r="M15" s="93">
        <f t="shared" si="1"/>
        <v>21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3</v>
      </c>
      <c r="F16" s="22">
        <v>5</v>
      </c>
      <c r="G16" s="22">
        <v>5</v>
      </c>
      <c r="H16" s="22">
        <v>10</v>
      </c>
      <c r="I16" s="22">
        <v>2</v>
      </c>
      <c r="J16" s="22">
        <v>6</v>
      </c>
      <c r="K16" s="22">
        <v>33</v>
      </c>
      <c r="L16" s="22">
        <v>0</v>
      </c>
      <c r="M16" s="93">
        <f t="shared" si="1"/>
        <v>33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3">
        <f t="shared" si="1"/>
        <v>0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408</v>
      </c>
      <c r="O18" s="252" t="s">
        <v>71</v>
      </c>
      <c r="P18" s="253"/>
      <c r="Q18" s="65" t="s">
        <v>13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69</v>
      </c>
      <c r="O19" s="69">
        <v>1746.64</v>
      </c>
      <c r="P19" s="46" t="s">
        <v>282</v>
      </c>
      <c r="Q19" s="65" t="s">
        <v>283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94</v>
      </c>
      <c r="O20" s="77" t="s">
        <v>65</v>
      </c>
      <c r="P20" s="75">
        <v>80</v>
      </c>
      <c r="Q20" s="65">
        <v>5520.4</v>
      </c>
    </row>
    <row r="21" spans="1:20" ht="25.5" customHeight="1" x14ac:dyDescent="0.25">
      <c r="A21" s="16" t="s">
        <v>46</v>
      </c>
      <c r="B21" s="66">
        <v>206.26041666666666</v>
      </c>
      <c r="C21" s="66">
        <v>206.48958333333334</v>
      </c>
      <c r="D21" s="66">
        <f t="shared" ref="D21:D23" si="2">C21-B21</f>
        <v>0.22916666666668561</v>
      </c>
      <c r="E21" s="66">
        <v>206.64930555555554</v>
      </c>
      <c r="F21" s="66">
        <v>206.875</v>
      </c>
      <c r="G21" s="66">
        <f>F21-E21</f>
        <v>0.22569444444445708</v>
      </c>
      <c r="H21" s="66">
        <v>206.97916666666666</v>
      </c>
      <c r="I21" s="66">
        <v>207.20833333333334</v>
      </c>
      <c r="J21" s="71">
        <f>I21-H21-K21</f>
        <v>0.22916666666668561</v>
      </c>
      <c r="K21" s="66"/>
      <c r="L21" s="73">
        <f>D21+G21+J21</f>
        <v>0.68402777777782831</v>
      </c>
      <c r="M21" s="155" t="s">
        <v>47</v>
      </c>
      <c r="N21" s="65">
        <f>M17+M12+M7</f>
        <v>27</v>
      </c>
      <c r="O21" s="78" t="s">
        <v>69</v>
      </c>
      <c r="P21" s="75">
        <v>358</v>
      </c>
      <c r="Q21" s="65">
        <v>8913.48</v>
      </c>
    </row>
    <row r="22" spans="1:20" ht="27" customHeight="1" x14ac:dyDescent="0.25">
      <c r="A22" s="16" t="s">
        <v>48</v>
      </c>
      <c r="B22" s="66">
        <v>206.27083333333334</v>
      </c>
      <c r="C22" s="66">
        <v>206.49305555555554</v>
      </c>
      <c r="D22" s="66">
        <f t="shared" si="2"/>
        <v>0.22222222222220012</v>
      </c>
      <c r="E22" s="66">
        <v>206.58680555555554</v>
      </c>
      <c r="F22" s="66">
        <v>206.875</v>
      </c>
      <c r="G22" s="66">
        <f t="shared" ref="G22:G23" si="3">F22-E22</f>
        <v>0.28819444444445708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0.80555555555554292</v>
      </c>
      <c r="M22" s="49" t="s">
        <v>49</v>
      </c>
      <c r="N22" s="65">
        <v>27246</v>
      </c>
      <c r="O22" s="80" t="s">
        <v>66</v>
      </c>
      <c r="P22" s="75">
        <v>156</v>
      </c>
      <c r="Q22" s="65">
        <v>3791.36</v>
      </c>
    </row>
    <row r="23" spans="1:20" ht="27" customHeight="1" x14ac:dyDescent="0.25">
      <c r="A23" s="158" t="s">
        <v>50</v>
      </c>
      <c r="B23" s="66">
        <v>206.25</v>
      </c>
      <c r="C23" s="66">
        <v>206.54166666666666</v>
      </c>
      <c r="D23" s="66">
        <f t="shared" si="2"/>
        <v>0.29166666666665719</v>
      </c>
      <c r="E23" s="66">
        <v>206.58333333333334</v>
      </c>
      <c r="F23" s="66">
        <v>206.875</v>
      </c>
      <c r="G23" s="66">
        <f t="shared" si="3"/>
        <v>0.29166666666665719</v>
      </c>
      <c r="H23" s="66">
        <v>206.91319444444446</v>
      </c>
      <c r="I23" s="66">
        <v>207.20833333333334</v>
      </c>
      <c r="J23" s="71">
        <f>I23-H23-K23</f>
        <v>0.29513888888888573</v>
      </c>
      <c r="K23" s="156"/>
      <c r="L23" s="157">
        <f>D23+G23+J23</f>
        <v>0.87847222222220012</v>
      </c>
      <c r="M23" s="155" t="s">
        <v>64</v>
      </c>
      <c r="N23" s="85">
        <v>7</v>
      </c>
      <c r="O23" s="86" t="s">
        <v>67</v>
      </c>
      <c r="P23" s="76">
        <v>279</v>
      </c>
      <c r="Q23" s="65">
        <v>8432.9699999999993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0.74305555555554292</v>
      </c>
      <c r="E24" s="68"/>
      <c r="F24" s="68"/>
      <c r="G24" s="66">
        <f>SUM(G21:G23)</f>
        <v>0.80555555555557135</v>
      </c>
      <c r="H24" s="68"/>
      <c r="I24" s="68"/>
      <c r="J24" s="71">
        <f>SUM(J21:J23)</f>
        <v>0.81944444444445708</v>
      </c>
      <c r="K24" s="75"/>
      <c r="L24" s="83">
        <f>SUM(L21:L23)</f>
        <v>2.3680555555555713</v>
      </c>
      <c r="M24" s="65" t="s">
        <v>79</v>
      </c>
      <c r="N24" s="65">
        <v>26154.9</v>
      </c>
      <c r="P24" s="79" t="s">
        <v>68</v>
      </c>
      <c r="Q24" s="43">
        <v>45309.66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N24+Sheet25!O25</f>
        <v>693801.77500000002</v>
      </c>
      <c r="P25" s="155" t="s">
        <v>78</v>
      </c>
      <c r="Q25" s="87">
        <v>50830.6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Q24+Sheet25!Q26</f>
        <v>1150025.3600000001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56.5</v>
      </c>
      <c r="M27" s="55"/>
      <c r="N27" s="88">
        <f>N22/L27</f>
        <v>482.23008849557522</v>
      </c>
      <c r="O27" s="81" t="s">
        <v>74</v>
      </c>
      <c r="P27" s="69"/>
      <c r="Q27" s="65" t="s">
        <v>285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2" workbookViewId="0">
      <selection activeCell="O12" sqref="O1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284</v>
      </c>
    </row>
    <row r="3" spans="1:17" ht="31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23</v>
      </c>
      <c r="E4" s="22">
        <v>27</v>
      </c>
      <c r="F4" s="22">
        <v>33</v>
      </c>
      <c r="G4" s="22">
        <v>14</v>
      </c>
      <c r="H4" s="22">
        <v>11</v>
      </c>
      <c r="I4" s="22">
        <v>25</v>
      </c>
      <c r="J4" s="22">
        <v>18</v>
      </c>
      <c r="K4" s="22">
        <v>90</v>
      </c>
      <c r="L4" s="22">
        <v>61</v>
      </c>
      <c r="M4" s="93">
        <f>K4+L4</f>
        <v>151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2</v>
      </c>
      <c r="F5" s="22">
        <v>2</v>
      </c>
      <c r="G5" s="22"/>
      <c r="H5" s="22"/>
      <c r="I5" s="22">
        <v>2</v>
      </c>
      <c r="J5" s="22"/>
      <c r="K5" s="22">
        <v>6</v>
      </c>
      <c r="L5" s="22">
        <v>0</v>
      </c>
      <c r="M5" s="93">
        <f t="shared" ref="M5:M7" si="0">K5+L5</f>
        <v>6</v>
      </c>
      <c r="N5" s="104" t="s">
        <v>170</v>
      </c>
      <c r="O5" s="66">
        <v>206.40625</v>
      </c>
      <c r="P5" s="66">
        <v>206.54166666666666</v>
      </c>
      <c r="Q5" s="33" t="s">
        <v>287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3</v>
      </c>
      <c r="F6" s="22">
        <v>7</v>
      </c>
      <c r="G6" s="22">
        <v>2</v>
      </c>
      <c r="H6" s="22">
        <v>3</v>
      </c>
      <c r="I6" s="22">
        <v>4</v>
      </c>
      <c r="J6" s="22">
        <v>3</v>
      </c>
      <c r="K6" s="22">
        <v>22</v>
      </c>
      <c r="L6" s="22">
        <v>5</v>
      </c>
      <c r="M6" s="93">
        <v>27</v>
      </c>
      <c r="N6" s="104" t="s">
        <v>57</v>
      </c>
      <c r="O6" s="96"/>
      <c r="P6" s="65"/>
      <c r="Q6" s="256" t="s">
        <v>288</v>
      </c>
    </row>
    <row r="7" spans="1:17" ht="15" customHeight="1" x14ac:dyDescent="0.25">
      <c r="A7" s="25"/>
      <c r="B7" s="21" t="s">
        <v>19</v>
      </c>
      <c r="C7" s="22"/>
      <c r="D7" s="22">
        <v>2</v>
      </c>
      <c r="E7" s="22">
        <v>5</v>
      </c>
      <c r="F7" s="22">
        <v>4</v>
      </c>
      <c r="G7" s="22">
        <v>3</v>
      </c>
      <c r="H7" s="22">
        <v>3</v>
      </c>
      <c r="I7" s="22">
        <v>2</v>
      </c>
      <c r="J7" s="22">
        <v>2</v>
      </c>
      <c r="K7" s="22">
        <v>18</v>
      </c>
      <c r="L7" s="22">
        <v>3</v>
      </c>
      <c r="M7" s="93">
        <f t="shared" si="0"/>
        <v>21</v>
      </c>
      <c r="N7" s="104"/>
      <c r="O7" s="97"/>
      <c r="P7" s="65"/>
      <c r="Q7" s="257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 t="s">
        <v>13</v>
      </c>
    </row>
    <row r="9" spans="1:17" ht="15" customHeight="1" x14ac:dyDescent="0.25">
      <c r="A9" s="33"/>
      <c r="B9" s="34" t="s">
        <v>14</v>
      </c>
      <c r="C9" s="22"/>
      <c r="D9" s="22"/>
      <c r="E9" s="22">
        <v>44</v>
      </c>
      <c r="F9" s="22">
        <v>22</v>
      </c>
      <c r="G9" s="22">
        <v>21</v>
      </c>
      <c r="H9" s="22"/>
      <c r="I9" s="22"/>
      <c r="J9" s="22"/>
      <c r="K9" s="22">
        <v>120</v>
      </c>
      <c r="L9" s="22">
        <v>35</v>
      </c>
      <c r="M9" s="93">
        <v>155</v>
      </c>
      <c r="N9" s="82" t="s">
        <v>170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>
        <v>10</v>
      </c>
      <c r="F10" s="22">
        <v>6</v>
      </c>
      <c r="G10" s="22">
        <v>3</v>
      </c>
      <c r="H10" s="22"/>
      <c r="I10" s="22"/>
      <c r="J10" s="22"/>
      <c r="K10" s="22">
        <v>19</v>
      </c>
      <c r="L10" s="22">
        <v>0</v>
      </c>
      <c r="M10" s="93">
        <f t="shared" ref="M10:M12" si="1">K10+L10</f>
        <v>19</v>
      </c>
      <c r="N10" s="82" t="s">
        <v>57</v>
      </c>
      <c r="O10" s="250" t="s">
        <v>169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3">
        <f t="shared" si="1"/>
        <v>0</v>
      </c>
      <c r="N11" s="82" t="s">
        <v>13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3</v>
      </c>
      <c r="F12" s="22">
        <v>4</v>
      </c>
      <c r="G12" s="22"/>
      <c r="H12" s="22"/>
      <c r="I12" s="22"/>
      <c r="J12" s="22"/>
      <c r="K12" s="22">
        <v>11</v>
      </c>
      <c r="L12" s="22">
        <v>4</v>
      </c>
      <c r="M12" s="93">
        <f t="shared" si="1"/>
        <v>15</v>
      </c>
      <c r="N12" s="82"/>
      <c r="O12" s="82"/>
      <c r="P12" s="82"/>
      <c r="Q12" s="37"/>
    </row>
    <row r="13" spans="1:17" ht="34.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28</v>
      </c>
      <c r="E14" s="22">
        <v>26</v>
      </c>
      <c r="F14" s="22">
        <v>30</v>
      </c>
      <c r="G14" s="22">
        <v>27</v>
      </c>
      <c r="H14" s="22">
        <v>28</v>
      </c>
      <c r="I14" s="22">
        <v>28</v>
      </c>
      <c r="J14" s="22">
        <v>29</v>
      </c>
      <c r="K14" s="22">
        <v>126</v>
      </c>
      <c r="L14" s="22">
        <v>70</v>
      </c>
      <c r="M14" s="93">
        <f t="shared" ref="M14:M17" si="2">K14+L14</f>
        <v>196</v>
      </c>
      <c r="N14" s="103" t="s">
        <v>57</v>
      </c>
      <c r="O14" s="101"/>
      <c r="P14" s="82"/>
      <c r="Q14" s="37"/>
    </row>
    <row r="15" spans="1:17" ht="16.5" customHeight="1" x14ac:dyDescent="0.25">
      <c r="A15" s="106" t="s">
        <v>36</v>
      </c>
      <c r="B15" s="21" t="s">
        <v>16</v>
      </c>
      <c r="C15" s="22"/>
      <c r="D15" s="22">
        <v>5</v>
      </c>
      <c r="E15" s="22">
        <v>5</v>
      </c>
      <c r="F15" s="22">
        <v>5</v>
      </c>
      <c r="G15" s="22">
        <v>4</v>
      </c>
      <c r="H15" s="22">
        <v>3</v>
      </c>
      <c r="I15" s="22"/>
      <c r="J15" s="22"/>
      <c r="K15" s="22">
        <v>21</v>
      </c>
      <c r="L15" s="22">
        <v>0</v>
      </c>
      <c r="M15" s="93">
        <f t="shared" si="2"/>
        <v>21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5</v>
      </c>
      <c r="E16" s="22">
        <v>6</v>
      </c>
      <c r="F16" s="22">
        <v>5</v>
      </c>
      <c r="G16" s="22">
        <v>4</v>
      </c>
      <c r="H16" s="22"/>
      <c r="I16" s="22"/>
      <c r="J16" s="22"/>
      <c r="K16" s="22">
        <v>18</v>
      </c>
      <c r="L16" s="22">
        <v>2</v>
      </c>
      <c r="M16" s="93">
        <f t="shared" si="2"/>
        <v>20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>
        <v>2</v>
      </c>
      <c r="I17" s="22"/>
      <c r="J17" s="22"/>
      <c r="K17" s="22">
        <v>2</v>
      </c>
      <c r="L17" s="22">
        <v>0</v>
      </c>
      <c r="M17" s="93">
        <f t="shared" si="2"/>
        <v>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502</v>
      </c>
      <c r="O18" s="252" t="s">
        <v>71</v>
      </c>
      <c r="P18" s="253"/>
      <c r="Q18" s="65" t="s">
        <v>13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46</v>
      </c>
      <c r="O19" s="69">
        <v>1358.76</v>
      </c>
      <c r="P19" s="46" t="s">
        <v>175</v>
      </c>
      <c r="Q19" s="65" t="s">
        <v>286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47</v>
      </c>
      <c r="O20" s="77" t="s">
        <v>65</v>
      </c>
      <c r="P20" s="75">
        <v>76</v>
      </c>
      <c r="Q20" s="65">
        <v>4846.04</v>
      </c>
    </row>
    <row r="21" spans="1:20" ht="25.5" customHeight="1" x14ac:dyDescent="0.25">
      <c r="A21" s="16" t="s">
        <v>46</v>
      </c>
      <c r="B21" s="66">
        <v>206.24652777777777</v>
      </c>
      <c r="C21" s="66">
        <v>206.54166666666666</v>
      </c>
      <c r="D21" s="66">
        <f t="shared" ref="D21" si="3">C21-B21</f>
        <v>0.29513888888888573</v>
      </c>
      <c r="E21" s="66">
        <v>206.60416666666666</v>
      </c>
      <c r="F21" s="66">
        <v>206.875</v>
      </c>
      <c r="G21" s="66">
        <f>F21-E21</f>
        <v>0.27083333333334281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0.86458333333334281</v>
      </c>
      <c r="M21" s="155" t="s">
        <v>47</v>
      </c>
      <c r="N21" s="65">
        <f>M17+M12+M7</f>
        <v>38</v>
      </c>
      <c r="O21" s="78" t="s">
        <v>69</v>
      </c>
      <c r="P21" s="75">
        <v>315</v>
      </c>
      <c r="Q21" s="65">
        <v>8013.7</v>
      </c>
    </row>
    <row r="22" spans="1:20" ht="27" customHeight="1" x14ac:dyDescent="0.25">
      <c r="A22" s="16" t="s">
        <v>48</v>
      </c>
      <c r="B22" s="66">
        <v>206.24652777777777</v>
      </c>
      <c r="C22" s="66">
        <v>206.40625</v>
      </c>
      <c r="D22" s="66">
        <f t="shared" ref="D22:D23" si="4">C22-B22</f>
        <v>0.15972222222222854</v>
      </c>
      <c r="E22" s="66">
        <v>206.59722222222223</v>
      </c>
      <c r="F22" s="66">
        <v>206.875</v>
      </c>
      <c r="G22" s="66">
        <f t="shared" ref="G22:G23" si="5">F22-E22</f>
        <v>0.27777777777777146</v>
      </c>
      <c r="H22" s="66">
        <v>206.90625</v>
      </c>
      <c r="I22" s="66">
        <v>207.20833333333334</v>
      </c>
      <c r="J22" s="71">
        <f>I22-H22-K22</f>
        <v>0.30208333333334281</v>
      </c>
      <c r="K22" s="75"/>
      <c r="L22" s="73">
        <f>D22+G22+J22</f>
        <v>0.73958333333334281</v>
      </c>
      <c r="M22" s="49" t="s">
        <v>49</v>
      </c>
      <c r="N22" s="65">
        <v>27108.76</v>
      </c>
      <c r="O22" s="80" t="s">
        <v>66</v>
      </c>
      <c r="P22" s="75">
        <v>140</v>
      </c>
      <c r="Q22" s="65">
        <v>3437.82</v>
      </c>
    </row>
    <row r="23" spans="1:20" ht="27" customHeight="1" x14ac:dyDescent="0.25">
      <c r="A23" s="158" t="s">
        <v>50</v>
      </c>
      <c r="B23" s="66">
        <v>206.25</v>
      </c>
      <c r="C23" s="66">
        <v>206.54166666666666</v>
      </c>
      <c r="D23" s="66">
        <f t="shared" si="4"/>
        <v>0.29166666666665719</v>
      </c>
      <c r="E23" s="66">
        <v>206.58680555555554</v>
      </c>
      <c r="F23" s="66">
        <v>206.875</v>
      </c>
      <c r="G23" s="66">
        <f t="shared" si="5"/>
        <v>0.28819444444445708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0.87152777777779988</v>
      </c>
      <c r="M23" s="155" t="s">
        <v>64</v>
      </c>
      <c r="N23" s="85">
        <v>7</v>
      </c>
      <c r="O23" s="86" t="s">
        <v>67</v>
      </c>
      <c r="P23" s="76">
        <v>280</v>
      </c>
      <c r="Q23" s="65">
        <v>8434.66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0.74652777777777146</v>
      </c>
      <c r="E24" s="68"/>
      <c r="F24" s="68"/>
      <c r="G24" s="66">
        <f>SUM(G21:G23)</f>
        <v>0.83680555555557135</v>
      </c>
      <c r="H24" s="68"/>
      <c r="I24" s="68"/>
      <c r="J24" s="71">
        <f>SUM(J21:J23)</f>
        <v>0.89236111111114269</v>
      </c>
      <c r="K24" s="75"/>
      <c r="L24" s="83">
        <f>SUM(L21:L23)</f>
        <v>2.4756944444444855</v>
      </c>
      <c r="M24" s="65" t="s">
        <v>79</v>
      </c>
      <c r="N24" s="65">
        <v>26491.01</v>
      </c>
      <c r="P24" s="79" t="s">
        <v>68</v>
      </c>
      <c r="Q24" s="43">
        <v>45086.13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N24+Sheet26!O25</f>
        <v>720292.78500000003</v>
      </c>
      <c r="P25" s="155" t="s">
        <v>78</v>
      </c>
      <c r="Q25" s="87">
        <v>49972.17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43000</v>
      </c>
      <c r="P26" s="51" t="s">
        <v>91</v>
      </c>
      <c r="Q26" s="69">
        <f>Q24+Sheet26!Q26</f>
        <v>1195111.49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59.25</v>
      </c>
      <c r="M27" s="55"/>
      <c r="N27" s="88">
        <f>N22/L27</f>
        <v>457.53181434599151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C23" sqref="C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855468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299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22</v>
      </c>
      <c r="E4" s="22">
        <v>27</v>
      </c>
      <c r="F4" s="22">
        <v>30</v>
      </c>
      <c r="G4" s="22">
        <v>10</v>
      </c>
      <c r="H4" s="22">
        <v>12</v>
      </c>
      <c r="I4" s="22">
        <v>20</v>
      </c>
      <c r="J4" s="22">
        <v>15</v>
      </c>
      <c r="K4" s="22">
        <v>85</v>
      </c>
      <c r="L4" s="22">
        <v>51</v>
      </c>
      <c r="M4" s="93">
        <f>K4+L4</f>
        <v>136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2</v>
      </c>
      <c r="F5" s="22">
        <v>2</v>
      </c>
      <c r="G5" s="22"/>
      <c r="H5" s="22">
        <v>4</v>
      </c>
      <c r="I5" s="22">
        <v>2</v>
      </c>
      <c r="J5" s="22">
        <v>4</v>
      </c>
      <c r="K5" s="22">
        <v>7</v>
      </c>
      <c r="L5" s="22">
        <v>7</v>
      </c>
      <c r="M5" s="93">
        <f t="shared" ref="M5:M7" si="0">K5+L5</f>
        <v>14</v>
      </c>
      <c r="N5" s="104" t="s">
        <v>131</v>
      </c>
      <c r="O5" s="66" t="s">
        <v>13</v>
      </c>
      <c r="P5" s="66" t="s">
        <v>13</v>
      </c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8</v>
      </c>
      <c r="F6" s="22">
        <v>10</v>
      </c>
      <c r="G6" s="22">
        <v>3</v>
      </c>
      <c r="H6" s="22">
        <v>9</v>
      </c>
      <c r="I6" s="22">
        <v>8</v>
      </c>
      <c r="J6" s="22">
        <v>4</v>
      </c>
      <c r="K6" s="22">
        <v>23</v>
      </c>
      <c r="L6" s="22">
        <v>25</v>
      </c>
      <c r="M6" s="93">
        <f t="shared" si="0"/>
        <v>48</v>
      </c>
      <c r="N6" s="104" t="s">
        <v>57</v>
      </c>
      <c r="O6" s="96"/>
      <c r="P6" s="65"/>
      <c r="Q6" s="256" t="s">
        <v>13</v>
      </c>
    </row>
    <row r="7" spans="1:17" ht="15" customHeight="1" x14ac:dyDescent="0.25">
      <c r="A7" s="25"/>
      <c r="B7" s="21" t="s">
        <v>19</v>
      </c>
      <c r="C7" s="22"/>
      <c r="D7" s="22">
        <v>2</v>
      </c>
      <c r="E7" s="22">
        <v>4</v>
      </c>
      <c r="F7" s="22">
        <v>3</v>
      </c>
      <c r="G7" s="22">
        <v>1</v>
      </c>
      <c r="H7" s="22">
        <v>2</v>
      </c>
      <c r="I7" s="22">
        <v>7</v>
      </c>
      <c r="J7" s="22">
        <v>3</v>
      </c>
      <c r="K7" s="22">
        <v>21</v>
      </c>
      <c r="L7" s="22">
        <v>0</v>
      </c>
      <c r="M7" s="93">
        <f t="shared" si="0"/>
        <v>21</v>
      </c>
      <c r="N7" s="104"/>
      <c r="O7" s="97"/>
      <c r="P7" s="65"/>
      <c r="Q7" s="257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179" t="s">
        <v>13</v>
      </c>
    </row>
    <row r="9" spans="1:17" ht="14.25" customHeight="1" x14ac:dyDescent="0.25">
      <c r="A9" s="33"/>
      <c r="B9" s="34" t="s">
        <v>14</v>
      </c>
      <c r="C9" s="22"/>
      <c r="D9" s="22"/>
      <c r="E9" s="22">
        <v>36</v>
      </c>
      <c r="F9" s="22">
        <v>15</v>
      </c>
      <c r="G9" s="22">
        <v>12</v>
      </c>
      <c r="H9" s="22">
        <v>26</v>
      </c>
      <c r="I9" s="22">
        <v>30</v>
      </c>
      <c r="J9" s="22">
        <v>24</v>
      </c>
      <c r="K9" s="22">
        <v>101</v>
      </c>
      <c r="L9" s="22">
        <v>42</v>
      </c>
      <c r="M9" s="93">
        <f t="shared" ref="M9" si="1">K9+L9</f>
        <v>143</v>
      </c>
      <c r="N9" s="82" t="s">
        <v>131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>
        <v>5</v>
      </c>
      <c r="F10" s="22"/>
      <c r="G10" s="22">
        <v>13</v>
      </c>
      <c r="H10" s="22">
        <v>2</v>
      </c>
      <c r="I10" s="22">
        <v>4</v>
      </c>
      <c r="J10" s="22"/>
      <c r="K10" s="22">
        <v>10</v>
      </c>
      <c r="L10" s="22">
        <v>14</v>
      </c>
      <c r="M10" s="93">
        <f t="shared" ref="M10:M12" si="2">K10+L10</f>
        <v>24</v>
      </c>
      <c r="N10" s="82" t="s">
        <v>57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>
        <v>1</v>
      </c>
      <c r="F11" s="22"/>
      <c r="G11" s="22"/>
      <c r="H11" s="22">
        <v>9</v>
      </c>
      <c r="I11" s="22">
        <v>6</v>
      </c>
      <c r="J11" s="22">
        <v>4</v>
      </c>
      <c r="K11" s="22">
        <v>20</v>
      </c>
      <c r="L11" s="22">
        <v>0</v>
      </c>
      <c r="M11" s="93">
        <f t="shared" si="2"/>
        <v>20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13</v>
      </c>
      <c r="F12" s="22">
        <v>4</v>
      </c>
      <c r="G12" s="22"/>
      <c r="H12" s="22">
        <v>1</v>
      </c>
      <c r="I12" s="22"/>
      <c r="J12" s="22"/>
      <c r="K12" s="22">
        <v>18</v>
      </c>
      <c r="L12" s="22">
        <v>0</v>
      </c>
      <c r="M12" s="93">
        <f t="shared" si="2"/>
        <v>18</v>
      </c>
      <c r="N12" s="82"/>
      <c r="O12" s="82"/>
      <c r="P12" s="82"/>
      <c r="Q12" s="37"/>
    </row>
    <row r="13" spans="1:17" ht="36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 t="s">
        <v>13</v>
      </c>
    </row>
    <row r="14" spans="1:17" ht="15" x14ac:dyDescent="0.25">
      <c r="A14" s="33"/>
      <c r="B14" s="21" t="s">
        <v>14</v>
      </c>
      <c r="C14" s="22"/>
      <c r="D14" s="22">
        <v>28</v>
      </c>
      <c r="E14" s="22">
        <v>38</v>
      </c>
      <c r="F14" s="22">
        <v>28</v>
      </c>
      <c r="G14" s="22">
        <v>32</v>
      </c>
      <c r="H14" s="22">
        <v>28</v>
      </c>
      <c r="I14" s="22">
        <v>38</v>
      </c>
      <c r="J14" s="22">
        <v>38</v>
      </c>
      <c r="K14" s="22">
        <v>135</v>
      </c>
      <c r="L14" s="22">
        <v>95</v>
      </c>
      <c r="M14" s="93">
        <v>230</v>
      </c>
      <c r="N14" s="103" t="s">
        <v>131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>
        <v>4</v>
      </c>
      <c r="F15" s="22">
        <v>5</v>
      </c>
      <c r="G15" s="22">
        <v>2</v>
      </c>
      <c r="H15" s="22">
        <v>7</v>
      </c>
      <c r="I15" s="22">
        <v>7</v>
      </c>
      <c r="J15" s="22"/>
      <c r="K15" s="22">
        <v>25</v>
      </c>
      <c r="L15" s="22">
        <v>0</v>
      </c>
      <c r="M15" s="93">
        <f t="shared" ref="M15:M17" si="3">K15+L15</f>
        <v>25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3</v>
      </c>
      <c r="F16" s="22">
        <v>4</v>
      </c>
      <c r="G16" s="22">
        <v>2</v>
      </c>
      <c r="H16" s="22">
        <v>2</v>
      </c>
      <c r="I16" s="22">
        <v>1</v>
      </c>
      <c r="J16" s="22">
        <v>1</v>
      </c>
      <c r="K16" s="22">
        <v>10</v>
      </c>
      <c r="L16" s="22">
        <v>5</v>
      </c>
      <c r="M16" s="93">
        <f t="shared" si="3"/>
        <v>15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6</v>
      </c>
      <c r="F17" s="22">
        <v>5</v>
      </c>
      <c r="G17" s="22">
        <v>5</v>
      </c>
      <c r="H17" s="22">
        <v>5</v>
      </c>
      <c r="I17" s="22">
        <v>1</v>
      </c>
      <c r="J17" s="22">
        <v>1</v>
      </c>
      <c r="K17" s="22">
        <v>9</v>
      </c>
      <c r="L17" s="22">
        <v>18</v>
      </c>
      <c r="M17" s="93">
        <f t="shared" si="3"/>
        <v>27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509</v>
      </c>
      <c r="O18" s="252" t="s">
        <v>71</v>
      </c>
      <c r="P18" s="253"/>
      <c r="Q18" s="65" t="s">
        <v>13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63</v>
      </c>
      <c r="O19" s="69">
        <v>1910.51</v>
      </c>
      <c r="P19" s="46" t="s">
        <v>259</v>
      </c>
      <c r="Q19" s="65" t="s">
        <v>300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83</v>
      </c>
      <c r="O20" s="77" t="s">
        <v>65</v>
      </c>
      <c r="P20" s="75">
        <v>72</v>
      </c>
      <c r="Q20" s="65">
        <v>4925.4799999999996</v>
      </c>
    </row>
    <row r="21" spans="1:20" ht="25.5" customHeight="1" x14ac:dyDescent="0.25">
      <c r="A21" s="16" t="s">
        <v>46</v>
      </c>
      <c r="B21" s="66">
        <v>206.26736111111111</v>
      </c>
      <c r="C21" s="66">
        <v>206.39583333333334</v>
      </c>
      <c r="D21" s="66">
        <f t="shared" ref="D21:D23" si="4">C21-B21</f>
        <v>0.12847222222222854</v>
      </c>
      <c r="E21" s="66">
        <v>206.72916666666666</v>
      </c>
      <c r="F21" s="66">
        <v>206.875</v>
      </c>
      <c r="G21" s="66">
        <f>F21-E21</f>
        <v>0.14583333333334281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0.56597222222225696</v>
      </c>
      <c r="M21" s="155" t="s">
        <v>47</v>
      </c>
      <c r="N21" s="65">
        <f>M17+M12+M7</f>
        <v>66</v>
      </c>
      <c r="O21" s="78" t="s">
        <v>69</v>
      </c>
      <c r="P21" s="75">
        <v>275</v>
      </c>
      <c r="Q21" s="65">
        <v>6927.78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4"/>
        <v>0.29166666666665719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0.88194444444442865</v>
      </c>
      <c r="M22" s="49" t="s">
        <v>49</v>
      </c>
      <c r="N22" s="65">
        <v>31510.51</v>
      </c>
      <c r="O22" s="80" t="s">
        <v>66</v>
      </c>
      <c r="P22" s="75">
        <v>135</v>
      </c>
      <c r="Q22" s="65">
        <v>3537.8</v>
      </c>
    </row>
    <row r="23" spans="1:20" ht="27" customHeight="1" x14ac:dyDescent="0.25">
      <c r="A23" s="158" t="s">
        <v>50</v>
      </c>
      <c r="B23" s="66">
        <v>206.27430555555554</v>
      </c>
      <c r="C23" s="66">
        <v>206.54166666666666</v>
      </c>
      <c r="D23" s="66">
        <f t="shared" si="4"/>
        <v>0.26736111111111427</v>
      </c>
      <c r="E23" s="66">
        <v>206.625</v>
      </c>
      <c r="F23" s="66">
        <v>206.875</v>
      </c>
      <c r="G23" s="66">
        <f t="shared" si="5"/>
        <v>0.25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0.80902777777779988</v>
      </c>
      <c r="M23" s="155" t="s">
        <v>64</v>
      </c>
      <c r="N23" s="85">
        <v>7</v>
      </c>
      <c r="O23" s="86" t="s">
        <v>67</v>
      </c>
      <c r="P23" s="76">
        <v>243</v>
      </c>
      <c r="Q23" s="65">
        <v>7415.12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0.6875</v>
      </c>
      <c r="E24" s="68"/>
      <c r="F24" s="68"/>
      <c r="G24" s="66">
        <f>SUM(G21:G23)</f>
        <v>0.6875</v>
      </c>
      <c r="H24" s="68"/>
      <c r="I24" s="68"/>
      <c r="J24" s="71">
        <f>SUM(J21:J23)</f>
        <v>0.8819444444444855</v>
      </c>
      <c r="K24" s="75"/>
      <c r="L24" s="83">
        <f>SUM(L21:L23)</f>
        <v>2.2569444444444855</v>
      </c>
      <c r="M24" s="65" t="s">
        <v>79</v>
      </c>
      <c r="N24" s="65">
        <v>26524.799999999999</v>
      </c>
      <c r="P24" s="79" t="s">
        <v>68</v>
      </c>
      <c r="Q24" s="43">
        <v>45085.440000000002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N24+Sheet27!O25</f>
        <v>746817.58500000008</v>
      </c>
      <c r="P25" s="155" t="s">
        <v>78</v>
      </c>
      <c r="Q25" s="87">
        <v>50010.92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43000</v>
      </c>
      <c r="P26" s="51" t="s">
        <v>91</v>
      </c>
      <c r="Q26" s="69">
        <f>Q24+Sheet27!Q26</f>
        <v>1240196.93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54.1</v>
      </c>
      <c r="M27" s="55"/>
      <c r="N27" s="88">
        <f>N22/L27</f>
        <v>582.44935304990759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I23" sqref="I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301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18</v>
      </c>
      <c r="E4" s="22">
        <v>20</v>
      </c>
      <c r="F4" s="22">
        <v>22</v>
      </c>
      <c r="G4" s="22">
        <v>8</v>
      </c>
      <c r="H4" s="22">
        <v>7</v>
      </c>
      <c r="I4" s="22">
        <v>20</v>
      </c>
      <c r="J4" s="22">
        <v>10</v>
      </c>
      <c r="K4" s="22">
        <v>91</v>
      </c>
      <c r="L4" s="22">
        <v>14</v>
      </c>
      <c r="M4" s="93">
        <f>K4+L4</f>
        <v>105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>
        <v>1</v>
      </c>
      <c r="E5" s="22">
        <v>4</v>
      </c>
      <c r="F5" s="22">
        <v>2</v>
      </c>
      <c r="G5" s="22"/>
      <c r="H5" s="22">
        <v>2</v>
      </c>
      <c r="I5" s="22">
        <v>3</v>
      </c>
      <c r="J5" s="22">
        <v>2</v>
      </c>
      <c r="K5" s="22">
        <v>18</v>
      </c>
      <c r="L5" s="22">
        <v>0</v>
      </c>
      <c r="M5" s="93">
        <f t="shared" ref="M5:M7" si="0">K5+L5</f>
        <v>18</v>
      </c>
      <c r="N5" s="190" t="s">
        <v>302</v>
      </c>
      <c r="O5" s="66">
        <v>206.41666666666666</v>
      </c>
      <c r="P5" s="66">
        <v>206.60416666666666</v>
      </c>
      <c r="Q5" s="66" t="s">
        <v>304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4</v>
      </c>
      <c r="E6" s="22">
        <v>9</v>
      </c>
      <c r="F6" s="22">
        <v>12</v>
      </c>
      <c r="G6" s="22">
        <v>5</v>
      </c>
      <c r="H6" s="22"/>
      <c r="I6" s="22">
        <v>3</v>
      </c>
      <c r="J6" s="22">
        <v>2</v>
      </c>
      <c r="K6" s="22">
        <v>15</v>
      </c>
      <c r="L6" s="22">
        <v>20</v>
      </c>
      <c r="M6" s="93">
        <f t="shared" si="0"/>
        <v>35</v>
      </c>
      <c r="N6" s="104" t="s">
        <v>131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2</v>
      </c>
      <c r="E7" s="22">
        <v>2</v>
      </c>
      <c r="F7" s="22">
        <v>3</v>
      </c>
      <c r="G7" s="22"/>
      <c r="H7" s="22">
        <v>4</v>
      </c>
      <c r="I7" s="22">
        <v>3</v>
      </c>
      <c r="J7" s="22">
        <v>3</v>
      </c>
      <c r="K7" s="22">
        <v>10</v>
      </c>
      <c r="L7" s="22">
        <v>7</v>
      </c>
      <c r="M7" s="93">
        <f t="shared" si="0"/>
        <v>17</v>
      </c>
      <c r="N7" s="104" t="s">
        <v>13</v>
      </c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15</v>
      </c>
      <c r="E9" s="22">
        <v>20</v>
      </c>
      <c r="F9" s="22">
        <v>19</v>
      </c>
      <c r="G9" s="22">
        <v>12</v>
      </c>
      <c r="H9" s="22">
        <v>8</v>
      </c>
      <c r="I9" s="22">
        <v>9</v>
      </c>
      <c r="J9" s="22">
        <v>8</v>
      </c>
      <c r="K9" s="22">
        <v>50</v>
      </c>
      <c r="L9" s="22">
        <v>41</v>
      </c>
      <c r="M9" s="93">
        <f t="shared" ref="M9:M12" si="1">K9+L9</f>
        <v>91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2</v>
      </c>
      <c r="F10" s="22">
        <v>2</v>
      </c>
      <c r="G10" s="22"/>
      <c r="H10" s="22"/>
      <c r="I10" s="22"/>
      <c r="J10" s="22"/>
      <c r="K10" s="22">
        <v>7</v>
      </c>
      <c r="L10" s="22">
        <v>0</v>
      </c>
      <c r="M10" s="93">
        <f t="shared" si="1"/>
        <v>7</v>
      </c>
      <c r="N10" s="82" t="s">
        <v>131</v>
      </c>
      <c r="O10" s="250" t="s">
        <v>176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4</v>
      </c>
      <c r="F11" s="22">
        <v>3</v>
      </c>
      <c r="G11" s="22">
        <v>5</v>
      </c>
      <c r="H11" s="22">
        <v>4</v>
      </c>
      <c r="I11" s="22">
        <v>5</v>
      </c>
      <c r="J11" s="22">
        <v>3</v>
      </c>
      <c r="K11" s="22">
        <v>27</v>
      </c>
      <c r="L11" s="22">
        <v>0</v>
      </c>
      <c r="M11" s="93">
        <f t="shared" si="1"/>
        <v>27</v>
      </c>
      <c r="N11" s="82" t="s">
        <v>13</v>
      </c>
      <c r="O11" s="66" t="s">
        <v>13</v>
      </c>
      <c r="P11" s="66" t="s">
        <v>13</v>
      </c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/>
      <c r="E12" s="22">
        <v>4</v>
      </c>
      <c r="F12" s="22">
        <v>7</v>
      </c>
      <c r="G12" s="22"/>
      <c r="H12" s="22"/>
      <c r="I12" s="22"/>
      <c r="J12" s="22"/>
      <c r="K12" s="22">
        <v>11</v>
      </c>
      <c r="L12" s="22">
        <v>0</v>
      </c>
      <c r="M12" s="93">
        <f t="shared" si="1"/>
        <v>11</v>
      </c>
      <c r="N12" s="82"/>
      <c r="O12" s="82"/>
      <c r="P12" s="82"/>
      <c r="Q12" s="37" t="s">
        <v>13</v>
      </c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18</v>
      </c>
      <c r="E14" s="22">
        <v>22</v>
      </c>
      <c r="F14" s="22">
        <v>30</v>
      </c>
      <c r="G14" s="22">
        <v>18</v>
      </c>
      <c r="H14" s="22">
        <v>25</v>
      </c>
      <c r="I14" s="22">
        <v>27</v>
      </c>
      <c r="J14" s="22">
        <v>10</v>
      </c>
      <c r="K14" s="22">
        <v>90</v>
      </c>
      <c r="L14" s="22">
        <v>60</v>
      </c>
      <c r="M14" s="93">
        <f t="shared" ref="M14:M17" si="2">K14+L14</f>
        <v>150</v>
      </c>
      <c r="N14" s="103" t="s">
        <v>57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3">
        <f t="shared" si="2"/>
        <v>0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5</v>
      </c>
      <c r="E16" s="22">
        <v>6</v>
      </c>
      <c r="F16" s="22">
        <v>4</v>
      </c>
      <c r="G16" s="22">
        <v>2</v>
      </c>
      <c r="H16" s="22">
        <v>3</v>
      </c>
      <c r="I16" s="22">
        <v>1</v>
      </c>
      <c r="J16" s="22"/>
      <c r="K16" s="22">
        <v>13</v>
      </c>
      <c r="L16" s="22">
        <v>8</v>
      </c>
      <c r="M16" s="93">
        <f t="shared" si="2"/>
        <v>21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>
        <v>1</v>
      </c>
      <c r="I17" s="22">
        <v>1</v>
      </c>
      <c r="J17" s="22"/>
      <c r="K17" s="22">
        <v>0</v>
      </c>
      <c r="L17" s="22">
        <v>2</v>
      </c>
      <c r="M17" s="93">
        <f t="shared" si="2"/>
        <v>2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346</v>
      </c>
      <c r="O18" s="252" t="s">
        <v>71</v>
      </c>
      <c r="P18" s="253"/>
      <c r="Q18" s="65" t="s">
        <v>70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25</v>
      </c>
      <c r="O19" s="69">
        <v>1089.52</v>
      </c>
      <c r="P19" s="46" t="s">
        <v>173</v>
      </c>
      <c r="Q19" s="65" t="s">
        <v>303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83</v>
      </c>
      <c r="O20" s="77" t="s">
        <v>65</v>
      </c>
      <c r="P20" s="75">
        <v>72</v>
      </c>
      <c r="Q20" s="65">
        <v>5050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" si="3">C21-B21</f>
        <v>0.29861111111111427</v>
      </c>
      <c r="E21" s="66">
        <v>206.58333333333334</v>
      </c>
      <c r="F21" s="66">
        <v>206.875</v>
      </c>
      <c r="G21" s="66">
        <f t="shared" ref="G21:G22" si="4">F21-E21</f>
        <v>0.29166666666665719</v>
      </c>
      <c r="H21" s="66">
        <v>206.90277777777777</v>
      </c>
      <c r="I21" s="66">
        <v>207.20833333333334</v>
      </c>
      <c r="J21" s="71">
        <f>I21-H21-K21</f>
        <v>0.30555555555557135</v>
      </c>
      <c r="K21" s="66"/>
      <c r="L21" s="73">
        <f>D21+G21+J21</f>
        <v>0.89583333333334281</v>
      </c>
      <c r="M21" s="155" t="s">
        <v>47</v>
      </c>
      <c r="N21" s="65">
        <f>M17+M12+M7</f>
        <v>30</v>
      </c>
      <c r="O21" s="78" t="s">
        <v>69</v>
      </c>
      <c r="P21" s="75">
        <v>224</v>
      </c>
      <c r="Q21" s="65">
        <v>5798.12</v>
      </c>
    </row>
    <row r="22" spans="1:20" ht="27" customHeight="1" x14ac:dyDescent="0.25">
      <c r="A22" s="16" t="s">
        <v>48</v>
      </c>
      <c r="B22" s="66">
        <v>206.25694444444446</v>
      </c>
      <c r="C22" s="66">
        <v>206.54166666666666</v>
      </c>
      <c r="D22" s="66">
        <f t="shared" ref="D22" si="5">C22-B22</f>
        <v>0.28472222222220012</v>
      </c>
      <c r="E22" s="66">
        <v>206.57986111111111</v>
      </c>
      <c r="F22" s="66">
        <v>206.875</v>
      </c>
      <c r="G22" s="66">
        <f t="shared" si="4"/>
        <v>0.29513888888888573</v>
      </c>
      <c r="H22" s="66">
        <v>206.90625</v>
      </c>
      <c r="I22" s="66">
        <v>207.20833333333334</v>
      </c>
      <c r="J22" s="71">
        <f>I22-H22-K22</f>
        <v>0.30208333333334281</v>
      </c>
      <c r="K22" s="75"/>
      <c r="L22" s="73">
        <f>D22+G22+J22</f>
        <v>0.88194444444442865</v>
      </c>
      <c r="M22" s="49" t="s">
        <v>49</v>
      </c>
      <c r="N22" s="65">
        <v>22639.52</v>
      </c>
      <c r="O22" s="80" t="s">
        <v>66</v>
      </c>
      <c r="P22" s="75">
        <v>95</v>
      </c>
      <c r="Q22" s="65">
        <v>2422.04</v>
      </c>
    </row>
    <row r="23" spans="1:20" ht="27" customHeight="1" x14ac:dyDescent="0.25">
      <c r="A23" s="158" t="s">
        <v>50</v>
      </c>
      <c r="B23" s="66">
        <v>206.25</v>
      </c>
      <c r="C23" s="66">
        <v>206.41666666666666</v>
      </c>
      <c r="D23" s="66">
        <f t="shared" ref="D23" si="6">C23-B23</f>
        <v>0.16666666666665719</v>
      </c>
      <c r="E23" s="66">
        <v>206.61458333333334</v>
      </c>
      <c r="F23" s="66">
        <v>206.875</v>
      </c>
      <c r="G23" s="66">
        <f t="shared" ref="G23" si="7">F23-E23</f>
        <v>0.26041666666665719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0.71875</v>
      </c>
      <c r="M23" s="155" t="s">
        <v>64</v>
      </c>
      <c r="N23" s="85">
        <v>7</v>
      </c>
      <c r="O23" s="86" t="s">
        <v>67</v>
      </c>
      <c r="P23" s="76">
        <v>278</v>
      </c>
      <c r="Q23" s="65">
        <v>8395.4699999999993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0.74999999999997158</v>
      </c>
      <c r="E24" s="68"/>
      <c r="F24" s="68"/>
      <c r="G24" s="66">
        <f>SUM(G21:G23)</f>
        <v>0.84722222222220012</v>
      </c>
      <c r="H24" s="68"/>
      <c r="I24" s="68"/>
      <c r="J24" s="71">
        <f>SUM(J21:J23)</f>
        <v>0.89930555555559977</v>
      </c>
      <c r="K24" s="75"/>
      <c r="L24" s="83">
        <f>SUM(L21:L23)</f>
        <v>2.4965277777777715</v>
      </c>
      <c r="M24" s="65" t="s">
        <v>79</v>
      </c>
      <c r="N24" s="65">
        <v>26169</v>
      </c>
      <c r="P24" s="79" t="s">
        <v>68</v>
      </c>
      <c r="Q24" s="43">
        <v>45696.32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N24+Sheet28!O25</f>
        <v>772986.58500000008</v>
      </c>
      <c r="P25" s="155" t="s">
        <v>78</v>
      </c>
      <c r="Q25" s="87">
        <v>50746.32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91</v>
      </c>
      <c r="Q26" s="69">
        <f>Q24+Sheet28!Q26</f>
        <v>1285893.25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59.55</v>
      </c>
      <c r="M27" s="55"/>
      <c r="N27" s="88">
        <f>N22/L27</f>
        <v>380.17665827036109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192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15</v>
      </c>
      <c r="E4" s="22">
        <v>21</v>
      </c>
      <c r="F4" s="22">
        <v>24</v>
      </c>
      <c r="G4" s="22">
        <v>25</v>
      </c>
      <c r="H4" s="22">
        <v>23</v>
      </c>
      <c r="I4" s="22">
        <v>19</v>
      </c>
      <c r="J4" s="22">
        <v>18</v>
      </c>
      <c r="K4" s="22">
        <v>90</v>
      </c>
      <c r="L4" s="22">
        <v>55</v>
      </c>
      <c r="M4" s="93">
        <f>K4+L4</f>
        <v>145</v>
      </c>
      <c r="N4" s="104"/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>
        <v>4</v>
      </c>
      <c r="G5" s="22">
        <v>3</v>
      </c>
      <c r="H5" s="22">
        <v>5</v>
      </c>
      <c r="I5" s="22">
        <v>4</v>
      </c>
      <c r="J5" s="22"/>
      <c r="K5" s="22">
        <v>16</v>
      </c>
      <c r="L5" s="22">
        <v>0</v>
      </c>
      <c r="M5" s="93">
        <f t="shared" ref="M5:M7" si="0">K5+L5</f>
        <v>16</v>
      </c>
      <c r="N5" s="104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3</v>
      </c>
      <c r="F6" s="22">
        <v>0</v>
      </c>
      <c r="G6" s="22">
        <v>2</v>
      </c>
      <c r="H6" s="22"/>
      <c r="I6" s="22"/>
      <c r="J6" s="22"/>
      <c r="K6" s="22">
        <v>5</v>
      </c>
      <c r="L6" s="22">
        <v>0</v>
      </c>
      <c r="M6" s="93">
        <f t="shared" si="0"/>
        <v>5</v>
      </c>
      <c r="N6" s="104"/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9</v>
      </c>
      <c r="E7" s="22">
        <v>12</v>
      </c>
      <c r="F7" s="22">
        <v>4</v>
      </c>
      <c r="G7" s="22">
        <v>14</v>
      </c>
      <c r="H7" s="22">
        <v>4</v>
      </c>
      <c r="I7" s="22"/>
      <c r="J7" s="22"/>
      <c r="K7" s="22">
        <v>43</v>
      </c>
      <c r="L7" s="22">
        <v>0</v>
      </c>
      <c r="M7" s="93">
        <f t="shared" si="0"/>
        <v>43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33" customHeight="1" x14ac:dyDescent="0.25">
      <c r="A9" s="33"/>
      <c r="B9" s="34" t="s">
        <v>14</v>
      </c>
      <c r="C9" s="22"/>
      <c r="D9" s="22">
        <v>15</v>
      </c>
      <c r="E9" s="22">
        <v>16</v>
      </c>
      <c r="F9" s="22">
        <v>17</v>
      </c>
      <c r="G9" s="22">
        <v>15</v>
      </c>
      <c r="H9" s="22">
        <v>25</v>
      </c>
      <c r="I9" s="22">
        <v>26</v>
      </c>
      <c r="J9" s="22">
        <v>21</v>
      </c>
      <c r="K9" s="22">
        <v>90</v>
      </c>
      <c r="L9" s="22">
        <v>45</v>
      </c>
      <c r="M9" s="93">
        <f t="shared" ref="M9:M12" si="2">K9+L9</f>
        <v>135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5</v>
      </c>
      <c r="F10" s="22">
        <v>2</v>
      </c>
      <c r="G10" s="22">
        <v>1</v>
      </c>
      <c r="H10" s="22">
        <v>7</v>
      </c>
      <c r="I10" s="22">
        <v>6</v>
      </c>
      <c r="J10" s="22">
        <v>5</v>
      </c>
      <c r="K10" s="22">
        <v>14</v>
      </c>
      <c r="L10" s="22">
        <v>15</v>
      </c>
      <c r="M10" s="93">
        <f t="shared" si="2"/>
        <v>29</v>
      </c>
      <c r="N10" s="82"/>
      <c r="O10" s="250" t="s">
        <v>72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7</v>
      </c>
      <c r="F11" s="22">
        <v>5</v>
      </c>
      <c r="G11" s="22">
        <v>6</v>
      </c>
      <c r="H11" s="22">
        <v>7</v>
      </c>
      <c r="I11" s="22">
        <v>8</v>
      </c>
      <c r="J11" s="22">
        <v>4</v>
      </c>
      <c r="K11" s="22">
        <v>33</v>
      </c>
      <c r="L11" s="22">
        <v>10</v>
      </c>
      <c r="M11" s="93">
        <f t="shared" si="2"/>
        <v>43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4</v>
      </c>
      <c r="F12" s="22">
        <v>3</v>
      </c>
      <c r="G12" s="22">
        <v>3</v>
      </c>
      <c r="H12" s="22"/>
      <c r="I12" s="22"/>
      <c r="J12" s="22"/>
      <c r="K12" s="22">
        <v>10</v>
      </c>
      <c r="L12" s="22">
        <v>0</v>
      </c>
      <c r="M12" s="93">
        <f t="shared" si="2"/>
        <v>10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137</v>
      </c>
      <c r="L14" s="22">
        <v>55</v>
      </c>
      <c r="M14" s="93">
        <f t="shared" ref="M14:M17" si="3">K14+L14</f>
        <v>192</v>
      </c>
      <c r="N14" s="103"/>
      <c r="O14" s="101"/>
      <c r="P14" s="82"/>
      <c r="Q14" s="37"/>
    </row>
    <row r="15" spans="1:17" ht="33.7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27</v>
      </c>
      <c r="L15" s="22">
        <v>0</v>
      </c>
      <c r="M15" s="93">
        <f t="shared" si="3"/>
        <v>27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10</v>
      </c>
      <c r="L16" s="22">
        <v>0</v>
      </c>
      <c r="M16" s="93">
        <f t="shared" si="3"/>
        <v>10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8</v>
      </c>
      <c r="L17" s="22">
        <v>8</v>
      </c>
      <c r="M17" s="93">
        <f t="shared" si="3"/>
        <v>16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472</v>
      </c>
      <c r="O18" s="252" t="s">
        <v>71</v>
      </c>
      <c r="P18" s="253"/>
      <c r="Q18" s="65" t="s">
        <v>70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72</v>
      </c>
      <c r="O19" s="69">
        <v>2041.03</v>
      </c>
      <c r="P19" s="46" t="s">
        <v>77</v>
      </c>
      <c r="Q19" s="65" t="s">
        <v>193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58</v>
      </c>
      <c r="O20" s="77" t="s">
        <v>65</v>
      </c>
      <c r="P20" s="75">
        <v>80</v>
      </c>
      <c r="Q20" s="65">
        <v>5570.76</v>
      </c>
    </row>
    <row r="21" spans="1:20" ht="25.5" customHeight="1" x14ac:dyDescent="0.25">
      <c r="A21" s="16" t="s">
        <v>46</v>
      </c>
      <c r="B21" s="66">
        <v>206.32986111111111</v>
      </c>
      <c r="C21" s="66">
        <v>206.40972222222223</v>
      </c>
      <c r="D21" s="66">
        <f t="shared" ref="D21:D23" si="4">C21-B21</f>
        <v>7.9861111111114269E-2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0.67013888888888573</v>
      </c>
      <c r="M21" s="155" t="s">
        <v>47</v>
      </c>
      <c r="N21" s="65">
        <f>M17+M12+M7</f>
        <v>69</v>
      </c>
      <c r="O21" s="78" t="s">
        <v>69</v>
      </c>
      <c r="P21" s="75">
        <v>237</v>
      </c>
      <c r="Q21" s="65">
        <v>6306.23</v>
      </c>
    </row>
    <row r="22" spans="1:20" ht="27" customHeight="1" x14ac:dyDescent="0.25">
      <c r="A22" s="16" t="s">
        <v>48</v>
      </c>
      <c r="B22" s="66">
        <v>206.33333333333334</v>
      </c>
      <c r="C22" s="66">
        <v>206.54166666666666</v>
      </c>
      <c r="D22" s="66">
        <f t="shared" si="4"/>
        <v>0.20833333333331439</v>
      </c>
      <c r="E22" s="66">
        <v>206.64583333333334</v>
      </c>
      <c r="F22" s="66">
        <v>206.875</v>
      </c>
      <c r="G22" s="66">
        <f t="shared" ref="G22:G23" si="5">F22-E22</f>
        <v>0.22916666666665719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0.73263888888885731</v>
      </c>
      <c r="M22" s="49" t="s">
        <v>49</v>
      </c>
      <c r="N22" s="65">
        <v>28541.03</v>
      </c>
      <c r="O22" s="80" t="s">
        <v>66</v>
      </c>
      <c r="P22" s="75">
        <v>175</v>
      </c>
      <c r="Q22" s="65">
        <v>4354.07</v>
      </c>
    </row>
    <row r="23" spans="1:20" ht="27" customHeight="1" x14ac:dyDescent="0.25">
      <c r="A23" s="158" t="s">
        <v>50</v>
      </c>
      <c r="B23" s="66">
        <v>206.25</v>
      </c>
      <c r="C23" s="66">
        <v>206.54166666666666</v>
      </c>
      <c r="D23" s="66">
        <f t="shared" si="4"/>
        <v>0.29166666666665719</v>
      </c>
      <c r="E23" s="66">
        <v>206.64236111111111</v>
      </c>
      <c r="F23" s="66">
        <v>206.875</v>
      </c>
      <c r="G23" s="66">
        <f t="shared" si="5"/>
        <v>0.23263888888888573</v>
      </c>
      <c r="H23" s="66">
        <v>206.95833333333334</v>
      </c>
      <c r="I23" s="66">
        <v>207.20833333333334</v>
      </c>
      <c r="J23" s="71">
        <f>I23-H23-K23</f>
        <v>0.25</v>
      </c>
      <c r="K23" s="156"/>
      <c r="L23" s="157">
        <f>D23+G23+J23</f>
        <v>0.77430555555554292</v>
      </c>
      <c r="M23" s="155" t="s">
        <v>64</v>
      </c>
      <c r="N23" s="85">
        <v>7</v>
      </c>
      <c r="O23" s="86" t="s">
        <v>67</v>
      </c>
      <c r="P23" s="76">
        <v>267</v>
      </c>
      <c r="Q23" s="65">
        <v>8048.85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0.57986111111108585</v>
      </c>
      <c r="E24" s="68"/>
      <c r="F24" s="68"/>
      <c r="G24" s="66">
        <f>SUM(G21:G23)</f>
        <v>0.75347222222220012</v>
      </c>
      <c r="H24" s="68"/>
      <c r="I24" s="68"/>
      <c r="J24" s="71">
        <f>SUM(J21:J23)</f>
        <v>0.84375</v>
      </c>
      <c r="K24" s="75"/>
      <c r="L24" s="83">
        <f>SUM(L21:L23)</f>
        <v>2.177083333333286</v>
      </c>
      <c r="M24" s="65" t="s">
        <v>79</v>
      </c>
      <c r="N24" s="65">
        <v>26709.48</v>
      </c>
      <c r="P24" s="79" t="s">
        <v>68</v>
      </c>
      <c r="Q24" s="43">
        <v>4542.4799999999996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N24+Sheet2!O25</f>
        <v>79707.759999999995</v>
      </c>
      <c r="P25" s="155" t="s">
        <v>78</v>
      </c>
      <c r="Q25" s="87">
        <v>50913.54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Q24+Sheet2!Q26</f>
        <v>99808.25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52.15</v>
      </c>
      <c r="M27" s="55"/>
      <c r="N27" s="88">
        <f>N22/L27</f>
        <v>547.28724832214766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5" right="0" top="0.25" bottom="0" header="0.31496062992126" footer="0.31496062992126"/>
  <pageSetup paperSize="9" scale="85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Q43"/>
  <sheetViews>
    <sheetView tabSelected="1" workbookViewId="0">
      <selection activeCell="V34" sqref="V34:V35"/>
    </sheetView>
  </sheetViews>
  <sheetFormatPr defaultRowHeight="15" x14ac:dyDescent="0.25"/>
  <cols>
    <col min="1" max="1" width="12.140625" customWidth="1"/>
    <col min="4" max="4" width="12.28515625" customWidth="1"/>
    <col min="6" max="10" width="0" hidden="1" customWidth="1"/>
    <col min="11" max="11" width="8.140625" style="149" bestFit="1" customWidth="1"/>
    <col min="12" max="12" width="7.42578125" style="149" bestFit="1" customWidth="1"/>
    <col min="13" max="13" width="8.85546875" style="149" bestFit="1" customWidth="1"/>
    <col min="14" max="14" width="12.7109375" customWidth="1"/>
    <col min="15" max="15" width="6.140625" style="149" bestFit="1" customWidth="1"/>
    <col min="16" max="16" width="11" bestFit="1" customWidth="1"/>
    <col min="17" max="17" width="14.28515625" customWidth="1"/>
  </cols>
  <sheetData>
    <row r="4" spans="1:17" ht="15.75" x14ac:dyDescent="0.25">
      <c r="A4" s="192" t="s">
        <v>290</v>
      </c>
      <c r="B4" s="193"/>
      <c r="C4" s="193"/>
      <c r="D4" s="193"/>
      <c r="E4" s="193"/>
      <c r="F4" s="193"/>
      <c r="G4" s="193"/>
      <c r="H4" s="193"/>
      <c r="I4" s="193"/>
      <c r="J4" s="193"/>
      <c r="K4" s="194"/>
      <c r="L4" s="194"/>
      <c r="M4" s="194"/>
      <c r="N4" s="193"/>
      <c r="O4" s="194"/>
      <c r="P4" s="193"/>
      <c r="Q4" s="193"/>
    </row>
    <row r="5" spans="1:17" ht="15.75" x14ac:dyDescent="0.25">
      <c r="A5" s="192"/>
      <c r="B5" s="195"/>
      <c r="C5" s="195"/>
      <c r="D5" s="195"/>
      <c r="E5" s="195"/>
      <c r="F5" s="195"/>
      <c r="G5" s="195"/>
      <c r="H5" s="195"/>
      <c r="I5" s="195"/>
      <c r="J5" s="195"/>
      <c r="K5" s="194"/>
      <c r="L5" s="194"/>
      <c r="M5" s="194"/>
      <c r="N5" s="193"/>
      <c r="O5" s="194"/>
      <c r="P5" s="193"/>
      <c r="Q5" s="193"/>
    </row>
    <row r="6" spans="1:17" ht="15.75" x14ac:dyDescent="0.25">
      <c r="A6" s="196"/>
      <c r="B6" s="258" t="s">
        <v>82</v>
      </c>
      <c r="C6" s="258"/>
      <c r="D6" s="258"/>
      <c r="E6" s="258"/>
      <c r="F6" s="259" t="s">
        <v>89</v>
      </c>
      <c r="G6" s="259"/>
      <c r="H6" s="259"/>
      <c r="I6" s="259"/>
      <c r="J6" s="259" t="s">
        <v>125</v>
      </c>
      <c r="K6" s="259"/>
      <c r="L6" s="259"/>
      <c r="M6" s="259"/>
      <c r="N6" s="197" t="s">
        <v>124</v>
      </c>
      <c r="O6" s="260" t="s">
        <v>123</v>
      </c>
      <c r="P6" s="261"/>
      <c r="Q6" s="262"/>
    </row>
    <row r="7" spans="1:17" ht="15.75" x14ac:dyDescent="0.25">
      <c r="A7" s="196" t="s">
        <v>81</v>
      </c>
      <c r="B7" s="196" t="s">
        <v>83</v>
      </c>
      <c r="C7" s="196" t="s">
        <v>84</v>
      </c>
      <c r="D7" s="196" t="s">
        <v>85</v>
      </c>
      <c r="E7" s="196" t="s">
        <v>44</v>
      </c>
      <c r="F7" s="198" t="s">
        <v>86</v>
      </c>
      <c r="G7" s="198" t="s">
        <v>87</v>
      </c>
      <c r="H7" s="198" t="s">
        <v>16</v>
      </c>
      <c r="I7" s="198" t="s">
        <v>88</v>
      </c>
      <c r="J7" s="198" t="s">
        <v>86</v>
      </c>
      <c r="K7" s="198" t="s">
        <v>14</v>
      </c>
      <c r="L7" s="198" t="s">
        <v>16</v>
      </c>
      <c r="M7" s="198" t="s">
        <v>88</v>
      </c>
      <c r="N7" s="198" t="s">
        <v>95</v>
      </c>
      <c r="O7" s="198" t="s">
        <v>96</v>
      </c>
      <c r="P7" s="198" t="s">
        <v>97</v>
      </c>
      <c r="Q7" s="198" t="s">
        <v>98</v>
      </c>
    </row>
    <row r="8" spans="1:17" ht="15.75" x14ac:dyDescent="0.25">
      <c r="A8" s="199">
        <v>43862</v>
      </c>
      <c r="B8" s="200">
        <f>'Feb stream I '!I5</f>
        <v>0.80902777777777146</v>
      </c>
      <c r="C8" s="200">
        <f>'Feb stream II  '!I5</f>
        <v>0.88541666666668561</v>
      </c>
      <c r="D8" s="200">
        <f>'Feb stream III '!I5</f>
        <v>0.87847222222222854</v>
      </c>
      <c r="E8" s="164">
        <f>B8+C8+D8</f>
        <v>2.5729166666666856</v>
      </c>
      <c r="F8" s="201"/>
      <c r="G8" s="201"/>
      <c r="H8" s="201"/>
      <c r="I8" s="201"/>
      <c r="J8" s="201"/>
      <c r="K8" s="197">
        <f>Sheet1!N18</f>
        <v>454</v>
      </c>
      <c r="L8" s="197">
        <f>Sheet1!N19</f>
        <v>92</v>
      </c>
      <c r="M8" s="197">
        <f>Sheet1!N20</f>
        <v>148</v>
      </c>
      <c r="N8" s="202">
        <f>Sheet1!N22</f>
        <v>32373.18</v>
      </c>
      <c r="O8" s="203">
        <f>Sheet1!N23</f>
        <v>7</v>
      </c>
      <c r="P8" s="201">
        <f>Sheet1!N24</f>
        <v>26679.63</v>
      </c>
      <c r="Q8" s="204">
        <f>P8</f>
        <v>26679.63</v>
      </c>
    </row>
    <row r="9" spans="1:17" ht="15.75" x14ac:dyDescent="0.25">
      <c r="A9" s="199">
        <v>43863</v>
      </c>
      <c r="B9" s="200">
        <f>'Feb stream I '!I6</f>
        <v>0.63541666666668561</v>
      </c>
      <c r="C9" s="200">
        <f>'Feb stream II  '!I6</f>
        <v>0.70138888888891415</v>
      </c>
      <c r="D9" s="200">
        <f>'Feb stream III '!I6</f>
        <v>0.75</v>
      </c>
      <c r="E9" s="164">
        <f>SUM(B9:D9)</f>
        <v>2.0868055555555998</v>
      </c>
      <c r="F9" s="201"/>
      <c r="G9" s="201"/>
      <c r="H9" s="201"/>
      <c r="I9" s="201"/>
      <c r="J9" s="201"/>
      <c r="K9" s="197">
        <f>Sheet2!N18</f>
        <v>505</v>
      </c>
      <c r="L9" s="197">
        <f>Sheet2!N19</f>
        <v>54</v>
      </c>
      <c r="M9" s="197">
        <f>Sheet2!N20</f>
        <v>103</v>
      </c>
      <c r="N9" s="202">
        <f>Sheet2!N22</f>
        <v>31137.29</v>
      </c>
      <c r="O9" s="203">
        <f>Sheet2!N23</f>
        <v>7</v>
      </c>
      <c r="P9" s="201">
        <f>Sheet2!N24</f>
        <v>26318.65</v>
      </c>
      <c r="Q9" s="204">
        <f>Q8+P9</f>
        <v>52998.28</v>
      </c>
    </row>
    <row r="10" spans="1:17" ht="15.75" x14ac:dyDescent="0.25">
      <c r="A10" s="199">
        <v>43864</v>
      </c>
      <c r="B10" s="200">
        <f>'Feb stream I '!I7</f>
        <v>0.67013888888888573</v>
      </c>
      <c r="C10" s="200">
        <f>'Feb stream II  '!I7</f>
        <v>0.73263888888885731</v>
      </c>
      <c r="D10" s="200">
        <f>'Feb stream III '!I7</f>
        <v>0.77430555555554292</v>
      </c>
      <c r="E10" s="164">
        <f t="shared" ref="E10:E36" si="0">SUM(B10:D10)</f>
        <v>2.177083333333286</v>
      </c>
      <c r="F10" s="201"/>
      <c r="G10" s="201"/>
      <c r="H10" s="201"/>
      <c r="I10" s="201"/>
      <c r="J10" s="201"/>
      <c r="K10" s="197">
        <f>Sheet3!N18</f>
        <v>472</v>
      </c>
      <c r="L10" s="197">
        <f>Sheet3!N19</f>
        <v>72</v>
      </c>
      <c r="M10" s="197">
        <f>Sheet3!N20</f>
        <v>58</v>
      </c>
      <c r="N10" s="202">
        <f>Sheet3!N22</f>
        <v>28541.03</v>
      </c>
      <c r="O10" s="203">
        <f>Sheet3!N23</f>
        <v>7</v>
      </c>
      <c r="P10" s="201">
        <f>Sheet3!N24</f>
        <v>26709.48</v>
      </c>
      <c r="Q10" s="204">
        <f t="shared" ref="Q10:Q36" si="1">Q9+P10</f>
        <v>79707.759999999995</v>
      </c>
    </row>
    <row r="11" spans="1:17" ht="15.75" x14ac:dyDescent="0.25">
      <c r="A11" s="199">
        <v>43865</v>
      </c>
      <c r="B11" s="200">
        <f>'Feb stream I '!I8</f>
        <v>0.84375</v>
      </c>
      <c r="C11" s="200">
        <f>'Feb stream II  '!I8</f>
        <v>0.65625</v>
      </c>
      <c r="D11" s="200">
        <f>'Feb stream III '!I8</f>
        <v>0.875</v>
      </c>
      <c r="E11" s="164">
        <f t="shared" si="0"/>
        <v>2.375</v>
      </c>
      <c r="F11" s="201"/>
      <c r="G11" s="201"/>
      <c r="H11" s="201"/>
      <c r="I11" s="201"/>
      <c r="J11" s="201"/>
      <c r="K11" s="197">
        <f>Sheet4!N18</f>
        <v>533</v>
      </c>
      <c r="L11" s="197">
        <f>Sheet4!N19</f>
        <v>71</v>
      </c>
      <c r="M11" s="197">
        <f>Sheet4!N20</f>
        <v>63</v>
      </c>
      <c r="N11" s="202">
        <f>Sheet4!N22</f>
        <v>31445.63</v>
      </c>
      <c r="O11" s="203">
        <f>Sheet4!N23</f>
        <v>8</v>
      </c>
      <c r="P11" s="201">
        <f>Sheet4!N24</f>
        <v>30209.5</v>
      </c>
      <c r="Q11" s="204">
        <f t="shared" si="1"/>
        <v>109917.26</v>
      </c>
    </row>
    <row r="12" spans="1:17" ht="15.75" x14ac:dyDescent="0.25">
      <c r="A12" s="199">
        <v>43866</v>
      </c>
      <c r="B12" s="200">
        <f>'Feb stream I '!I9</f>
        <v>0.59027777777779988</v>
      </c>
      <c r="C12" s="200">
        <f>'Feb stream II  '!I9</f>
        <v>0.58680555555554292</v>
      </c>
      <c r="D12" s="200">
        <f>'Feb stream III '!I9</f>
        <v>0.67013888888891415</v>
      </c>
      <c r="E12" s="164">
        <f t="shared" si="0"/>
        <v>1.847222222222257</v>
      </c>
      <c r="F12" s="201"/>
      <c r="G12" s="201"/>
      <c r="H12" s="201"/>
      <c r="I12" s="201"/>
      <c r="J12" s="201"/>
      <c r="K12" s="197">
        <f>Sheet5!N18</f>
        <v>454</v>
      </c>
      <c r="L12" s="197">
        <f>Sheet5!N19</f>
        <v>48</v>
      </c>
      <c r="M12" s="197">
        <f>Sheet5!N20</f>
        <v>53</v>
      </c>
      <c r="N12" s="202">
        <f>Sheet5!N22</f>
        <v>26767.95</v>
      </c>
      <c r="O12" s="203">
        <f>Sheet5!N23</f>
        <v>8</v>
      </c>
      <c r="P12" s="201">
        <f>Sheet5!N24</f>
        <v>29509.785</v>
      </c>
      <c r="Q12" s="204">
        <f t="shared" si="1"/>
        <v>139427.04499999998</v>
      </c>
    </row>
    <row r="13" spans="1:17" ht="15.75" x14ac:dyDescent="0.25">
      <c r="A13" s="199">
        <v>43867</v>
      </c>
      <c r="B13" s="200">
        <f>'Feb stream I '!I10</f>
        <v>0.87152777777779988</v>
      </c>
      <c r="C13" s="200">
        <f>'Feb stream II  '!I10</f>
        <v>0.58680555555554292</v>
      </c>
      <c r="D13" s="200">
        <f>'Feb stream III '!I10</f>
        <v>0.80555555555554292</v>
      </c>
      <c r="E13" s="164">
        <f t="shared" si="0"/>
        <v>2.2638888888888857</v>
      </c>
      <c r="F13" s="201"/>
      <c r="G13" s="201"/>
      <c r="H13" s="201"/>
      <c r="I13" s="201"/>
      <c r="J13" s="201"/>
      <c r="K13" s="197">
        <f>Sheet6!N18</f>
        <v>457</v>
      </c>
      <c r="L13" s="197">
        <f>Sheet6!N19</f>
        <v>61</v>
      </c>
      <c r="M13" s="197">
        <f>Sheet6!N20</f>
        <v>98</v>
      </c>
      <c r="N13" s="202">
        <f>Sheet6!N22</f>
        <v>29694.13</v>
      </c>
      <c r="O13" s="203">
        <f>Sheet6!N23</f>
        <v>8</v>
      </c>
      <c r="P13" s="201">
        <f>Sheet6!N24</f>
        <v>30089.37</v>
      </c>
      <c r="Q13" s="204">
        <f t="shared" si="1"/>
        <v>169516.41499999998</v>
      </c>
    </row>
    <row r="14" spans="1:17" ht="15.75" x14ac:dyDescent="0.25">
      <c r="A14" s="199">
        <v>43868</v>
      </c>
      <c r="B14" s="200">
        <f>'Feb stream I '!I11</f>
        <v>0.88888888888888573</v>
      </c>
      <c r="C14" s="200">
        <f>'Feb stream II  '!I11</f>
        <v>0.66319444444442865</v>
      </c>
      <c r="D14" s="200">
        <f>'Feb stream III '!I11</f>
        <v>0.75347222222225696</v>
      </c>
      <c r="E14" s="164">
        <f t="shared" si="0"/>
        <v>2.3055555555555713</v>
      </c>
      <c r="F14" s="201"/>
      <c r="G14" s="201"/>
      <c r="H14" s="201"/>
      <c r="I14" s="201"/>
      <c r="J14" s="201"/>
      <c r="K14" s="197">
        <f>Sheet7!N18</f>
        <v>475</v>
      </c>
      <c r="L14" s="197">
        <f>Sheet7!N19</f>
        <v>70</v>
      </c>
      <c r="M14" s="197">
        <f>Sheet7!N20</f>
        <v>89</v>
      </c>
      <c r="N14" s="202">
        <f>Sheet7!N22</f>
        <v>29877.79</v>
      </c>
      <c r="O14" s="203">
        <f>Sheet7!N23</f>
        <v>7</v>
      </c>
      <c r="P14" s="201">
        <f>Sheet7!N24</f>
        <v>26485.51</v>
      </c>
      <c r="Q14" s="204">
        <f t="shared" si="1"/>
        <v>196001.92499999999</v>
      </c>
    </row>
    <row r="15" spans="1:17" ht="15.75" x14ac:dyDescent="0.25">
      <c r="A15" s="199">
        <v>43869</v>
      </c>
      <c r="B15" s="200">
        <f>'Feb stream I '!I12</f>
        <v>0.55902777777777146</v>
      </c>
      <c r="C15" s="200">
        <f>'Feb stream II  '!I12</f>
        <v>0.79513888888888573</v>
      </c>
      <c r="D15" s="200">
        <f>'Feb stream III '!I12</f>
        <v>0.75347222222220012</v>
      </c>
      <c r="E15" s="164">
        <f t="shared" si="0"/>
        <v>2.1076388888888573</v>
      </c>
      <c r="F15" s="201"/>
      <c r="G15" s="201"/>
      <c r="H15" s="201"/>
      <c r="I15" s="201"/>
      <c r="J15" s="201"/>
      <c r="K15" s="197">
        <f>Sheet8!N18</f>
        <v>510</v>
      </c>
      <c r="L15" s="197">
        <f>Sheet8!N19</f>
        <v>72</v>
      </c>
      <c r="M15" s="197">
        <f>Sheet8!N20</f>
        <v>86</v>
      </c>
      <c r="N15" s="202">
        <f>Sheet8!N22</f>
        <v>29528.37</v>
      </c>
      <c r="O15" s="203">
        <f>Sheet8!N23</f>
        <v>8</v>
      </c>
      <c r="P15" s="201">
        <f>Sheet8!N24</f>
        <v>30012.3</v>
      </c>
      <c r="Q15" s="204">
        <f t="shared" si="1"/>
        <v>226014.22499999998</v>
      </c>
    </row>
    <row r="16" spans="1:17" ht="15.75" x14ac:dyDescent="0.25">
      <c r="A16" s="199">
        <v>43870</v>
      </c>
      <c r="B16" s="200">
        <f>'Feb stream I '!I13</f>
        <v>0.40625</v>
      </c>
      <c r="C16" s="200">
        <f>'Feb stream II  '!I13</f>
        <v>0.70833333333331439</v>
      </c>
      <c r="D16" s="200">
        <f>'Feb stream III '!I13</f>
        <v>0.78819444444442865</v>
      </c>
      <c r="E16" s="164">
        <f t="shared" si="0"/>
        <v>1.902777777777743</v>
      </c>
      <c r="F16" s="201"/>
      <c r="G16" s="201"/>
      <c r="H16" s="201"/>
      <c r="I16" s="201"/>
      <c r="J16" s="201"/>
      <c r="K16" s="197">
        <f>Sheet9!N18</f>
        <v>407</v>
      </c>
      <c r="L16" s="197">
        <f>Sheet9!N19</f>
        <v>73</v>
      </c>
      <c r="M16" s="197">
        <f>Sheet9!N20</f>
        <v>68</v>
      </c>
      <c r="N16" s="202">
        <f>Sheet9!N22</f>
        <v>25554.27</v>
      </c>
      <c r="O16" s="203">
        <f>Sheet9!N23</f>
        <v>7</v>
      </c>
      <c r="P16" s="201">
        <f>Sheet9!N24</f>
        <v>25894.7</v>
      </c>
      <c r="Q16" s="204">
        <f t="shared" si="1"/>
        <v>251908.92499999999</v>
      </c>
    </row>
    <row r="17" spans="1:17" ht="15.75" x14ac:dyDescent="0.25">
      <c r="A17" s="199">
        <v>43871</v>
      </c>
      <c r="B17" s="200">
        <f>'Feb stream I '!I14</f>
        <v>0.66666666666665719</v>
      </c>
      <c r="C17" s="200">
        <f>'Feb stream II  '!I14</f>
        <v>0.64583333333337123</v>
      </c>
      <c r="D17" s="200">
        <f>'Feb stream III '!I14</f>
        <v>0.84027777777777146</v>
      </c>
      <c r="E17" s="164">
        <f t="shared" si="0"/>
        <v>2.1527777777777999</v>
      </c>
      <c r="F17" s="201"/>
      <c r="G17" s="201"/>
      <c r="H17" s="201"/>
      <c r="I17" s="201"/>
      <c r="J17" s="201"/>
      <c r="K17" s="197">
        <f>Sheet10!N18</f>
        <v>422</v>
      </c>
      <c r="L17" s="197">
        <f>Sheet10!N19</f>
        <v>65</v>
      </c>
      <c r="M17" s="197">
        <f>Sheet10!N20</f>
        <v>58</v>
      </c>
      <c r="N17" s="202">
        <f>Sheet10!N22</f>
        <v>26214.080000000002</v>
      </c>
      <c r="O17" s="203">
        <f>Sheet10!N23</f>
        <v>7</v>
      </c>
      <c r="P17" s="201">
        <f>Sheet10!N24</f>
        <v>26214.080000000002</v>
      </c>
      <c r="Q17" s="204">
        <f t="shared" si="1"/>
        <v>278123.005</v>
      </c>
    </row>
    <row r="18" spans="1:17" ht="15.75" x14ac:dyDescent="0.25">
      <c r="A18" s="199">
        <v>43872</v>
      </c>
      <c r="B18" s="200">
        <f>'Feb stream I '!I15</f>
        <v>0.72222222222222854</v>
      </c>
      <c r="C18" s="200">
        <f>'Feb stream II  '!I15</f>
        <v>0.80555555555554292</v>
      </c>
      <c r="D18" s="200">
        <f>'Feb stream III '!I15</f>
        <v>0.82638888888891415</v>
      </c>
      <c r="E18" s="164">
        <f t="shared" si="0"/>
        <v>2.3541666666666856</v>
      </c>
      <c r="F18" s="201"/>
      <c r="G18" s="201"/>
      <c r="H18" s="201"/>
      <c r="I18" s="201"/>
      <c r="J18" s="201"/>
      <c r="K18" s="197">
        <f>Sheet11!N18</f>
        <v>344</v>
      </c>
      <c r="L18" s="197">
        <f>Sheet11!N19</f>
        <v>86</v>
      </c>
      <c r="M18" s="197">
        <f>Sheet11!N20</f>
        <v>153</v>
      </c>
      <c r="N18" s="202">
        <f>Sheet11!N22</f>
        <v>24000.13</v>
      </c>
      <c r="O18" s="203">
        <f>Sheet11!N23</f>
        <v>7</v>
      </c>
      <c r="P18" s="201">
        <f>Sheet11!N24</f>
        <v>25726.48</v>
      </c>
      <c r="Q18" s="204">
        <f t="shared" si="1"/>
        <v>303849.48499999999</v>
      </c>
    </row>
    <row r="19" spans="1:17" ht="15.75" x14ac:dyDescent="0.25">
      <c r="A19" s="199">
        <v>43873</v>
      </c>
      <c r="B19" s="200">
        <f>'Feb stream I '!I16</f>
        <v>0.58333333333334281</v>
      </c>
      <c r="C19" s="200">
        <f>'Feb stream II  '!I16</f>
        <v>0.86458333333331439</v>
      </c>
      <c r="D19" s="200">
        <f>'Feb stream III '!I16</f>
        <v>0.74652777777779988</v>
      </c>
      <c r="E19" s="164">
        <f t="shared" si="0"/>
        <v>2.1944444444444571</v>
      </c>
      <c r="F19" s="201"/>
      <c r="G19" s="201"/>
      <c r="H19" s="201"/>
      <c r="I19" s="201"/>
      <c r="J19" s="201"/>
      <c r="K19" s="197">
        <f>Sheet12!N18</f>
        <v>428</v>
      </c>
      <c r="L19" s="197">
        <f>Sheet12!N19</f>
        <v>23</v>
      </c>
      <c r="M19" s="197">
        <f>Sheet12!N20</f>
        <v>103</v>
      </c>
      <c r="N19" s="202">
        <f>Sheet12!N22</f>
        <v>27631.68</v>
      </c>
      <c r="O19" s="203">
        <f>Sheet12!N23</f>
        <v>7</v>
      </c>
      <c r="P19" s="201">
        <f>Sheet12!N24</f>
        <v>26577.29</v>
      </c>
      <c r="Q19" s="204">
        <f t="shared" si="1"/>
        <v>330426.77499999997</v>
      </c>
    </row>
    <row r="20" spans="1:17" ht="15.75" x14ac:dyDescent="0.25">
      <c r="A20" s="199">
        <v>43874</v>
      </c>
      <c r="B20" s="200">
        <f>'Feb stream I '!I17</f>
        <v>0.68402777777777146</v>
      </c>
      <c r="C20" s="200">
        <f>'Feb stream II  '!I17</f>
        <v>0.76041666666665719</v>
      </c>
      <c r="D20" s="200">
        <f>'Feb stream III '!I17</f>
        <v>0.875</v>
      </c>
      <c r="E20" s="164">
        <f t="shared" si="0"/>
        <v>2.3194444444444287</v>
      </c>
      <c r="F20" s="201"/>
      <c r="G20" s="201"/>
      <c r="H20" s="201"/>
      <c r="I20" s="201"/>
      <c r="J20" s="201"/>
      <c r="K20" s="197">
        <f>Sheet13!N18</f>
        <v>441</v>
      </c>
      <c r="L20" s="197">
        <f>Sheet13!N19</f>
        <v>73</v>
      </c>
      <c r="M20" s="197">
        <f>Sheet13!N20</f>
        <v>98</v>
      </c>
      <c r="N20" s="202">
        <f>Sheet13!N22</f>
        <v>28521.46</v>
      </c>
      <c r="O20" s="203">
        <f>Sheet13!N23</f>
        <v>7</v>
      </c>
      <c r="P20" s="201">
        <f>Sheet13!N24</f>
        <v>25974.86</v>
      </c>
      <c r="Q20" s="204">
        <f t="shared" si="1"/>
        <v>356401.63499999995</v>
      </c>
    </row>
    <row r="21" spans="1:17" ht="15.75" x14ac:dyDescent="0.25">
      <c r="A21" s="199">
        <v>43875</v>
      </c>
      <c r="B21" s="200">
        <f>'Feb stream I '!I18</f>
        <v>0.60416666666665719</v>
      </c>
      <c r="C21" s="200">
        <f>'Feb stream II  '!I18</f>
        <v>0.88194444444442865</v>
      </c>
      <c r="D21" s="200">
        <f>'Feb stream III '!I18</f>
        <v>0.79513888888888573</v>
      </c>
      <c r="E21" s="164">
        <f t="shared" si="0"/>
        <v>2.2812499999999716</v>
      </c>
      <c r="F21" s="201"/>
      <c r="G21" s="201"/>
      <c r="H21" s="201"/>
      <c r="I21" s="201"/>
      <c r="J21" s="201"/>
      <c r="K21" s="197">
        <f>Sheet14!N18</f>
        <v>442</v>
      </c>
      <c r="L21" s="197">
        <f>Sheet14!N19</f>
        <v>83</v>
      </c>
      <c r="M21" s="197">
        <f>Sheet14!N20</f>
        <v>71</v>
      </c>
      <c r="N21" s="202">
        <f>Sheet14!N22</f>
        <v>28344.22</v>
      </c>
      <c r="O21" s="203">
        <f>Sheet14!N23</f>
        <v>7</v>
      </c>
      <c r="P21" s="201">
        <f>Sheet14!N24</f>
        <v>25780.86</v>
      </c>
      <c r="Q21" s="204">
        <f t="shared" si="1"/>
        <v>382182.49499999994</v>
      </c>
    </row>
    <row r="22" spans="1:17" ht="15.75" x14ac:dyDescent="0.25">
      <c r="A22" s="199">
        <v>43876</v>
      </c>
      <c r="B22" s="200">
        <f>'Feb stream I '!I19</f>
        <v>0.60416666666665719</v>
      </c>
      <c r="C22" s="200">
        <f>'Feb stream II  '!I19</f>
        <v>0.88194444444442865</v>
      </c>
      <c r="D22" s="200">
        <f>'Feb stream III '!I19</f>
        <v>0.79513888888888573</v>
      </c>
      <c r="E22" s="164">
        <f t="shared" si="0"/>
        <v>2.2812499999999716</v>
      </c>
      <c r="F22" s="201"/>
      <c r="G22" s="201"/>
      <c r="H22" s="201"/>
      <c r="I22" s="201"/>
      <c r="J22" s="201"/>
      <c r="K22" s="197">
        <f>Sheet15!N18</f>
        <v>392</v>
      </c>
      <c r="L22" s="197">
        <f>Sheet15!N19</f>
        <v>25</v>
      </c>
      <c r="M22" s="197">
        <f>Sheet15!N20</f>
        <v>20</v>
      </c>
      <c r="N22" s="202">
        <f>Sheet15!N22</f>
        <v>22002</v>
      </c>
      <c r="O22" s="203">
        <f>Sheet15!N23</f>
        <v>6</v>
      </c>
      <c r="P22" s="201">
        <f>Sheet15!N24</f>
        <v>21869.45</v>
      </c>
      <c r="Q22" s="204">
        <f t="shared" si="1"/>
        <v>404051.94499999995</v>
      </c>
    </row>
    <row r="23" spans="1:17" ht="15.75" x14ac:dyDescent="0.25">
      <c r="A23" s="199">
        <v>43877</v>
      </c>
      <c r="B23" s="200">
        <f>'Feb stream I '!I20</f>
        <v>0.82986111111111427</v>
      </c>
      <c r="C23" s="200">
        <f>'Feb stream II  '!I20</f>
        <v>0.8125</v>
      </c>
      <c r="D23" s="200">
        <f>'Feb stream III '!I20</f>
        <v>0.82638888888891415</v>
      </c>
      <c r="E23" s="164">
        <f t="shared" si="0"/>
        <v>2.4687500000000284</v>
      </c>
      <c r="F23" s="201"/>
      <c r="G23" s="201"/>
      <c r="H23" s="201"/>
      <c r="I23" s="201"/>
      <c r="J23" s="201"/>
      <c r="K23" s="197">
        <f>Sheet16!N18</f>
        <v>387</v>
      </c>
      <c r="L23" s="197">
        <f>Sheet16!N19</f>
        <v>83</v>
      </c>
      <c r="M23" s="197">
        <f>Sheet16!N20</f>
        <v>108</v>
      </c>
      <c r="N23" s="202">
        <f>Sheet16!N22</f>
        <v>26486</v>
      </c>
      <c r="O23" s="203">
        <f>Sheet16!N23</f>
        <v>7</v>
      </c>
      <c r="P23" s="201">
        <f>Sheet16!N24</f>
        <v>25907.4</v>
      </c>
      <c r="Q23" s="204">
        <f t="shared" si="1"/>
        <v>429959.34499999997</v>
      </c>
    </row>
    <row r="24" spans="1:17" ht="15.75" x14ac:dyDescent="0.25">
      <c r="A24" s="199">
        <v>43878</v>
      </c>
      <c r="B24" s="200">
        <f>'Feb stream I '!I21</f>
        <v>0.68749999999997158</v>
      </c>
      <c r="C24" s="200">
        <f>'Feb stream II  '!I21</f>
        <v>0.76041666666668561</v>
      </c>
      <c r="D24" s="200">
        <f>'Feb stream III '!I21</f>
        <v>0.79166666666668561</v>
      </c>
      <c r="E24" s="164">
        <f t="shared" si="0"/>
        <v>2.2395833333333428</v>
      </c>
      <c r="F24" s="201"/>
      <c r="G24" s="201"/>
      <c r="H24" s="201"/>
      <c r="I24" s="201"/>
      <c r="J24" s="201"/>
      <c r="K24" s="197">
        <f>Sheet17!N18</f>
        <v>436</v>
      </c>
      <c r="L24" s="197">
        <f>Sheet17!N19</f>
        <v>65</v>
      </c>
      <c r="M24" s="197">
        <f>Sheet17!N20</f>
        <v>84</v>
      </c>
      <c r="N24" s="202">
        <f>Sheet17!N22</f>
        <v>27460</v>
      </c>
      <c r="O24" s="203">
        <f>Sheet17!N23</f>
        <v>7</v>
      </c>
      <c r="P24" s="201">
        <f>Sheet17!N24</f>
        <v>25351.13</v>
      </c>
      <c r="Q24" s="204">
        <f t="shared" si="1"/>
        <v>455310.47499999998</v>
      </c>
    </row>
    <row r="25" spans="1:17" ht="15.75" x14ac:dyDescent="0.25">
      <c r="A25" s="199">
        <v>43879</v>
      </c>
      <c r="B25" s="200">
        <f>'Feb stream I '!I22</f>
        <v>0.86111111111108585</v>
      </c>
      <c r="C25" s="200">
        <f>'Feb stream II  '!I22</f>
        <v>0.57291666666665719</v>
      </c>
      <c r="D25" s="200">
        <f>'Feb stream III '!I22</f>
        <v>0.75694444444445708</v>
      </c>
      <c r="E25" s="164">
        <f t="shared" si="0"/>
        <v>2.1909722222222001</v>
      </c>
      <c r="F25" s="201"/>
      <c r="G25" s="201"/>
      <c r="H25" s="201"/>
      <c r="I25" s="201"/>
      <c r="J25" s="201"/>
      <c r="K25" s="197">
        <f>Sheet18!N18</f>
        <v>468</v>
      </c>
      <c r="L25" s="197">
        <f>Sheet18!N19</f>
        <v>64</v>
      </c>
      <c r="M25" s="197">
        <f>Sheet18!N20</f>
        <v>63</v>
      </c>
      <c r="N25" s="202">
        <f>Sheet18!N22</f>
        <v>28259</v>
      </c>
      <c r="O25" s="203">
        <f>Sheet18!N23</f>
        <v>7</v>
      </c>
      <c r="P25" s="201">
        <f>Sheet18!N24</f>
        <v>26341.99</v>
      </c>
      <c r="Q25" s="204">
        <f t="shared" si="1"/>
        <v>481652.46499999997</v>
      </c>
    </row>
    <row r="26" spans="1:17" ht="15.75" x14ac:dyDescent="0.25">
      <c r="A26" s="199">
        <v>43880</v>
      </c>
      <c r="B26" s="200">
        <f>'Feb stream I '!I23</f>
        <v>0.86111111111108585</v>
      </c>
      <c r="C26" s="200">
        <f>'Feb stream II  '!I23</f>
        <v>0.57291666666665719</v>
      </c>
      <c r="D26" s="200">
        <f>'Feb stream III '!I23</f>
        <v>0.75694444444445708</v>
      </c>
      <c r="E26" s="164">
        <f t="shared" si="0"/>
        <v>2.1909722222222001</v>
      </c>
      <c r="F26" s="201"/>
      <c r="G26" s="201"/>
      <c r="H26" s="201"/>
      <c r="I26" s="201"/>
      <c r="J26" s="201"/>
      <c r="K26" s="197">
        <f>Sheet19!N18</f>
        <v>442</v>
      </c>
      <c r="L26" s="197">
        <f>Sheet19!N19</f>
        <v>51</v>
      </c>
      <c r="M26" s="197">
        <f>Sheet19!N20</f>
        <v>73</v>
      </c>
      <c r="N26" s="202">
        <f>Sheet19!N22</f>
        <v>28259</v>
      </c>
      <c r="O26" s="203">
        <f>Sheet19!N23</f>
        <v>7</v>
      </c>
      <c r="P26" s="201">
        <f>Sheet19!N24</f>
        <v>26474.54</v>
      </c>
      <c r="Q26" s="204">
        <f t="shared" si="1"/>
        <v>508127.00499999995</v>
      </c>
    </row>
    <row r="27" spans="1:17" ht="15.75" x14ac:dyDescent="0.25">
      <c r="A27" s="199">
        <v>43881</v>
      </c>
      <c r="B27" s="200">
        <f>'Feb stream I '!I24</f>
        <v>0.83333333333334281</v>
      </c>
      <c r="C27" s="200">
        <f>'Feb stream II  '!I24</f>
        <v>0.57986111111111427</v>
      </c>
      <c r="D27" s="200">
        <f>'Feb stream III '!I24</f>
        <v>0.74305555555554292</v>
      </c>
      <c r="E27" s="164">
        <f t="shared" si="0"/>
        <v>2.15625</v>
      </c>
      <c r="F27" s="201"/>
      <c r="G27" s="201"/>
      <c r="H27" s="201"/>
      <c r="I27" s="201"/>
      <c r="J27" s="201"/>
      <c r="K27" s="197">
        <f>Sheet20!N18</f>
        <v>379</v>
      </c>
      <c r="L27" s="197">
        <f>Sheet20!N19</f>
        <v>53</v>
      </c>
      <c r="M27" s="197">
        <f>Sheet20!N20</f>
        <v>63</v>
      </c>
      <c r="N27" s="202">
        <f>Sheet20!N22</f>
        <v>22100</v>
      </c>
      <c r="O27" s="203">
        <f>Sheet20!N23</f>
        <v>7</v>
      </c>
      <c r="P27" s="201">
        <f>Sheet20!N24</f>
        <v>27317.17</v>
      </c>
      <c r="Q27" s="204">
        <f t="shared" si="1"/>
        <v>535444.17499999993</v>
      </c>
    </row>
    <row r="28" spans="1:17" ht="15.75" x14ac:dyDescent="0.25">
      <c r="A28" s="199">
        <v>43882</v>
      </c>
      <c r="B28" s="200">
        <f>'Feb stream I '!I25</f>
        <v>0.77083333333334281</v>
      </c>
      <c r="C28" s="200">
        <f>'Feb stream II  '!I25</f>
        <v>0.85416666666665719</v>
      </c>
      <c r="D28" s="200">
        <f>'Feb stream III '!I25</f>
        <v>0.71875</v>
      </c>
      <c r="E28" s="164">
        <f t="shared" si="0"/>
        <v>2.34375</v>
      </c>
      <c r="F28" s="201"/>
      <c r="G28" s="201"/>
      <c r="H28" s="201"/>
      <c r="I28" s="201"/>
      <c r="J28" s="201"/>
      <c r="K28" s="197">
        <f>Sheet21!N18</f>
        <v>438</v>
      </c>
      <c r="L28" s="197">
        <f>Sheet21!N19</f>
        <v>52</v>
      </c>
      <c r="M28" s="197">
        <f>Sheet21!N20</f>
        <v>50</v>
      </c>
      <c r="N28" s="202">
        <f>Sheet21!N22</f>
        <v>27612</v>
      </c>
      <c r="O28" s="203">
        <f>Sheet21!N23</f>
        <v>7</v>
      </c>
      <c r="P28" s="201">
        <f>Sheet21!N24</f>
        <v>26355.53</v>
      </c>
      <c r="Q28" s="204">
        <f t="shared" si="1"/>
        <v>561799.70499999996</v>
      </c>
    </row>
    <row r="29" spans="1:17" ht="15.75" x14ac:dyDescent="0.25">
      <c r="A29" s="199">
        <v>43883</v>
      </c>
      <c r="B29" s="200">
        <f>'Feb stream I '!I26</f>
        <v>0.72222222222222854</v>
      </c>
      <c r="C29" s="200">
        <f>'Feb stream II  '!I26</f>
        <v>0.80555555555557135</v>
      </c>
      <c r="D29" s="200">
        <f>'Feb stream III '!I26</f>
        <v>0.65972222222225696</v>
      </c>
      <c r="E29" s="164">
        <f t="shared" si="0"/>
        <v>2.1875000000000568</v>
      </c>
      <c r="F29" s="201"/>
      <c r="G29" s="201"/>
      <c r="H29" s="201"/>
      <c r="I29" s="201"/>
      <c r="J29" s="201"/>
      <c r="K29" s="197">
        <f>Sheet22!N18</f>
        <v>443</v>
      </c>
      <c r="L29" s="197">
        <f>Sheet22!N19</f>
        <v>72</v>
      </c>
      <c r="M29" s="197">
        <f>Sheet22!N20</f>
        <v>70</v>
      </c>
      <c r="N29" s="202">
        <f>Sheet22!N22</f>
        <v>28615.79</v>
      </c>
      <c r="O29" s="203">
        <f>Sheet22!N23</f>
        <v>7</v>
      </c>
      <c r="P29" s="201">
        <f>Sheet22!N24</f>
        <v>26751</v>
      </c>
      <c r="Q29" s="204">
        <f t="shared" si="1"/>
        <v>588550.70499999996</v>
      </c>
    </row>
    <row r="30" spans="1:17" ht="15.75" x14ac:dyDescent="0.25">
      <c r="A30" s="199">
        <v>43884</v>
      </c>
      <c r="B30" s="200">
        <f>'Feb stream I '!I27</f>
        <v>0.67013888888888573</v>
      </c>
      <c r="C30" s="200">
        <f>'Feb stream II  '!I27</f>
        <v>1.7708333333333428</v>
      </c>
      <c r="D30" s="200">
        <f>'Feb stream III '!I27</f>
        <v>0.52430555555554292</v>
      </c>
      <c r="E30" s="164">
        <f t="shared" si="0"/>
        <v>2.9652777777777715</v>
      </c>
      <c r="F30" s="201"/>
      <c r="G30" s="201"/>
      <c r="H30" s="201"/>
      <c r="I30" s="201"/>
      <c r="J30" s="201"/>
      <c r="K30" s="197">
        <f>Sheet23!N18</f>
        <v>429</v>
      </c>
      <c r="L30" s="197">
        <f>Sheet23!N19</f>
        <v>81</v>
      </c>
      <c r="M30" s="197">
        <f>Sheet23!N20</f>
        <v>82</v>
      </c>
      <c r="N30" s="202">
        <f>Sheet23!N22</f>
        <v>27833.98</v>
      </c>
      <c r="O30" s="203">
        <f>Sheet23!N23</f>
        <v>7</v>
      </c>
      <c r="P30" s="201">
        <f>Sheet23!N24</f>
        <v>26794.6</v>
      </c>
      <c r="Q30" s="204">
        <f t="shared" si="1"/>
        <v>615345.30499999993</v>
      </c>
    </row>
    <row r="31" spans="1:17" ht="15.75" x14ac:dyDescent="0.25">
      <c r="A31" s="199">
        <v>43885</v>
      </c>
      <c r="B31" s="200">
        <f>'Feb stream I '!I28</f>
        <v>0.80208333333334281</v>
      </c>
      <c r="C31" s="200">
        <f>'Feb stream II  '!I28</f>
        <v>0</v>
      </c>
      <c r="D31" s="200">
        <f>'Feb stream III '!I28</f>
        <v>0.81944444444442865</v>
      </c>
      <c r="E31" s="164">
        <f t="shared" si="0"/>
        <v>1.6215277777777715</v>
      </c>
      <c r="F31" s="201"/>
      <c r="G31" s="201"/>
      <c r="H31" s="201"/>
      <c r="I31" s="201"/>
      <c r="J31" s="201"/>
      <c r="K31" s="197">
        <f>Sheet24!N18</f>
        <v>355</v>
      </c>
      <c r="L31" s="197">
        <f>Sheet24!N19</f>
        <v>59</v>
      </c>
      <c r="M31" s="197">
        <f>Sheet24!N20</f>
        <v>75</v>
      </c>
      <c r="N31" s="202">
        <f>Sheet24!N22</f>
        <v>23057.56</v>
      </c>
      <c r="O31" s="203">
        <f>Sheet24!N23</f>
        <v>7</v>
      </c>
      <c r="P31" s="201">
        <f>Sheet24!N24</f>
        <v>26134.26</v>
      </c>
      <c r="Q31" s="204">
        <f t="shared" si="1"/>
        <v>641479.56499999994</v>
      </c>
    </row>
    <row r="32" spans="1:17" ht="15.75" x14ac:dyDescent="0.25">
      <c r="A32" s="199">
        <v>43886</v>
      </c>
      <c r="B32" s="200">
        <f>'Feb stream I '!I29</f>
        <v>1.5833333333333144</v>
      </c>
      <c r="C32" s="200">
        <f>'Feb stream II  '!I29</f>
        <v>0.65972222222222854</v>
      </c>
      <c r="D32" s="200">
        <f>'Feb stream III '!I29</f>
        <v>0.62152777777777146</v>
      </c>
      <c r="E32" s="164">
        <f t="shared" si="0"/>
        <v>2.8645833333333144</v>
      </c>
      <c r="F32" s="201"/>
      <c r="G32" s="201"/>
      <c r="H32" s="201"/>
      <c r="I32" s="201"/>
      <c r="J32" s="201"/>
      <c r="K32" s="197">
        <f>Sheet25!N18</f>
        <v>443</v>
      </c>
      <c r="L32" s="197">
        <f>Sheet25!N19</f>
        <v>57</v>
      </c>
      <c r="M32" s="197">
        <f>Sheet25!N20</f>
        <v>36</v>
      </c>
      <c r="N32" s="202">
        <f>Sheet25!N22</f>
        <v>26197.95</v>
      </c>
      <c r="O32" s="203">
        <f>Sheet25!N23</f>
        <v>7</v>
      </c>
      <c r="P32" s="201">
        <f>Sheet25!N24</f>
        <v>26167.31</v>
      </c>
      <c r="Q32" s="204">
        <f t="shared" si="1"/>
        <v>667646.875</v>
      </c>
    </row>
    <row r="33" spans="1:17" ht="15.75" x14ac:dyDescent="0.25">
      <c r="A33" s="199">
        <v>43887</v>
      </c>
      <c r="B33" s="200">
        <f>'Feb stream I '!I30</f>
        <v>0.68402777777782831</v>
      </c>
      <c r="C33" s="200">
        <f>'Feb stream II  '!I30</f>
        <v>0.80555555555554292</v>
      </c>
      <c r="D33" s="200">
        <f>'Feb stream III '!I30</f>
        <v>0.87847222222220012</v>
      </c>
      <c r="E33" s="164">
        <f t="shared" si="0"/>
        <v>2.3680555555555713</v>
      </c>
      <c r="F33" s="201"/>
      <c r="G33" s="201"/>
      <c r="H33" s="201"/>
      <c r="I33" s="201"/>
      <c r="J33" s="201"/>
      <c r="K33" s="197">
        <f>Sheet26!N18</f>
        <v>408</v>
      </c>
      <c r="L33" s="197">
        <f>Sheet26!N19</f>
        <v>69</v>
      </c>
      <c r="M33" s="197">
        <f>Sheet26!N20</f>
        <v>94</v>
      </c>
      <c r="N33" s="202">
        <f>Sheet26!N22</f>
        <v>27246</v>
      </c>
      <c r="O33" s="203">
        <f>Sheet26!N23</f>
        <v>7</v>
      </c>
      <c r="P33" s="201">
        <f>Sheet26!N24</f>
        <v>26154.9</v>
      </c>
      <c r="Q33" s="204">
        <f t="shared" si="1"/>
        <v>693801.77500000002</v>
      </c>
    </row>
    <row r="34" spans="1:17" ht="15.75" x14ac:dyDescent="0.25">
      <c r="A34" s="199">
        <v>43888</v>
      </c>
      <c r="B34" s="200">
        <f>'Feb stream I '!I31</f>
        <v>0.86458333333334281</v>
      </c>
      <c r="C34" s="200">
        <f>'Feb stream II  '!I31</f>
        <v>0.73958333333334281</v>
      </c>
      <c r="D34" s="200">
        <f>'Feb stream III '!I31</f>
        <v>0.87152777777779988</v>
      </c>
      <c r="E34" s="164">
        <f t="shared" si="0"/>
        <v>2.4756944444444855</v>
      </c>
      <c r="F34" s="201"/>
      <c r="G34" s="201"/>
      <c r="H34" s="201"/>
      <c r="I34" s="201"/>
      <c r="J34" s="201"/>
      <c r="K34" s="197">
        <f>Sheet27!N18</f>
        <v>502</v>
      </c>
      <c r="L34" s="197">
        <f>Sheet27!N19</f>
        <v>46</v>
      </c>
      <c r="M34" s="197">
        <f>Sheet27!N20</f>
        <v>47</v>
      </c>
      <c r="N34" s="202">
        <f>Sheet27!N22</f>
        <v>27108.76</v>
      </c>
      <c r="O34" s="203">
        <f>Sheet27!N23</f>
        <v>7</v>
      </c>
      <c r="P34" s="201">
        <f>Sheet27!N24</f>
        <v>26491.01</v>
      </c>
      <c r="Q34" s="204">
        <f t="shared" si="1"/>
        <v>720292.78500000003</v>
      </c>
    </row>
    <row r="35" spans="1:17" ht="15.75" x14ac:dyDescent="0.25">
      <c r="A35" s="199">
        <v>43889</v>
      </c>
      <c r="B35" s="200">
        <f>'Feb stream I '!I32</f>
        <v>0.56597222222225696</v>
      </c>
      <c r="C35" s="200">
        <f>'Feb stream II  '!I32</f>
        <v>0.88194444444442865</v>
      </c>
      <c r="D35" s="200">
        <f>'Feb stream III '!I32</f>
        <v>0.80902777777779988</v>
      </c>
      <c r="E35" s="164">
        <f t="shared" si="0"/>
        <v>2.2569444444444855</v>
      </c>
      <c r="F35" s="201"/>
      <c r="G35" s="201"/>
      <c r="H35" s="201"/>
      <c r="I35" s="201"/>
      <c r="J35" s="201"/>
      <c r="K35" s="197">
        <f>Sheet28!N18</f>
        <v>509</v>
      </c>
      <c r="L35" s="197">
        <f>Sheet28!N19</f>
        <v>63</v>
      </c>
      <c r="M35" s="197">
        <f>Sheet28!N20</f>
        <v>83</v>
      </c>
      <c r="N35" s="202">
        <f>Sheet28!N22</f>
        <v>31510.51</v>
      </c>
      <c r="O35" s="203">
        <f>Sheet28!N23</f>
        <v>7</v>
      </c>
      <c r="P35" s="204">
        <f>Sheet28!N24</f>
        <v>26524.799999999999</v>
      </c>
      <c r="Q35" s="204">
        <f t="shared" si="1"/>
        <v>746817.58500000008</v>
      </c>
    </row>
    <row r="36" spans="1:17" ht="15.75" x14ac:dyDescent="0.25">
      <c r="A36" s="199">
        <v>43890</v>
      </c>
      <c r="B36" s="200">
        <f>'Feb stream I '!I33</f>
        <v>0.89583333333334281</v>
      </c>
      <c r="C36" s="200">
        <f>'Feb stream II  '!I33</f>
        <v>0.88194444444442865</v>
      </c>
      <c r="D36" s="200">
        <f>'Feb stream III '!I33</f>
        <v>0.71875</v>
      </c>
      <c r="E36" s="164">
        <f t="shared" si="0"/>
        <v>2.4965277777777715</v>
      </c>
      <c r="F36" s="201"/>
      <c r="G36" s="201"/>
      <c r="H36" s="201"/>
      <c r="I36" s="201"/>
      <c r="J36" s="201"/>
      <c r="K36" s="197">
        <f>Sheet29!N18</f>
        <v>346</v>
      </c>
      <c r="L36" s="197">
        <f>Sheet29!N19</f>
        <v>25</v>
      </c>
      <c r="M36" s="197">
        <f>Sheet29!N20</f>
        <v>83</v>
      </c>
      <c r="N36" s="202">
        <f>Sheet29!N22</f>
        <v>22639.52</v>
      </c>
      <c r="O36" s="203">
        <f>Sheet29!N23</f>
        <v>7</v>
      </c>
      <c r="P36" s="204">
        <f>Sheet29!N24</f>
        <v>26169</v>
      </c>
      <c r="Q36" s="204">
        <f t="shared" si="1"/>
        <v>772986.58500000008</v>
      </c>
    </row>
    <row r="37" spans="1:17" ht="15.75" x14ac:dyDescent="0.25">
      <c r="A37" s="201" t="s">
        <v>11</v>
      </c>
      <c r="B37" s="205">
        <f>SUM(B8:B36)</f>
        <v>21.7708333333334</v>
      </c>
      <c r="C37" s="205">
        <f>SUM(C8:C36)</f>
        <v>21.854166666666572</v>
      </c>
      <c r="D37" s="205">
        <f>SUM(D8:D36)</f>
        <v>22.423611111111228</v>
      </c>
      <c r="E37" s="205">
        <f>SUM(E8:E36)</f>
        <v>66.0486111111112</v>
      </c>
      <c r="F37" s="193"/>
      <c r="G37" s="193"/>
      <c r="H37" s="193"/>
      <c r="I37" s="193"/>
      <c r="J37" s="193"/>
      <c r="K37" s="197">
        <f t="shared" ref="K37:P37" si="2">SUM(K8:K36)</f>
        <v>12721</v>
      </c>
      <c r="L37" s="197">
        <f t="shared" si="2"/>
        <v>1808</v>
      </c>
      <c r="M37" s="197">
        <f t="shared" si="2"/>
        <v>2280</v>
      </c>
      <c r="N37" s="197">
        <f t="shared" si="2"/>
        <v>796019.28000000014</v>
      </c>
      <c r="O37" s="197">
        <f t="shared" si="2"/>
        <v>206</v>
      </c>
      <c r="P37" s="202">
        <f t="shared" si="2"/>
        <v>772986.58500000008</v>
      </c>
      <c r="Q37" s="206">
        <f>Q36</f>
        <v>772986.58500000008</v>
      </c>
    </row>
    <row r="38" spans="1:17" ht="15.75" x14ac:dyDescent="0.25">
      <c r="A38" s="193"/>
      <c r="B38" s="193"/>
      <c r="C38" s="193"/>
      <c r="D38" s="193"/>
      <c r="E38" s="193"/>
      <c r="F38" s="193"/>
      <c r="G38" s="193"/>
      <c r="H38" s="193"/>
      <c r="I38" s="193"/>
      <c r="J38" s="193"/>
      <c r="K38" s="194"/>
      <c r="L38" s="194"/>
      <c r="M38" s="194"/>
      <c r="N38" s="193"/>
      <c r="O38" s="194"/>
      <c r="P38" s="193"/>
      <c r="Q38" s="193"/>
    </row>
    <row r="39" spans="1:17" ht="15.75" x14ac:dyDescent="0.25">
      <c r="A39" s="193"/>
      <c r="B39" s="193"/>
      <c r="C39" s="193"/>
      <c r="D39" s="193"/>
      <c r="E39" s="193"/>
      <c r="F39" s="193"/>
      <c r="G39" s="193"/>
      <c r="H39" s="193"/>
      <c r="I39" s="193"/>
      <c r="J39" s="193"/>
      <c r="K39" s="194"/>
      <c r="L39" s="194"/>
      <c r="M39" s="194"/>
      <c r="N39" s="193"/>
      <c r="O39" s="194"/>
      <c r="P39" s="193"/>
      <c r="Q39" s="193"/>
    </row>
    <row r="40" spans="1:17" ht="15.75" x14ac:dyDescent="0.25">
      <c r="A40" s="193"/>
      <c r="B40" s="193"/>
      <c r="C40" s="193"/>
      <c r="D40" s="193"/>
      <c r="E40" s="193"/>
      <c r="F40" s="193"/>
      <c r="G40" s="193"/>
      <c r="H40" s="193"/>
      <c r="I40" s="193"/>
      <c r="J40" s="193"/>
      <c r="K40" s="194"/>
      <c r="L40" s="194"/>
      <c r="M40" s="194"/>
      <c r="N40" s="193"/>
      <c r="O40" s="194"/>
      <c r="P40" s="193"/>
      <c r="Q40" s="193"/>
    </row>
    <row r="41" spans="1:17" ht="15.75" x14ac:dyDescent="0.25">
      <c r="A41" s="193"/>
      <c r="B41" s="193"/>
      <c r="C41" s="193"/>
      <c r="D41" s="193"/>
      <c r="E41" s="193"/>
      <c r="F41" s="193"/>
      <c r="G41" s="193"/>
      <c r="H41" s="193"/>
      <c r="I41" s="193"/>
      <c r="J41" s="193"/>
      <c r="K41" s="194"/>
      <c r="L41" s="194"/>
      <c r="M41" s="194"/>
      <c r="N41" s="193"/>
      <c r="O41" s="194"/>
      <c r="P41" s="193"/>
      <c r="Q41" s="193"/>
    </row>
    <row r="42" spans="1:17" ht="15.75" x14ac:dyDescent="0.25">
      <c r="A42" s="193"/>
      <c r="B42" s="136"/>
      <c r="C42" s="136"/>
      <c r="D42" s="136" t="s">
        <v>114</v>
      </c>
      <c r="E42" s="136"/>
      <c r="F42" s="136"/>
      <c r="G42" s="136"/>
      <c r="H42" s="136"/>
      <c r="I42" s="207"/>
      <c r="J42" s="136"/>
      <c r="K42" s="136"/>
      <c r="L42" s="136"/>
      <c r="M42" s="136"/>
      <c r="N42" s="136" t="s">
        <v>115</v>
      </c>
      <c r="O42" s="136"/>
      <c r="P42" s="136"/>
      <c r="Q42" s="193"/>
    </row>
    <row r="43" spans="1:17" ht="15.75" x14ac:dyDescent="0.25">
      <c r="A43" s="193"/>
      <c r="B43" s="136"/>
      <c r="C43" s="136"/>
      <c r="D43" s="208" t="s">
        <v>116</v>
      </c>
      <c r="E43" s="208"/>
      <c r="F43" s="208"/>
      <c r="G43" s="208"/>
      <c r="H43" s="208"/>
      <c r="I43" s="208"/>
      <c r="J43" s="208"/>
      <c r="K43" s="209"/>
      <c r="L43" s="210"/>
      <c r="M43" s="210"/>
      <c r="N43" s="208" t="s">
        <v>116</v>
      </c>
      <c r="O43" s="210"/>
      <c r="P43" s="136"/>
      <c r="Q43" s="193"/>
    </row>
  </sheetData>
  <mergeCells count="4">
    <mergeCell ref="B6:E6"/>
    <mergeCell ref="F6:I6"/>
    <mergeCell ref="J6:M6"/>
    <mergeCell ref="O6:Q6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5" orientation="landscape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topLeftCell="B1" workbookViewId="0">
      <selection sqref="A1:V43"/>
    </sheetView>
  </sheetViews>
  <sheetFormatPr defaultRowHeight="15" x14ac:dyDescent="0.25"/>
  <cols>
    <col min="1" max="1" width="10.5703125" customWidth="1"/>
    <col min="2" max="2" width="6" customWidth="1"/>
    <col min="3" max="4" width="9.140625" hidden="1" customWidth="1"/>
    <col min="5" max="5" width="6" customWidth="1"/>
    <col min="6" max="7" width="9.140625" hidden="1" customWidth="1"/>
    <col min="8" max="8" width="8" customWidth="1"/>
    <col min="9" max="9" width="8.7109375" customWidth="1"/>
    <col min="10" max="10" width="7" customWidth="1"/>
    <col min="11" max="11" width="7.5703125" customWidth="1"/>
    <col min="12" max="12" width="11.5703125" bestFit="1" customWidth="1"/>
    <col min="21" max="21" width="10.28515625" customWidth="1"/>
    <col min="22" max="22" width="35" customWidth="1"/>
  </cols>
  <sheetData>
    <row r="1" spans="1:22" ht="22.5" x14ac:dyDescent="0.3">
      <c r="A1" s="108" t="s">
        <v>289</v>
      </c>
    </row>
    <row r="2" spans="1:22" ht="21" thickBot="1" x14ac:dyDescent="0.35">
      <c r="A2" s="109" t="s">
        <v>122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22" ht="15.75" x14ac:dyDescent="0.25">
      <c r="A3" s="111" t="s">
        <v>81</v>
      </c>
      <c r="B3" s="112" t="s">
        <v>99</v>
      </c>
      <c r="C3" s="116"/>
      <c r="D3" s="116"/>
      <c r="E3" s="116"/>
      <c r="F3" s="116"/>
      <c r="G3" s="116"/>
      <c r="H3" s="113"/>
      <c r="I3" s="114" t="s">
        <v>13</v>
      </c>
      <c r="J3" s="115" t="s">
        <v>100</v>
      </c>
      <c r="K3" s="116" t="s">
        <v>101</v>
      </c>
      <c r="L3" s="113"/>
      <c r="M3" s="113"/>
      <c r="N3" s="113"/>
      <c r="O3" s="117" t="s">
        <v>13</v>
      </c>
      <c r="P3" s="112" t="s">
        <v>102</v>
      </c>
      <c r="Q3" s="113"/>
      <c r="R3" s="118"/>
      <c r="S3" s="119"/>
      <c r="T3" s="120"/>
      <c r="U3" s="145"/>
      <c r="V3" s="121" t="s">
        <v>103</v>
      </c>
    </row>
    <row r="4" spans="1:22" ht="16.5" thickBot="1" x14ac:dyDescent="0.3">
      <c r="A4" s="122"/>
      <c r="B4" s="123" t="s">
        <v>104</v>
      </c>
      <c r="C4" s="123"/>
      <c r="D4" s="123"/>
      <c r="E4" s="123" t="s">
        <v>105</v>
      </c>
      <c r="F4" s="123"/>
      <c r="G4" s="123"/>
      <c r="H4" s="123" t="s">
        <v>106</v>
      </c>
      <c r="I4" s="124" t="s">
        <v>107</v>
      </c>
      <c r="J4" s="125"/>
      <c r="K4" s="126" t="s">
        <v>108</v>
      </c>
      <c r="L4" s="127" t="s">
        <v>109</v>
      </c>
      <c r="M4" s="127" t="s">
        <v>110</v>
      </c>
      <c r="N4" s="127" t="s">
        <v>111</v>
      </c>
      <c r="O4" s="128" t="s">
        <v>44</v>
      </c>
      <c r="P4" s="127" t="s">
        <v>108</v>
      </c>
      <c r="Q4" s="127" t="s">
        <v>109</v>
      </c>
      <c r="R4" s="127" t="s">
        <v>110</v>
      </c>
      <c r="S4" s="127" t="s">
        <v>111</v>
      </c>
      <c r="T4" s="128" t="s">
        <v>44</v>
      </c>
      <c r="U4" s="146"/>
      <c r="V4" s="129"/>
    </row>
    <row r="5" spans="1:22" ht="15.75" x14ac:dyDescent="0.25">
      <c r="A5" s="142">
        <v>43862</v>
      </c>
      <c r="B5" s="143">
        <f>Sheet1!D21</f>
        <v>0.24305555555554292</v>
      </c>
      <c r="C5" s="143">
        <f>Sheet1!E21</f>
        <v>206.60416666666666</v>
      </c>
      <c r="D5" s="143">
        <f>Sheet1!F21</f>
        <v>206.875</v>
      </c>
      <c r="E5" s="143">
        <f>Sheet1!G21</f>
        <v>0.27083333333334281</v>
      </c>
      <c r="F5" s="143">
        <f>Sheet1!H21</f>
        <v>206.91319444444446</v>
      </c>
      <c r="G5" s="143">
        <f>Sheet1!I21</f>
        <v>207.20833333333334</v>
      </c>
      <c r="H5" s="143">
        <f>Sheet1!J21</f>
        <v>0.29513888888888573</v>
      </c>
      <c r="I5" s="144">
        <f>B5+E5+H5</f>
        <v>0.80902777777777146</v>
      </c>
      <c r="J5" s="143">
        <v>0.17361111111111113</v>
      </c>
      <c r="K5" s="143">
        <v>0</v>
      </c>
      <c r="L5" s="143">
        <v>1.7361111111111112E-2</v>
      </c>
      <c r="M5" s="143">
        <v>0</v>
      </c>
      <c r="N5" s="143">
        <v>0</v>
      </c>
      <c r="O5" s="144">
        <f>SUM(K5:N5)</f>
        <v>1.7361111111111112E-2</v>
      </c>
      <c r="P5" s="143">
        <v>0</v>
      </c>
      <c r="Q5" s="143">
        <v>0</v>
      </c>
      <c r="R5" s="143">
        <v>0</v>
      </c>
      <c r="S5" s="143">
        <v>0</v>
      </c>
      <c r="T5" s="144">
        <f t="shared" ref="T5:T13" si="0">SUM(Q5:S5)</f>
        <v>0</v>
      </c>
      <c r="U5" s="147">
        <f>I5+O5+J5+T5</f>
        <v>0.99999999999999378</v>
      </c>
      <c r="V5" s="131"/>
    </row>
    <row r="6" spans="1:22" ht="15.75" x14ac:dyDescent="0.25">
      <c r="A6" s="142">
        <v>43863</v>
      </c>
      <c r="B6" s="143">
        <f>Sheet2!D21</f>
        <v>0.10416666666668561</v>
      </c>
      <c r="C6" s="143">
        <f>Sheet2!E21</f>
        <v>206.61458333333334</v>
      </c>
      <c r="D6" s="143">
        <f>Sheet2!F21</f>
        <v>206.875</v>
      </c>
      <c r="E6" s="143">
        <f>Sheet2!G21</f>
        <v>0.26041666666665719</v>
      </c>
      <c r="F6" s="143">
        <f>Sheet2!H21</f>
        <v>206.9375</v>
      </c>
      <c r="G6" s="143">
        <f>Sheet2!I21</f>
        <v>207.20833333333334</v>
      </c>
      <c r="H6" s="143">
        <f>Sheet2!J21</f>
        <v>0.27083333333334281</v>
      </c>
      <c r="I6" s="144">
        <f t="shared" ref="I6:I33" si="1">B6+E6+H6</f>
        <v>0.63541666666668561</v>
      </c>
      <c r="J6" s="143">
        <v>0.18055555555555555</v>
      </c>
      <c r="K6" s="143">
        <v>0</v>
      </c>
      <c r="L6" s="143">
        <v>0</v>
      </c>
      <c r="M6" s="143">
        <v>0.18402777777777779</v>
      </c>
      <c r="N6" s="143">
        <v>0</v>
      </c>
      <c r="O6" s="144">
        <f t="shared" ref="O6:O33" si="2">SUM(K6:N6)</f>
        <v>0.18402777777777779</v>
      </c>
      <c r="P6" s="143">
        <v>0</v>
      </c>
      <c r="Q6" s="143">
        <v>0</v>
      </c>
      <c r="R6" s="143">
        <v>0</v>
      </c>
      <c r="S6" s="143">
        <v>0</v>
      </c>
      <c r="T6" s="144">
        <f t="shared" si="0"/>
        <v>0</v>
      </c>
      <c r="U6" s="147">
        <f t="shared" ref="U6:U33" si="3">I6+O6+J6+T6</f>
        <v>1.0000000000000189</v>
      </c>
      <c r="V6" s="131" t="s">
        <v>292</v>
      </c>
    </row>
    <row r="7" spans="1:22" ht="27.75" customHeight="1" x14ac:dyDescent="0.25">
      <c r="A7" s="142">
        <v>43864</v>
      </c>
      <c r="B7" s="143">
        <f>Sheet3!D21</f>
        <v>7.9861111111114269E-2</v>
      </c>
      <c r="C7" s="143">
        <f>Sheet3!E21</f>
        <v>206.58333333333334</v>
      </c>
      <c r="D7" s="143">
        <f>Sheet3!F21</f>
        <v>206.875</v>
      </c>
      <c r="E7" s="143">
        <f>Sheet3!G21</f>
        <v>0.29166666666665719</v>
      </c>
      <c r="F7" s="143">
        <f>Sheet3!H21</f>
        <v>206.90972222222223</v>
      </c>
      <c r="G7" s="143">
        <f>Sheet3!I21</f>
        <v>207.20833333333334</v>
      </c>
      <c r="H7" s="143">
        <f>Sheet3!J21</f>
        <v>0.29861111111111427</v>
      </c>
      <c r="I7" s="144">
        <f t="shared" si="1"/>
        <v>0.67013888888888573</v>
      </c>
      <c r="J7" s="143">
        <v>0.16666666666666666</v>
      </c>
      <c r="K7" s="143">
        <v>0</v>
      </c>
      <c r="L7" s="143">
        <v>0</v>
      </c>
      <c r="M7" s="143">
        <v>0</v>
      </c>
      <c r="N7" s="143">
        <v>0</v>
      </c>
      <c r="O7" s="144">
        <f t="shared" si="2"/>
        <v>0</v>
      </c>
      <c r="P7" s="143">
        <v>0</v>
      </c>
      <c r="Q7" s="143">
        <v>0</v>
      </c>
      <c r="R7" s="143">
        <v>0.16319444444444445</v>
      </c>
      <c r="S7" s="143">
        <v>0</v>
      </c>
      <c r="T7" s="144">
        <f t="shared" si="0"/>
        <v>0.16319444444444445</v>
      </c>
      <c r="U7" s="147">
        <f t="shared" si="3"/>
        <v>0.99999999999999678</v>
      </c>
      <c r="V7" s="131" t="s">
        <v>293</v>
      </c>
    </row>
    <row r="8" spans="1:22" ht="15.75" x14ac:dyDescent="0.25">
      <c r="A8" s="142">
        <v>43865</v>
      </c>
      <c r="B8" s="143">
        <f>Sheet4!D21</f>
        <v>0.29513888888888573</v>
      </c>
      <c r="C8" s="143">
        <f>Sheet4!E21</f>
        <v>206.58333333333334</v>
      </c>
      <c r="D8" s="143">
        <f>Sheet4!F21</f>
        <v>206.875</v>
      </c>
      <c r="E8" s="143">
        <f>Sheet4!G21</f>
        <v>0.29166666666665719</v>
      </c>
      <c r="F8" s="143">
        <f>Sheet4!H21</f>
        <v>206.95138888888889</v>
      </c>
      <c r="G8" s="143">
        <f>Sheet4!I21</f>
        <v>207.20833333333334</v>
      </c>
      <c r="H8" s="143">
        <f>Sheet4!J21</f>
        <v>0.25694444444445708</v>
      </c>
      <c r="I8" s="144">
        <f t="shared" si="1"/>
        <v>0.84375</v>
      </c>
      <c r="J8" s="143">
        <v>0.15625</v>
      </c>
      <c r="K8" s="143">
        <v>0</v>
      </c>
      <c r="L8" s="143">
        <v>0</v>
      </c>
      <c r="M8" s="143">
        <v>0</v>
      </c>
      <c r="N8" s="143">
        <v>0</v>
      </c>
      <c r="O8" s="144">
        <f t="shared" si="2"/>
        <v>0</v>
      </c>
      <c r="P8" s="143">
        <v>0</v>
      </c>
      <c r="Q8" s="143">
        <v>0</v>
      </c>
      <c r="R8" s="143">
        <v>0</v>
      </c>
      <c r="S8" s="143">
        <v>0</v>
      </c>
      <c r="T8" s="144">
        <f t="shared" si="0"/>
        <v>0</v>
      </c>
      <c r="U8" s="147">
        <f t="shared" si="3"/>
        <v>1</v>
      </c>
      <c r="V8" s="131" t="s">
        <v>112</v>
      </c>
    </row>
    <row r="9" spans="1:22" ht="15.75" x14ac:dyDescent="0.25">
      <c r="A9" s="142">
        <v>43866</v>
      </c>
      <c r="B9" s="143">
        <f>Sheet5!D21</f>
        <v>0.15625</v>
      </c>
      <c r="C9" s="143">
        <f>Sheet5!E21</f>
        <v>206.60416666666666</v>
      </c>
      <c r="D9" s="143">
        <f>Sheet5!F21</f>
        <v>206.77083333333334</v>
      </c>
      <c r="E9" s="143">
        <f>Sheet5!G21</f>
        <v>0.16666666666668561</v>
      </c>
      <c r="F9" s="143">
        <f>Sheet5!H21</f>
        <v>206.94097222222223</v>
      </c>
      <c r="G9" s="143">
        <f>Sheet5!I21</f>
        <v>207.20833333333334</v>
      </c>
      <c r="H9" s="143">
        <f>Sheet5!J21</f>
        <v>0.26736111111111427</v>
      </c>
      <c r="I9" s="144">
        <f t="shared" si="1"/>
        <v>0.59027777777779988</v>
      </c>
      <c r="J9" s="143">
        <v>0.15625</v>
      </c>
      <c r="K9" s="143">
        <v>0</v>
      </c>
      <c r="L9" s="143">
        <v>0</v>
      </c>
      <c r="M9" s="143">
        <v>0.17361111111111113</v>
      </c>
      <c r="N9" s="143">
        <v>0</v>
      </c>
      <c r="O9" s="144">
        <f t="shared" si="2"/>
        <v>0.17361111111111113</v>
      </c>
      <c r="P9" s="143">
        <v>0</v>
      </c>
      <c r="Q9" s="143">
        <v>7.9861111111111105E-2</v>
      </c>
      <c r="R9" s="143">
        <v>0</v>
      </c>
      <c r="S9" s="143">
        <v>0</v>
      </c>
      <c r="T9" s="144">
        <f t="shared" si="0"/>
        <v>7.9861111111111105E-2</v>
      </c>
      <c r="U9" s="147">
        <f t="shared" si="3"/>
        <v>1.0000000000000222</v>
      </c>
      <c r="V9" s="131" t="s">
        <v>294</v>
      </c>
    </row>
    <row r="10" spans="1:22" ht="15.75" x14ac:dyDescent="0.25">
      <c r="A10" s="142">
        <v>43867</v>
      </c>
      <c r="B10" s="143">
        <f>Sheet6!D21</f>
        <v>0.29861111111111427</v>
      </c>
      <c r="C10" s="143">
        <f>Sheet6!E21</f>
        <v>206.59375</v>
      </c>
      <c r="D10" s="143">
        <f>Sheet6!F21</f>
        <v>206.875</v>
      </c>
      <c r="E10" s="143">
        <f>Sheet6!G21</f>
        <v>0.28125</v>
      </c>
      <c r="F10" s="143">
        <f>Sheet6!H21</f>
        <v>206.91666666666666</v>
      </c>
      <c r="G10" s="143">
        <f>Sheet6!I21</f>
        <v>207.20833333333334</v>
      </c>
      <c r="H10" s="143">
        <f>Sheet6!J21</f>
        <v>0.29166666666668561</v>
      </c>
      <c r="I10" s="144">
        <f t="shared" si="1"/>
        <v>0.87152777777779988</v>
      </c>
      <c r="J10" s="143">
        <v>0.12847222222222224</v>
      </c>
      <c r="K10" s="143">
        <v>0</v>
      </c>
      <c r="L10" s="143">
        <v>0</v>
      </c>
      <c r="M10" s="143">
        <v>0</v>
      </c>
      <c r="N10" s="143">
        <v>0</v>
      </c>
      <c r="O10" s="144">
        <f t="shared" si="2"/>
        <v>0</v>
      </c>
      <c r="P10" s="143">
        <v>0</v>
      </c>
      <c r="Q10" s="143">
        <v>0</v>
      </c>
      <c r="R10" s="143">
        <v>0</v>
      </c>
      <c r="S10" s="143">
        <v>0</v>
      </c>
      <c r="T10" s="144">
        <f t="shared" si="0"/>
        <v>0</v>
      </c>
      <c r="U10" s="147">
        <f t="shared" si="3"/>
        <v>1.0000000000000222</v>
      </c>
      <c r="V10" s="131"/>
    </row>
    <row r="11" spans="1:22" ht="15.75" x14ac:dyDescent="0.25">
      <c r="A11" s="142">
        <v>43868</v>
      </c>
      <c r="B11" s="143">
        <f>Sheet7!D21</f>
        <v>0.29861111111111427</v>
      </c>
      <c r="C11" s="143">
        <f>Sheet7!E21</f>
        <v>206.58333333333334</v>
      </c>
      <c r="D11" s="143">
        <f>Sheet7!F21</f>
        <v>206.875</v>
      </c>
      <c r="E11" s="143">
        <f>Sheet7!G21</f>
        <v>0.29166666666665719</v>
      </c>
      <c r="F11" s="143">
        <f>Sheet7!H21</f>
        <v>206.90972222222223</v>
      </c>
      <c r="G11" s="143">
        <f>Sheet7!I21</f>
        <v>207.20833333333334</v>
      </c>
      <c r="H11" s="143">
        <f>Sheet7!J21</f>
        <v>0.29861111111111427</v>
      </c>
      <c r="I11" s="144">
        <f t="shared" si="1"/>
        <v>0.88888888888888573</v>
      </c>
      <c r="J11" s="143">
        <v>0.1111111111111111</v>
      </c>
      <c r="K11" s="143">
        <v>0</v>
      </c>
      <c r="L11" s="143">
        <v>0</v>
      </c>
      <c r="M11" s="143">
        <v>0</v>
      </c>
      <c r="N11" s="143">
        <v>0</v>
      </c>
      <c r="O11" s="144">
        <f t="shared" si="2"/>
        <v>0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0"/>
        <v>0</v>
      </c>
      <c r="U11" s="147">
        <f t="shared" si="3"/>
        <v>0.99999999999999689</v>
      </c>
      <c r="V11" s="131"/>
    </row>
    <row r="12" spans="1:22" ht="15.75" x14ac:dyDescent="0.25">
      <c r="A12" s="142">
        <v>43869</v>
      </c>
      <c r="B12" s="143">
        <f>Sheet8!D21</f>
        <v>0.29166666666665719</v>
      </c>
      <c r="C12" s="143">
        <f>Sheet8!E21</f>
        <v>206.64583333333334</v>
      </c>
      <c r="D12" s="143">
        <f>Sheet8!F21</f>
        <v>206.77083333333334</v>
      </c>
      <c r="E12" s="143">
        <f>Sheet8!G21</f>
        <v>0.125</v>
      </c>
      <c r="F12" s="143">
        <f>Sheet8!H21</f>
        <v>206.92708333333334</v>
      </c>
      <c r="G12" s="143">
        <f>Sheet8!I21</f>
        <v>207.06944444444446</v>
      </c>
      <c r="H12" s="143">
        <f>Sheet8!J21</f>
        <v>0.14236111111111427</v>
      </c>
      <c r="I12" s="144">
        <f t="shared" si="1"/>
        <v>0.55902777777777146</v>
      </c>
      <c r="J12" s="143">
        <v>0.16666666666666666</v>
      </c>
      <c r="K12" s="143">
        <v>0</v>
      </c>
      <c r="L12" s="143">
        <v>0</v>
      </c>
      <c r="M12" s="143">
        <v>0</v>
      </c>
      <c r="N12" s="143">
        <v>0</v>
      </c>
      <c r="O12" s="144">
        <f t="shared" si="2"/>
        <v>0</v>
      </c>
      <c r="P12" s="143">
        <v>0</v>
      </c>
      <c r="Q12" s="143">
        <v>0</v>
      </c>
      <c r="R12" s="143">
        <v>0.27430555555555552</v>
      </c>
      <c r="S12" s="143">
        <v>0</v>
      </c>
      <c r="T12" s="144">
        <f t="shared" si="0"/>
        <v>0.27430555555555552</v>
      </c>
      <c r="U12" s="147">
        <f t="shared" si="3"/>
        <v>0.99999999999999356</v>
      </c>
      <c r="V12" s="131" t="s">
        <v>295</v>
      </c>
    </row>
    <row r="13" spans="1:22" ht="15.75" x14ac:dyDescent="0.25">
      <c r="A13" s="142">
        <v>43870</v>
      </c>
      <c r="B13" s="143">
        <f>Sheet9!D21</f>
        <v>0</v>
      </c>
      <c r="C13" s="143">
        <f>Sheet9!E21</f>
        <v>206.72569444444446</v>
      </c>
      <c r="D13" s="143">
        <f>Sheet9!F21</f>
        <v>206.875</v>
      </c>
      <c r="E13" s="143">
        <f>Sheet9!G21</f>
        <v>0.14930555555554292</v>
      </c>
      <c r="F13" s="143">
        <f>Sheet9!H21</f>
        <v>206.95138888888889</v>
      </c>
      <c r="G13" s="143">
        <f>Sheet9!I21</f>
        <v>207.20833333333334</v>
      </c>
      <c r="H13" s="143">
        <f>Sheet9!J21</f>
        <v>0.25694444444445708</v>
      </c>
      <c r="I13" s="144">
        <f t="shared" si="1"/>
        <v>0.40625</v>
      </c>
      <c r="J13" s="143">
        <v>0.15277777777777776</v>
      </c>
      <c r="K13" s="143">
        <v>0</v>
      </c>
      <c r="L13" s="143">
        <v>0</v>
      </c>
      <c r="M13" s="143">
        <v>0</v>
      </c>
      <c r="N13" s="143">
        <v>0</v>
      </c>
      <c r="O13" s="144">
        <f t="shared" si="2"/>
        <v>0</v>
      </c>
      <c r="P13" s="143">
        <v>0</v>
      </c>
      <c r="Q13" s="143">
        <v>0</v>
      </c>
      <c r="R13" s="143">
        <v>0.44097222222222227</v>
      </c>
      <c r="S13" s="143">
        <v>0</v>
      </c>
      <c r="T13" s="144">
        <f t="shared" si="0"/>
        <v>0.44097222222222227</v>
      </c>
      <c r="U13" s="147">
        <f t="shared" si="3"/>
        <v>1</v>
      </c>
      <c r="V13" s="131" t="s">
        <v>295</v>
      </c>
    </row>
    <row r="14" spans="1:22" ht="15.75" x14ac:dyDescent="0.25">
      <c r="A14" s="142">
        <v>43871</v>
      </c>
      <c r="B14" s="143">
        <f>Sheet10!D21</f>
        <v>0.26041666666665719</v>
      </c>
      <c r="C14" s="143">
        <f>Sheet10!E21</f>
        <v>206.60069444444446</v>
      </c>
      <c r="D14" s="143">
        <f>Sheet10!F21</f>
        <v>206.875</v>
      </c>
      <c r="E14" s="143">
        <f>Sheet10!G21</f>
        <v>0.27430555555554292</v>
      </c>
      <c r="F14" s="143">
        <f>Sheet10!H21</f>
        <v>206.97916666666666</v>
      </c>
      <c r="G14" s="143">
        <f>Sheet10!I21</f>
        <v>207.11111111111111</v>
      </c>
      <c r="H14" s="143">
        <f>Sheet10!J21</f>
        <v>0.13194444444445708</v>
      </c>
      <c r="I14" s="144">
        <f t="shared" si="1"/>
        <v>0.66666666666665719</v>
      </c>
      <c r="J14" s="143">
        <v>0.19444444444444445</v>
      </c>
      <c r="K14" s="143">
        <v>0</v>
      </c>
      <c r="L14" s="143">
        <v>0.1388888888888889</v>
      </c>
      <c r="M14" s="143">
        <v>0</v>
      </c>
      <c r="N14" s="143">
        <v>0</v>
      </c>
      <c r="O14" s="144">
        <f t="shared" si="2"/>
        <v>0.1388888888888889</v>
      </c>
      <c r="P14" s="143">
        <v>0</v>
      </c>
      <c r="Q14" s="143">
        <v>0</v>
      </c>
      <c r="R14" s="143">
        <v>0</v>
      </c>
      <c r="S14" s="143">
        <v>0</v>
      </c>
      <c r="T14" s="144">
        <f>SUM(P14:S14)</f>
        <v>0</v>
      </c>
      <c r="U14" s="147">
        <f t="shared" si="3"/>
        <v>0.99999999999999045</v>
      </c>
      <c r="V14" s="131" t="s">
        <v>296</v>
      </c>
    </row>
    <row r="15" spans="1:22" ht="15.75" x14ac:dyDescent="0.25">
      <c r="A15" s="142">
        <v>43872</v>
      </c>
      <c r="B15" s="143">
        <f>Sheet11!D21</f>
        <v>0.14583333333334281</v>
      </c>
      <c r="C15" s="143">
        <f>Sheet11!E21</f>
        <v>206.59722222222223</v>
      </c>
      <c r="D15" s="143">
        <f>Sheet11!F21</f>
        <v>206.875</v>
      </c>
      <c r="E15" s="143">
        <f>Sheet11!G21</f>
        <v>0.27777777777777146</v>
      </c>
      <c r="F15" s="143">
        <f>Sheet11!H21</f>
        <v>206.90972222222223</v>
      </c>
      <c r="G15" s="143">
        <f>Sheet11!I21</f>
        <v>207.20833333333334</v>
      </c>
      <c r="H15" s="143">
        <f>Sheet11!J21</f>
        <v>0.29861111111111427</v>
      </c>
      <c r="I15" s="144">
        <f t="shared" si="1"/>
        <v>0.72222222222222854</v>
      </c>
      <c r="J15" s="143">
        <v>0.19444444444444445</v>
      </c>
      <c r="K15" s="143">
        <v>0</v>
      </c>
      <c r="L15" s="143">
        <v>0</v>
      </c>
      <c r="M15" s="143">
        <v>8.3333333333333329E-2</v>
      </c>
      <c r="N15" s="143">
        <v>0</v>
      </c>
      <c r="O15" s="144">
        <f t="shared" si="2"/>
        <v>8.3333333333333329E-2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ref="T15:T33" si="4">SUM(P15:S15)</f>
        <v>0</v>
      </c>
      <c r="U15" s="147">
        <f t="shared" si="3"/>
        <v>1.0000000000000064</v>
      </c>
      <c r="V15" s="131" t="s">
        <v>112</v>
      </c>
    </row>
    <row r="16" spans="1:22" ht="15.75" x14ac:dyDescent="0.25">
      <c r="A16" s="142">
        <v>43873</v>
      </c>
      <c r="B16" s="143">
        <f>Sheet12!D21</f>
        <v>0.13888888888888573</v>
      </c>
      <c r="C16" s="143">
        <f>Sheet12!E21</f>
        <v>206.60416666666666</v>
      </c>
      <c r="D16" s="143">
        <f>Sheet12!F21</f>
        <v>206.75</v>
      </c>
      <c r="E16" s="143">
        <f>Sheet12!G21</f>
        <v>0.14583333333334281</v>
      </c>
      <c r="F16" s="143">
        <f>Sheet12!H21</f>
        <v>206.90972222222223</v>
      </c>
      <c r="G16" s="143">
        <f>Sheet12!I21</f>
        <v>207.20833333333334</v>
      </c>
      <c r="H16" s="143">
        <f>Sheet12!J21</f>
        <v>0.29861111111111427</v>
      </c>
      <c r="I16" s="144">
        <f t="shared" si="1"/>
        <v>0.58333333333334281</v>
      </c>
      <c r="J16" s="143">
        <v>0.13194444444444445</v>
      </c>
      <c r="K16" s="143">
        <v>0</v>
      </c>
      <c r="L16" s="143">
        <v>0</v>
      </c>
      <c r="M16" s="143">
        <v>0.15972222222222224</v>
      </c>
      <c r="N16" s="143">
        <v>0</v>
      </c>
      <c r="O16" s="144">
        <f t="shared" si="2"/>
        <v>0.15972222222222224</v>
      </c>
      <c r="P16" s="143">
        <v>0.125</v>
      </c>
      <c r="Q16" s="143">
        <v>0</v>
      </c>
      <c r="R16" s="143">
        <v>0</v>
      </c>
      <c r="S16" s="143">
        <v>0</v>
      </c>
      <c r="T16" s="144">
        <f t="shared" si="4"/>
        <v>0.125</v>
      </c>
      <c r="U16" s="147">
        <f t="shared" si="3"/>
        <v>1.0000000000000093</v>
      </c>
      <c r="V16" s="131" t="s">
        <v>297</v>
      </c>
    </row>
    <row r="17" spans="1:22" ht="15.75" x14ac:dyDescent="0.25">
      <c r="A17" s="142">
        <v>43874</v>
      </c>
      <c r="B17" s="143">
        <f>Sheet13!D21</f>
        <v>0.20833333333331439</v>
      </c>
      <c r="C17" s="143">
        <f>Sheet13!E21</f>
        <v>206.625</v>
      </c>
      <c r="D17" s="143">
        <f>Sheet13!F21</f>
        <v>206.84375</v>
      </c>
      <c r="E17" s="143">
        <f>Sheet13!G21</f>
        <v>0.21875</v>
      </c>
      <c r="F17" s="143">
        <f>Sheet13!H21</f>
        <v>206.95138888888889</v>
      </c>
      <c r="G17" s="143">
        <f>Sheet13!I21</f>
        <v>207.20833333333334</v>
      </c>
      <c r="H17" s="143">
        <f>Sheet13!J21</f>
        <v>0.25694444444445708</v>
      </c>
      <c r="I17" s="144">
        <f t="shared" si="1"/>
        <v>0.68402777777777146</v>
      </c>
      <c r="J17" s="143">
        <v>0.20486111111111113</v>
      </c>
      <c r="K17" s="143">
        <v>0</v>
      </c>
      <c r="L17" s="143">
        <v>0.1111111111111111</v>
      </c>
      <c r="M17" s="143">
        <v>0</v>
      </c>
      <c r="N17" s="143">
        <v>0</v>
      </c>
      <c r="O17" s="144">
        <f t="shared" si="2"/>
        <v>0.1111111111111111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4"/>
        <v>0</v>
      </c>
      <c r="U17" s="147">
        <f t="shared" si="3"/>
        <v>0.99999999999999378</v>
      </c>
      <c r="V17" s="131" t="s">
        <v>112</v>
      </c>
    </row>
    <row r="18" spans="1:22" ht="15.75" x14ac:dyDescent="0.25">
      <c r="A18" s="142">
        <v>43875</v>
      </c>
      <c r="B18" s="143">
        <f>Sheet14!D21</f>
        <v>0.1875</v>
      </c>
      <c r="C18" s="143">
        <f>Sheet14!E21</f>
        <v>206.59375</v>
      </c>
      <c r="D18" s="143">
        <f>Sheet14!F21</f>
        <v>206.875</v>
      </c>
      <c r="E18" s="143">
        <f>Sheet14!G21</f>
        <v>0.28125</v>
      </c>
      <c r="F18" s="143">
        <f>Sheet14!H21</f>
        <v>206.92708333333334</v>
      </c>
      <c r="G18" s="143">
        <f>Sheet14!I21</f>
        <v>207.0625</v>
      </c>
      <c r="H18" s="143">
        <f>Sheet14!J21</f>
        <v>0.13541666666665719</v>
      </c>
      <c r="I18" s="144">
        <f t="shared" si="1"/>
        <v>0.60416666666665719</v>
      </c>
      <c r="J18" s="143">
        <v>0.27083333333333331</v>
      </c>
      <c r="K18" s="143">
        <v>0</v>
      </c>
      <c r="L18" s="143">
        <v>0</v>
      </c>
      <c r="M18" s="143">
        <v>0.125</v>
      </c>
      <c r="N18" s="143">
        <v>0</v>
      </c>
      <c r="O18" s="144">
        <f t="shared" si="2"/>
        <v>0.125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4"/>
        <v>0</v>
      </c>
      <c r="U18" s="147">
        <f t="shared" si="3"/>
        <v>0.99999999999999045</v>
      </c>
      <c r="V18" s="131" t="s">
        <v>112</v>
      </c>
    </row>
    <row r="19" spans="1:22" ht="15.75" x14ac:dyDescent="0.25">
      <c r="A19" s="142">
        <v>43876</v>
      </c>
      <c r="B19" s="143">
        <f>Sheet14!D21</f>
        <v>0.1875</v>
      </c>
      <c r="C19" s="143">
        <f>Sheet14!E21</f>
        <v>206.59375</v>
      </c>
      <c r="D19" s="143">
        <f>Sheet14!F21</f>
        <v>206.875</v>
      </c>
      <c r="E19" s="143">
        <f>Sheet14!G21</f>
        <v>0.28125</v>
      </c>
      <c r="F19" s="143">
        <f>Sheet14!H21</f>
        <v>206.92708333333334</v>
      </c>
      <c r="G19" s="143">
        <f>Sheet14!I21</f>
        <v>207.0625</v>
      </c>
      <c r="H19" s="143">
        <f>Sheet14!J21</f>
        <v>0.13541666666665719</v>
      </c>
      <c r="I19" s="144">
        <f t="shared" si="1"/>
        <v>0.60416666666665719</v>
      </c>
      <c r="J19" s="143">
        <v>0.17708333333333334</v>
      </c>
      <c r="K19" s="143">
        <v>0</v>
      </c>
      <c r="L19" s="143">
        <v>0</v>
      </c>
      <c r="M19" s="143">
        <v>0.21875</v>
      </c>
      <c r="N19" s="143">
        <v>0</v>
      </c>
      <c r="O19" s="144">
        <f t="shared" si="2"/>
        <v>0.21875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4"/>
        <v>0</v>
      </c>
      <c r="U19" s="147">
        <f t="shared" si="3"/>
        <v>0.99999999999999056</v>
      </c>
      <c r="V19" s="131" t="s">
        <v>298</v>
      </c>
    </row>
    <row r="20" spans="1:22" ht="15.75" x14ac:dyDescent="0.25">
      <c r="A20" s="142">
        <v>43877</v>
      </c>
      <c r="B20" s="143">
        <f>Sheet16!D21</f>
        <v>0.28472222222220012</v>
      </c>
      <c r="C20" s="143">
        <f>Sheet16!E21</f>
        <v>206.61805555555554</v>
      </c>
      <c r="D20" s="143">
        <f>Sheet16!F21</f>
        <v>206.875</v>
      </c>
      <c r="E20" s="143">
        <f>Sheet16!G21</f>
        <v>0.25694444444445708</v>
      </c>
      <c r="F20" s="143">
        <f>Sheet16!H21</f>
        <v>206.92013888888889</v>
      </c>
      <c r="G20" s="143">
        <f>Sheet16!I21</f>
        <v>207.20833333333334</v>
      </c>
      <c r="H20" s="143">
        <f>Sheet16!J21</f>
        <v>0.28819444444445708</v>
      </c>
      <c r="I20" s="144">
        <f t="shared" si="1"/>
        <v>0.82986111111111427</v>
      </c>
      <c r="J20" s="143">
        <v>8.3333333333333329E-2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2"/>
        <v>0</v>
      </c>
      <c r="P20" s="143">
        <v>0</v>
      </c>
      <c r="Q20" s="143">
        <v>0</v>
      </c>
      <c r="R20" s="143">
        <v>8.6805555555555566E-2</v>
      </c>
      <c r="S20" s="143">
        <v>0</v>
      </c>
      <c r="T20" s="144">
        <f t="shared" si="4"/>
        <v>8.6805555555555566E-2</v>
      </c>
      <c r="U20" s="147">
        <f t="shared" si="3"/>
        <v>1.0000000000000031</v>
      </c>
      <c r="V20" s="131" t="s">
        <v>298</v>
      </c>
    </row>
    <row r="21" spans="1:22" ht="15.75" x14ac:dyDescent="0.25">
      <c r="A21" s="142">
        <v>43878</v>
      </c>
      <c r="B21" s="143">
        <f>Sheet17!D21</f>
        <v>0.14583333333331439</v>
      </c>
      <c r="C21" s="143">
        <f>Sheet17!E21</f>
        <v>206.58333333333334</v>
      </c>
      <c r="D21" s="143">
        <f>Sheet17!F21</f>
        <v>206.875</v>
      </c>
      <c r="E21" s="143">
        <f>Sheet17!G21</f>
        <v>0.29166666666665719</v>
      </c>
      <c r="F21" s="143">
        <f>Sheet17!H21</f>
        <v>206.95833333333334</v>
      </c>
      <c r="G21" s="143">
        <f>Sheet17!I21</f>
        <v>207.20833333333334</v>
      </c>
      <c r="H21" s="143">
        <f>Sheet17!J21</f>
        <v>0.25</v>
      </c>
      <c r="I21" s="144">
        <f t="shared" si="1"/>
        <v>0.68749999999997158</v>
      </c>
      <c r="J21" s="143">
        <v>0.3125</v>
      </c>
      <c r="K21" s="143">
        <v>0</v>
      </c>
      <c r="L21" s="143">
        <v>0</v>
      </c>
      <c r="M21" s="143">
        <v>0</v>
      </c>
      <c r="N21" s="143">
        <v>0</v>
      </c>
      <c r="O21" s="144">
        <f t="shared" si="2"/>
        <v>0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4"/>
        <v>0</v>
      </c>
      <c r="U21" s="147">
        <f t="shared" si="3"/>
        <v>0.99999999999997158</v>
      </c>
      <c r="V21" s="131"/>
    </row>
    <row r="22" spans="1:22" ht="15.75" x14ac:dyDescent="0.25">
      <c r="A22" s="142">
        <v>43879</v>
      </c>
      <c r="B22" s="143">
        <f>Sheet18!D21</f>
        <v>0.28472222222220012</v>
      </c>
      <c r="C22" s="143">
        <f>Sheet18!E21</f>
        <v>206.58333333333334</v>
      </c>
      <c r="D22" s="143">
        <f>Sheet18!F21</f>
        <v>206.875</v>
      </c>
      <c r="E22" s="143">
        <f>Sheet18!G21</f>
        <v>0.29166666666665719</v>
      </c>
      <c r="F22" s="143">
        <f>Sheet18!H21</f>
        <v>206.92361111111111</v>
      </c>
      <c r="G22" s="143">
        <f>Sheet18!I21</f>
        <v>207.20833333333334</v>
      </c>
      <c r="H22" s="143">
        <f>Sheet18!J21</f>
        <v>0.28472222222222854</v>
      </c>
      <c r="I22" s="144">
        <f t="shared" si="1"/>
        <v>0.86111111111108585</v>
      </c>
      <c r="J22" s="143">
        <v>0.1388888888888889</v>
      </c>
      <c r="K22" s="143">
        <v>0</v>
      </c>
      <c r="L22" s="143">
        <v>0</v>
      </c>
      <c r="M22" s="143">
        <v>0</v>
      </c>
      <c r="N22" s="143">
        <v>0</v>
      </c>
      <c r="O22" s="144">
        <f t="shared" si="2"/>
        <v>0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4"/>
        <v>0</v>
      </c>
      <c r="U22" s="147">
        <f t="shared" si="3"/>
        <v>0.99999999999997469</v>
      </c>
      <c r="V22" s="148"/>
    </row>
    <row r="23" spans="1:22" ht="15.75" x14ac:dyDescent="0.25">
      <c r="A23" s="142">
        <v>43880</v>
      </c>
      <c r="B23" s="143">
        <f>Sheet18!D21</f>
        <v>0.28472222222220012</v>
      </c>
      <c r="C23" s="143">
        <f>Sheet18!E21</f>
        <v>206.58333333333334</v>
      </c>
      <c r="D23" s="143">
        <f>Sheet18!F21</f>
        <v>206.875</v>
      </c>
      <c r="E23" s="143">
        <f>Sheet18!G21</f>
        <v>0.29166666666665719</v>
      </c>
      <c r="F23" s="143">
        <f>Sheet18!H21</f>
        <v>206.92361111111111</v>
      </c>
      <c r="G23" s="143">
        <f>Sheet18!I21</f>
        <v>207.20833333333334</v>
      </c>
      <c r="H23" s="143">
        <f>Sheet18!J21</f>
        <v>0.28472222222222854</v>
      </c>
      <c r="I23" s="144">
        <f t="shared" si="1"/>
        <v>0.86111111111108585</v>
      </c>
      <c r="J23" s="143">
        <v>0.1388888888888889</v>
      </c>
      <c r="K23" s="143">
        <v>0</v>
      </c>
      <c r="L23" s="143">
        <v>0</v>
      </c>
      <c r="M23" s="143">
        <v>0</v>
      </c>
      <c r="N23" s="143">
        <v>0</v>
      </c>
      <c r="O23" s="144">
        <f t="shared" si="2"/>
        <v>0</v>
      </c>
      <c r="P23" s="143">
        <v>0</v>
      </c>
      <c r="Q23" s="143">
        <v>0</v>
      </c>
      <c r="R23" s="143">
        <v>0</v>
      </c>
      <c r="S23" s="143">
        <v>0</v>
      </c>
      <c r="T23" s="144">
        <f t="shared" si="4"/>
        <v>0</v>
      </c>
      <c r="U23" s="147">
        <f t="shared" si="3"/>
        <v>0.99999999999997469</v>
      </c>
      <c r="V23" s="131"/>
    </row>
    <row r="24" spans="1:22" ht="15.75" x14ac:dyDescent="0.25">
      <c r="A24" s="142">
        <v>43881</v>
      </c>
      <c r="B24" s="143">
        <f>Sheet20!D21</f>
        <v>0.29166666666665719</v>
      </c>
      <c r="C24" s="143">
        <f>Sheet20!E21</f>
        <v>206.60416666666666</v>
      </c>
      <c r="D24" s="143">
        <f>Sheet20!F21</f>
        <v>206.875</v>
      </c>
      <c r="E24" s="143">
        <f>Sheet20!G21</f>
        <v>0.27083333333334281</v>
      </c>
      <c r="F24" s="143">
        <f>Sheet20!H21</f>
        <v>206.9375</v>
      </c>
      <c r="G24" s="143">
        <f>Sheet20!I21</f>
        <v>207.20833333333334</v>
      </c>
      <c r="H24" s="143">
        <f>Sheet20!J21</f>
        <v>0.27083333333334281</v>
      </c>
      <c r="I24" s="144">
        <f t="shared" si="1"/>
        <v>0.83333333333334281</v>
      </c>
      <c r="J24" s="143">
        <v>0.16666666666666666</v>
      </c>
      <c r="K24" s="143">
        <v>0</v>
      </c>
      <c r="L24" s="143">
        <v>0</v>
      </c>
      <c r="M24" s="143">
        <v>0</v>
      </c>
      <c r="N24" s="143">
        <v>0</v>
      </c>
      <c r="O24" s="144">
        <f t="shared" si="2"/>
        <v>0</v>
      </c>
      <c r="P24" s="143">
        <v>0</v>
      </c>
      <c r="Q24" s="143">
        <v>0</v>
      </c>
      <c r="R24" s="143">
        <v>0</v>
      </c>
      <c r="S24" s="143">
        <v>0</v>
      </c>
      <c r="T24" s="144">
        <f t="shared" si="4"/>
        <v>0</v>
      </c>
      <c r="U24" s="147">
        <f t="shared" si="3"/>
        <v>1.0000000000000095</v>
      </c>
      <c r="V24" s="131" t="s">
        <v>112</v>
      </c>
    </row>
    <row r="25" spans="1:22" ht="15.75" x14ac:dyDescent="0.25">
      <c r="A25" s="142">
        <v>43882</v>
      </c>
      <c r="B25" s="143">
        <f>Sheet21!D21</f>
        <v>0.22916666666665719</v>
      </c>
      <c r="C25" s="143">
        <f>Sheet21!E21</f>
        <v>206.60416666666666</v>
      </c>
      <c r="D25" s="143">
        <f>Sheet21!F21</f>
        <v>206.85416666666666</v>
      </c>
      <c r="E25" s="143">
        <f>Sheet21!G21</f>
        <v>0.25</v>
      </c>
      <c r="F25" s="143">
        <f>Sheet21!H21</f>
        <v>206.91666666666666</v>
      </c>
      <c r="G25" s="143">
        <f>Sheet21!I21</f>
        <v>207.20833333333334</v>
      </c>
      <c r="H25" s="143">
        <f>Sheet21!J21</f>
        <v>0.29166666666668561</v>
      </c>
      <c r="I25" s="144">
        <f t="shared" si="1"/>
        <v>0.77083333333334281</v>
      </c>
      <c r="J25" s="143">
        <v>0.1388888888888889</v>
      </c>
      <c r="K25" s="143">
        <v>0</v>
      </c>
      <c r="L25" s="143">
        <v>0</v>
      </c>
      <c r="M25" s="143">
        <v>9.0277777777777776E-2</v>
      </c>
      <c r="N25" s="143">
        <v>0</v>
      </c>
      <c r="O25" s="144">
        <f t="shared" si="2"/>
        <v>9.0277777777777776E-2</v>
      </c>
      <c r="P25" s="143">
        <v>0</v>
      </c>
      <c r="Q25" s="143">
        <v>0</v>
      </c>
      <c r="R25" s="143">
        <v>0</v>
      </c>
      <c r="S25" s="143">
        <v>0</v>
      </c>
      <c r="T25" s="144">
        <f t="shared" si="4"/>
        <v>0</v>
      </c>
      <c r="U25" s="147">
        <f t="shared" si="3"/>
        <v>1.0000000000000095</v>
      </c>
      <c r="V25" s="131" t="s">
        <v>298</v>
      </c>
    </row>
    <row r="26" spans="1:22" ht="15.75" x14ac:dyDescent="0.25">
      <c r="A26" s="142">
        <v>43883</v>
      </c>
      <c r="B26" s="143">
        <f>Sheet22!D21</f>
        <v>0.13888888888888573</v>
      </c>
      <c r="C26" s="143" t="e">
        <f>Sheet22!#REF!</f>
        <v>#REF!</v>
      </c>
      <c r="D26" s="143" t="e">
        <f>Sheet22!#REF!</f>
        <v>#REF!</v>
      </c>
      <c r="E26" s="143">
        <f>Sheet22!G21</f>
        <v>0.29166666666665719</v>
      </c>
      <c r="F26" s="143" t="e">
        <f>Sheet22!#REF!</f>
        <v>#REF!</v>
      </c>
      <c r="G26" s="143" t="e">
        <f>Sheet22!#REF!</f>
        <v>#REF!</v>
      </c>
      <c r="H26" s="143">
        <f>Sheet22!J21</f>
        <v>0.29166666666668561</v>
      </c>
      <c r="I26" s="144">
        <f t="shared" si="1"/>
        <v>0.72222222222222854</v>
      </c>
      <c r="J26" s="143">
        <v>0.18055555555555555</v>
      </c>
      <c r="K26" s="143">
        <v>0</v>
      </c>
      <c r="L26" s="143">
        <v>0</v>
      </c>
      <c r="M26" s="143">
        <v>9.7222222222222224E-2</v>
      </c>
      <c r="N26" s="143">
        <v>0</v>
      </c>
      <c r="O26" s="144">
        <f t="shared" si="2"/>
        <v>9.7222222222222224E-2</v>
      </c>
      <c r="P26" s="143">
        <v>0</v>
      </c>
      <c r="Q26" s="143">
        <v>0</v>
      </c>
      <c r="R26" s="143">
        <v>0</v>
      </c>
      <c r="S26" s="143">
        <v>0</v>
      </c>
      <c r="T26" s="144">
        <f t="shared" si="4"/>
        <v>0</v>
      </c>
      <c r="U26" s="147">
        <f t="shared" si="3"/>
        <v>1.0000000000000062</v>
      </c>
      <c r="V26" s="131" t="s">
        <v>298</v>
      </c>
    </row>
    <row r="27" spans="1:22" ht="15.75" x14ac:dyDescent="0.25">
      <c r="A27" s="142">
        <v>43884</v>
      </c>
      <c r="B27" s="143">
        <f>Sheet23!D21</f>
        <v>0.125</v>
      </c>
      <c r="C27" s="143">
        <f>Sheet23!E21</f>
        <v>206.57986111111111</v>
      </c>
      <c r="D27" s="143">
        <f>Sheet23!F21</f>
        <v>206.875</v>
      </c>
      <c r="E27" s="143">
        <f>Sheet23!G21</f>
        <v>0.29513888888888573</v>
      </c>
      <c r="F27" s="143">
        <f>Sheet23!H21</f>
        <v>206.95833333333334</v>
      </c>
      <c r="G27" s="143">
        <f>Sheet23!I21</f>
        <v>207.20833333333334</v>
      </c>
      <c r="H27" s="143">
        <f>Sheet23!J21</f>
        <v>0.25</v>
      </c>
      <c r="I27" s="144">
        <f t="shared" si="1"/>
        <v>0.67013888888888573</v>
      </c>
      <c r="J27" s="143">
        <v>0.15277777777777776</v>
      </c>
      <c r="K27" s="143">
        <v>0</v>
      </c>
      <c r="L27" s="143">
        <v>0</v>
      </c>
      <c r="M27" s="143">
        <v>0.17708333333333334</v>
      </c>
      <c r="N27" s="143">
        <v>0</v>
      </c>
      <c r="O27" s="144">
        <f t="shared" si="2"/>
        <v>0.17708333333333334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4"/>
        <v>0</v>
      </c>
      <c r="U27" s="147">
        <f t="shared" si="3"/>
        <v>0.99999999999999689</v>
      </c>
      <c r="V27" s="131" t="s">
        <v>305</v>
      </c>
    </row>
    <row r="28" spans="1:22" ht="15.75" x14ac:dyDescent="0.25">
      <c r="A28" s="142">
        <v>43885</v>
      </c>
      <c r="B28" s="143">
        <f>Sheet24!D21</f>
        <v>0.29166666666665719</v>
      </c>
      <c r="C28" s="143">
        <f>Sheet24!E21</f>
        <v>206.60763888888889</v>
      </c>
      <c r="D28" s="143">
        <f>Sheet24!F21</f>
        <v>206.875</v>
      </c>
      <c r="E28" s="143">
        <f>Sheet24!G21</f>
        <v>0.26736111111111427</v>
      </c>
      <c r="F28" s="143">
        <f>Sheet24!H21</f>
        <v>206.96527777777777</v>
      </c>
      <c r="G28" s="143">
        <f>Sheet24!I21</f>
        <v>207.20833333333334</v>
      </c>
      <c r="H28" s="143">
        <f>Sheet24!J21</f>
        <v>0.24305555555557135</v>
      </c>
      <c r="I28" s="144">
        <f t="shared" si="1"/>
        <v>0.80208333333334281</v>
      </c>
      <c r="J28" s="143">
        <v>0.19791666666666666</v>
      </c>
      <c r="K28" s="143">
        <v>0</v>
      </c>
      <c r="L28" s="143">
        <v>0</v>
      </c>
      <c r="M28" s="143">
        <v>0</v>
      </c>
      <c r="N28" s="143">
        <v>0</v>
      </c>
      <c r="O28" s="144">
        <f t="shared" si="2"/>
        <v>0</v>
      </c>
      <c r="P28" s="143">
        <v>0</v>
      </c>
      <c r="Q28" s="143">
        <v>0</v>
      </c>
      <c r="R28" s="143">
        <v>0</v>
      </c>
      <c r="S28" s="143">
        <v>0</v>
      </c>
      <c r="T28" s="144">
        <f t="shared" si="4"/>
        <v>0</v>
      </c>
      <c r="U28" s="147">
        <f t="shared" si="3"/>
        <v>1.0000000000000095</v>
      </c>
      <c r="V28" s="131" t="s">
        <v>112</v>
      </c>
    </row>
    <row r="29" spans="1:22" ht="15.75" x14ac:dyDescent="0.25">
      <c r="A29" s="142">
        <v>43886</v>
      </c>
      <c r="B29" s="143">
        <f>Sheet25!D21</f>
        <v>0.29166666666665719</v>
      </c>
      <c r="C29" s="143">
        <f>Sheet25!E21</f>
        <v>206.58333333333334</v>
      </c>
      <c r="D29" s="143">
        <f>Sheet25!F21</f>
        <v>206.875</v>
      </c>
      <c r="E29" s="143">
        <f>Sheet25!G21</f>
        <v>0.29166666666665719</v>
      </c>
      <c r="F29" s="143">
        <f>Sheet25!H21</f>
        <v>206</v>
      </c>
      <c r="G29" s="143">
        <f>Sheet25!I21</f>
        <v>207</v>
      </c>
      <c r="H29" s="143">
        <f>Sheet25!J21</f>
        <v>1</v>
      </c>
      <c r="I29" s="144">
        <f t="shared" si="1"/>
        <v>1.5833333333333144</v>
      </c>
      <c r="J29" s="143">
        <v>0.35069444444444442</v>
      </c>
      <c r="K29" s="143">
        <v>0</v>
      </c>
      <c r="L29" s="143">
        <v>0</v>
      </c>
      <c r="M29" s="143">
        <v>6.5972222222222224E-2</v>
      </c>
      <c r="N29" s="143">
        <v>0</v>
      </c>
      <c r="O29" s="144">
        <f t="shared" si="2"/>
        <v>6.5972222222222224E-2</v>
      </c>
      <c r="P29" s="143">
        <v>0</v>
      </c>
      <c r="Q29" s="143">
        <v>0</v>
      </c>
      <c r="R29" s="143">
        <v>0</v>
      </c>
      <c r="S29" s="143">
        <v>0</v>
      </c>
      <c r="T29" s="144">
        <f t="shared" si="4"/>
        <v>0</v>
      </c>
      <c r="U29" s="147">
        <f t="shared" si="3"/>
        <v>1.9999999999999811</v>
      </c>
      <c r="V29" s="263"/>
    </row>
    <row r="30" spans="1:22" ht="15.75" x14ac:dyDescent="0.25">
      <c r="A30" s="142">
        <v>43887</v>
      </c>
      <c r="B30" s="143">
        <f>Sheet26!D21</f>
        <v>0.22916666666668561</v>
      </c>
      <c r="C30" s="143">
        <f>Sheet26!E21</f>
        <v>206.64930555555554</v>
      </c>
      <c r="D30" s="143">
        <f>Sheet26!F21</f>
        <v>206.875</v>
      </c>
      <c r="E30" s="143">
        <f>Sheet26!G21</f>
        <v>0.22569444444445708</v>
      </c>
      <c r="F30" s="143">
        <f>Sheet26!H21</f>
        <v>206.97916666666666</v>
      </c>
      <c r="G30" s="143">
        <f>Sheet26!I21</f>
        <v>207.20833333333334</v>
      </c>
      <c r="H30" s="143">
        <f>Sheet26!J21</f>
        <v>0.22916666666668561</v>
      </c>
      <c r="I30" s="144">
        <f t="shared" si="1"/>
        <v>0.68402777777782831</v>
      </c>
      <c r="J30" s="143">
        <v>0.1111111111111111</v>
      </c>
      <c r="K30" s="143">
        <v>0</v>
      </c>
      <c r="L30" s="143">
        <v>0</v>
      </c>
      <c r="M30" s="143">
        <v>0</v>
      </c>
      <c r="N30" s="143">
        <v>0</v>
      </c>
      <c r="O30" s="144">
        <f t="shared" si="2"/>
        <v>0</v>
      </c>
      <c r="P30" s="143">
        <v>0</v>
      </c>
      <c r="Q30" s="143">
        <v>0.20486111111111113</v>
      </c>
      <c r="R30" s="143">
        <v>0</v>
      </c>
      <c r="S30" s="143">
        <v>0</v>
      </c>
      <c r="T30" s="144">
        <f t="shared" si="4"/>
        <v>0.20486111111111113</v>
      </c>
      <c r="U30" s="147">
        <f t="shared" si="3"/>
        <v>1.0000000000000506</v>
      </c>
      <c r="V30" s="264"/>
    </row>
    <row r="31" spans="1:22" ht="15.75" x14ac:dyDescent="0.25">
      <c r="A31" s="142">
        <v>43888</v>
      </c>
      <c r="B31" s="143">
        <f>Sheet27!D21</f>
        <v>0.29513888888888573</v>
      </c>
      <c r="C31" s="143">
        <f>Sheet27!E21</f>
        <v>206.60416666666666</v>
      </c>
      <c r="D31" s="143">
        <f>Sheet27!F21</f>
        <v>206.875</v>
      </c>
      <c r="E31" s="143">
        <f>Sheet27!G21</f>
        <v>0.27083333333334281</v>
      </c>
      <c r="F31" s="143">
        <f>Sheet27!H21</f>
        <v>206.90972222222223</v>
      </c>
      <c r="G31" s="143">
        <f>Sheet27!I21</f>
        <v>207.20833333333334</v>
      </c>
      <c r="H31" s="143">
        <f>Sheet27!J21</f>
        <v>0.29861111111111427</v>
      </c>
      <c r="I31" s="144">
        <f t="shared" si="1"/>
        <v>0.86458333333334281</v>
      </c>
      <c r="J31" s="143">
        <v>0.13541666666666666</v>
      </c>
      <c r="K31" s="143">
        <v>0</v>
      </c>
      <c r="L31" s="143">
        <v>0</v>
      </c>
      <c r="M31" s="143">
        <v>0</v>
      </c>
      <c r="N31" s="143">
        <v>0</v>
      </c>
      <c r="O31" s="144">
        <f t="shared" si="2"/>
        <v>0</v>
      </c>
      <c r="P31" s="143">
        <v>0</v>
      </c>
      <c r="Q31" s="143">
        <v>0</v>
      </c>
      <c r="R31" s="143">
        <v>0</v>
      </c>
      <c r="S31" s="143">
        <v>0</v>
      </c>
      <c r="T31" s="144">
        <f t="shared" si="4"/>
        <v>0</v>
      </c>
      <c r="U31" s="147">
        <f t="shared" si="3"/>
        <v>1.0000000000000095</v>
      </c>
      <c r="V31" s="131" t="s">
        <v>112</v>
      </c>
    </row>
    <row r="32" spans="1:22" ht="15.75" x14ac:dyDescent="0.25">
      <c r="A32" s="142">
        <v>43889</v>
      </c>
      <c r="B32" s="143">
        <f>Sheet28!D21</f>
        <v>0.12847222222222854</v>
      </c>
      <c r="C32" s="143">
        <f>Sheet28!E21</f>
        <v>206.72916666666666</v>
      </c>
      <c r="D32" s="143">
        <f>Sheet28!F21</f>
        <v>206.875</v>
      </c>
      <c r="E32" s="143">
        <f>Sheet28!G21</f>
        <v>0.14583333333334281</v>
      </c>
      <c r="F32" s="143">
        <f>Sheet28!H21</f>
        <v>206.91666666666666</v>
      </c>
      <c r="G32" s="143">
        <f>Sheet28!I21</f>
        <v>207.20833333333334</v>
      </c>
      <c r="H32" s="143">
        <f>Sheet28!J21</f>
        <v>0.29166666666668561</v>
      </c>
      <c r="I32" s="144">
        <f t="shared" si="1"/>
        <v>0.56597222222225696</v>
      </c>
      <c r="J32" s="143">
        <v>0.20138888888888887</v>
      </c>
      <c r="K32" s="143">
        <v>0</v>
      </c>
      <c r="L32" s="143">
        <v>4.1666666666666664E-2</v>
      </c>
      <c r="M32" s="143">
        <v>0.19097222222222221</v>
      </c>
      <c r="N32" s="143">
        <v>0</v>
      </c>
      <c r="O32" s="144">
        <f t="shared" si="2"/>
        <v>0.23263888888888887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4"/>
        <v>0</v>
      </c>
      <c r="U32" s="147">
        <f t="shared" si="3"/>
        <v>1.0000000000000346</v>
      </c>
      <c r="V32" s="131"/>
    </row>
    <row r="33" spans="1:22" ht="15.75" x14ac:dyDescent="0.25">
      <c r="A33" s="142">
        <v>43890</v>
      </c>
      <c r="B33" s="143">
        <f>Sheet29!D21</f>
        <v>0.29861111111111427</v>
      </c>
      <c r="C33" s="143">
        <f>Sheet29!E21</f>
        <v>206.58333333333334</v>
      </c>
      <c r="D33" s="143">
        <f>Sheet29!F21</f>
        <v>206.875</v>
      </c>
      <c r="E33" s="143">
        <f>Sheet29!G21</f>
        <v>0.29166666666665719</v>
      </c>
      <c r="F33" s="143">
        <f>Sheet29!H21</f>
        <v>206.90277777777777</v>
      </c>
      <c r="G33" s="143">
        <f>Sheet29!I21</f>
        <v>207.20833333333334</v>
      </c>
      <c r="H33" s="143">
        <f>Sheet29!J21</f>
        <v>0.30555555555557135</v>
      </c>
      <c r="I33" s="144">
        <f t="shared" si="1"/>
        <v>0.89583333333334281</v>
      </c>
      <c r="J33" s="143">
        <v>0.10416666666666667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2"/>
        <v>0</v>
      </c>
      <c r="P33" s="143">
        <v>0</v>
      </c>
      <c r="Q33" s="143">
        <v>0</v>
      </c>
      <c r="R33" s="143">
        <v>0</v>
      </c>
      <c r="S33" s="143">
        <v>0</v>
      </c>
      <c r="T33" s="144">
        <f t="shared" si="4"/>
        <v>0</v>
      </c>
      <c r="U33" s="147">
        <f t="shared" si="3"/>
        <v>1.0000000000000095</v>
      </c>
      <c r="V33" s="131"/>
    </row>
    <row r="34" spans="1:22" ht="15.75" x14ac:dyDescent="0.25">
      <c r="A34" s="132" t="s">
        <v>113</v>
      </c>
      <c r="B34" s="130" t="s">
        <v>13</v>
      </c>
      <c r="C34" s="130"/>
      <c r="D34" s="130"/>
      <c r="E34" s="130"/>
      <c r="F34" s="130"/>
      <c r="G34" s="130"/>
      <c r="H34" s="130" t="s">
        <v>13</v>
      </c>
      <c r="I34" s="152">
        <f t="shared" ref="I34:T34" si="5">SUM(I5:I33)</f>
        <v>21.7708333333334</v>
      </c>
      <c r="J34" s="152">
        <f t="shared" si="5"/>
        <v>4.979166666666667</v>
      </c>
      <c r="K34" s="152">
        <f t="shared" si="5"/>
        <v>0</v>
      </c>
      <c r="L34" s="152">
        <f t="shared" si="5"/>
        <v>0.30902777777777779</v>
      </c>
      <c r="M34" s="152">
        <f t="shared" si="5"/>
        <v>1.5659722222222223</v>
      </c>
      <c r="N34" s="152">
        <f t="shared" si="5"/>
        <v>0</v>
      </c>
      <c r="O34" s="152">
        <f t="shared" si="5"/>
        <v>1.875</v>
      </c>
      <c r="P34" s="152">
        <f t="shared" si="5"/>
        <v>0.125</v>
      </c>
      <c r="Q34" s="152">
        <f t="shared" si="5"/>
        <v>0.28472222222222221</v>
      </c>
      <c r="R34" s="152">
        <f t="shared" si="5"/>
        <v>0.9652777777777779</v>
      </c>
      <c r="S34" s="152">
        <f t="shared" si="5"/>
        <v>0</v>
      </c>
      <c r="T34" s="152">
        <f t="shared" si="5"/>
        <v>1.375</v>
      </c>
      <c r="U34" s="153">
        <v>29</v>
      </c>
      <c r="V34" s="89"/>
    </row>
    <row r="35" spans="1:22" ht="15.75" x14ac:dyDescent="0.25">
      <c r="B35" s="133"/>
      <c r="C35" s="133"/>
      <c r="D35" s="133"/>
      <c r="E35" s="133"/>
      <c r="F35" s="133"/>
      <c r="G35" s="133"/>
      <c r="H35" s="133"/>
      <c r="I35" s="134"/>
      <c r="J35" s="135"/>
      <c r="K35" s="133"/>
      <c r="L35" s="133"/>
      <c r="M35" s="133"/>
      <c r="N35" s="133"/>
      <c r="O35" s="133"/>
      <c r="P35" s="133"/>
      <c r="Q35" s="133"/>
      <c r="R35" s="133"/>
      <c r="S35" s="133"/>
      <c r="T35" s="136"/>
      <c r="U35" s="136"/>
    </row>
    <row r="36" spans="1:22" x14ac:dyDescent="0.25">
      <c r="B36" s="133"/>
      <c r="C36" s="133"/>
      <c r="D36" s="133"/>
      <c r="E36" s="133"/>
      <c r="F36" s="133"/>
      <c r="G36" s="133"/>
      <c r="H36" s="133"/>
      <c r="I36" s="134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</row>
    <row r="37" spans="1:22" x14ac:dyDescent="0.25"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7"/>
      <c r="N37" s="133"/>
      <c r="O37" s="133"/>
      <c r="P37" s="133"/>
      <c r="Q37" s="133"/>
      <c r="R37" s="133" t="s">
        <v>115</v>
      </c>
      <c r="S37" s="133"/>
      <c r="T37" s="133"/>
      <c r="U37" s="133"/>
    </row>
    <row r="38" spans="1:22" x14ac:dyDescent="0.25">
      <c r="B38" s="133"/>
      <c r="C38" s="133"/>
      <c r="D38" s="133"/>
      <c r="E38" s="133"/>
      <c r="F38" s="133"/>
      <c r="G38" s="133"/>
      <c r="H38" s="133"/>
      <c r="I38" s="138"/>
      <c r="J38" s="138"/>
      <c r="K38" s="138"/>
      <c r="L38" s="138"/>
      <c r="M38" s="138"/>
      <c r="N38" s="138"/>
      <c r="O38" s="139"/>
      <c r="P38" s="138"/>
      <c r="Q38" s="138"/>
      <c r="R38" s="138" t="s">
        <v>116</v>
      </c>
      <c r="S38" s="138"/>
      <c r="T38" s="133"/>
      <c r="U38" s="133"/>
    </row>
    <row r="39" spans="1:22" ht="15.75" x14ac:dyDescent="0.25">
      <c r="A39" s="140" t="s">
        <v>117</v>
      </c>
      <c r="B39" s="133"/>
      <c r="C39" s="133"/>
      <c r="D39" s="133"/>
      <c r="E39" s="133"/>
      <c r="F39" s="133"/>
      <c r="G39" s="133"/>
      <c r="H39" s="133"/>
      <c r="I39" s="134"/>
      <c r="J39" s="133"/>
      <c r="K39" s="133"/>
      <c r="L39" s="133"/>
      <c r="M39" s="137"/>
      <c r="N39" s="133"/>
      <c r="O39" s="139"/>
      <c r="P39" s="133"/>
      <c r="Q39" s="133"/>
      <c r="R39" s="133"/>
      <c r="S39" s="133"/>
      <c r="T39" s="133"/>
      <c r="U39" s="133"/>
    </row>
    <row r="40" spans="1:22" ht="15.75" x14ac:dyDescent="0.25">
      <c r="A40" s="140" t="s">
        <v>118</v>
      </c>
      <c r="B40" s="133"/>
      <c r="C40" s="133"/>
      <c r="D40" s="133"/>
      <c r="E40" s="133"/>
      <c r="F40" s="133"/>
      <c r="G40" s="133"/>
      <c r="H40" s="133"/>
      <c r="I40" s="134"/>
      <c r="J40" s="133"/>
      <c r="K40" s="133"/>
      <c r="L40" s="133"/>
      <c r="M40" s="133"/>
      <c r="N40" s="133"/>
      <c r="O40" s="139"/>
      <c r="P40" s="133"/>
      <c r="Q40" s="133"/>
      <c r="R40" s="133"/>
      <c r="S40" s="133"/>
      <c r="T40" s="133"/>
      <c r="U40" s="133"/>
    </row>
    <row r="41" spans="1:22" ht="15.75" x14ac:dyDescent="0.25">
      <c r="A41" s="140">
        <v>2</v>
      </c>
      <c r="B41" s="133" t="s">
        <v>119</v>
      </c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3"/>
      <c r="N41" s="133"/>
      <c r="O41" s="139"/>
      <c r="P41" s="133"/>
      <c r="Q41" s="133"/>
      <c r="R41" s="133"/>
      <c r="S41" s="133"/>
      <c r="T41" s="133"/>
      <c r="U41" s="133"/>
    </row>
    <row r="42" spans="1:22" ht="15.75" x14ac:dyDescent="0.25">
      <c r="A42" s="140">
        <v>3</v>
      </c>
      <c r="B42" s="133" t="s">
        <v>120</v>
      </c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</row>
    <row r="43" spans="1:22" x14ac:dyDescent="0.25">
      <c r="A43" s="141" t="s">
        <v>121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7"/>
      <c r="P43" s="133"/>
      <c r="Q43" s="133"/>
      <c r="R43" s="133"/>
      <c r="S43" s="133"/>
      <c r="T43" s="133"/>
      <c r="U43" s="133"/>
    </row>
  </sheetData>
  <mergeCells count="1">
    <mergeCell ref="V29:V30"/>
  </mergeCells>
  <pageMargins left="0.23622047244094491" right="0.23622047244094491" top="0.31496062992125984" bottom="0.31496062992125984" header="0.31496062992125984" footer="0.31496062992125984"/>
  <pageSetup scale="73" orientation="landscape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topLeftCell="B14" workbookViewId="0">
      <selection sqref="A1:V38"/>
    </sheetView>
  </sheetViews>
  <sheetFormatPr defaultRowHeight="15" x14ac:dyDescent="0.25"/>
  <cols>
    <col min="1" max="1" width="12.28515625" customWidth="1"/>
    <col min="2" max="2" width="7" customWidth="1"/>
    <col min="3" max="4" width="9.140625" hidden="1" customWidth="1"/>
    <col min="5" max="5" width="7.28515625" customWidth="1"/>
    <col min="6" max="7" width="9.140625" hidden="1" customWidth="1"/>
    <col min="8" max="8" width="6.5703125" customWidth="1"/>
    <col min="9" max="9" width="10" bestFit="1" customWidth="1"/>
    <col min="10" max="10" width="9" customWidth="1"/>
    <col min="11" max="11" width="8" customWidth="1"/>
    <col min="12" max="12" width="8.42578125" customWidth="1"/>
    <col min="18" max="18" width="9.140625" style="154"/>
    <col min="21" max="21" width="12.85546875" customWidth="1"/>
    <col min="22" max="22" width="26.42578125" customWidth="1"/>
  </cols>
  <sheetData>
    <row r="1" spans="1:22" ht="22.5" x14ac:dyDescent="0.3">
      <c r="A1" s="108" t="s">
        <v>289</v>
      </c>
      <c r="R1"/>
    </row>
    <row r="2" spans="1:22" ht="21" thickBot="1" x14ac:dyDescent="0.35">
      <c r="A2" s="109" t="s">
        <v>321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R2"/>
    </row>
    <row r="3" spans="1:22" ht="15.75" x14ac:dyDescent="0.25">
      <c r="A3" s="111" t="s">
        <v>81</v>
      </c>
      <c r="B3" s="112" t="s">
        <v>99</v>
      </c>
      <c r="C3" s="116"/>
      <c r="D3" s="116"/>
      <c r="E3" s="116"/>
      <c r="F3" s="116"/>
      <c r="G3" s="116"/>
      <c r="H3" s="113"/>
      <c r="I3" s="114" t="s">
        <v>13</v>
      </c>
      <c r="J3" s="115" t="s">
        <v>100</v>
      </c>
      <c r="K3" s="116" t="s">
        <v>101</v>
      </c>
      <c r="L3" s="113"/>
      <c r="M3" s="113"/>
      <c r="N3" s="113"/>
      <c r="O3" s="117" t="s">
        <v>13</v>
      </c>
      <c r="P3" s="112" t="s">
        <v>102</v>
      </c>
      <c r="Q3" s="113"/>
      <c r="R3" s="118"/>
      <c r="S3" s="119"/>
      <c r="T3" s="120"/>
      <c r="U3" s="145"/>
      <c r="V3" s="121" t="s">
        <v>103</v>
      </c>
    </row>
    <row r="4" spans="1:22" ht="16.5" thickBot="1" x14ac:dyDescent="0.3">
      <c r="A4" s="122"/>
      <c r="B4" s="123" t="s">
        <v>104</v>
      </c>
      <c r="C4" s="123"/>
      <c r="D4" s="123"/>
      <c r="E4" s="123" t="s">
        <v>105</v>
      </c>
      <c r="F4" s="123"/>
      <c r="G4" s="123"/>
      <c r="H4" s="123" t="s">
        <v>106</v>
      </c>
      <c r="I4" s="124" t="s">
        <v>107</v>
      </c>
      <c r="J4" s="125"/>
      <c r="K4" s="126" t="s">
        <v>108</v>
      </c>
      <c r="L4" s="127" t="s">
        <v>109</v>
      </c>
      <c r="M4" s="127" t="s">
        <v>110</v>
      </c>
      <c r="N4" s="127" t="s">
        <v>111</v>
      </c>
      <c r="O4" s="128" t="s">
        <v>44</v>
      </c>
      <c r="P4" s="127" t="s">
        <v>108</v>
      </c>
      <c r="Q4" s="127" t="s">
        <v>109</v>
      </c>
      <c r="R4" s="127" t="s">
        <v>110</v>
      </c>
      <c r="S4" s="127" t="s">
        <v>111</v>
      </c>
      <c r="T4" s="128" t="s">
        <v>44</v>
      </c>
      <c r="U4" s="146"/>
      <c r="V4" s="129"/>
    </row>
    <row r="5" spans="1:22" ht="15.75" x14ac:dyDescent="0.25">
      <c r="A5" s="142">
        <v>43862</v>
      </c>
      <c r="B5" s="143">
        <f>Sheet1!D22</f>
        <v>0.29513888888888573</v>
      </c>
      <c r="C5" s="143">
        <f>Sheet1!E22</f>
        <v>206.57638888888889</v>
      </c>
      <c r="D5" s="143">
        <f>Sheet1!F22</f>
        <v>206.875</v>
      </c>
      <c r="E5" s="143">
        <f>Sheet1!G22</f>
        <v>0.29861111111111427</v>
      </c>
      <c r="F5" s="143">
        <f>Sheet1!H22</f>
        <v>206.91666666666666</v>
      </c>
      <c r="G5" s="143">
        <f>Sheet1!I22</f>
        <v>207.20833333333334</v>
      </c>
      <c r="H5" s="143">
        <f>Sheet1!J22</f>
        <v>0.29166666666668561</v>
      </c>
      <c r="I5" s="144">
        <f>B5+E5+H5</f>
        <v>0.88541666666668561</v>
      </c>
      <c r="J5" s="143">
        <v>0.11458333333333333</v>
      </c>
      <c r="K5" s="143">
        <v>0</v>
      </c>
      <c r="L5" s="143">
        <v>0</v>
      </c>
      <c r="M5" s="143">
        <v>0</v>
      </c>
      <c r="N5" s="143">
        <v>0</v>
      </c>
      <c r="O5" s="144">
        <f>SUM(K5:N5)</f>
        <v>0</v>
      </c>
      <c r="P5" s="143">
        <v>0</v>
      </c>
      <c r="Q5" s="143">
        <v>0</v>
      </c>
      <c r="R5" s="143">
        <v>0</v>
      </c>
      <c r="S5" s="143">
        <v>0</v>
      </c>
      <c r="T5" s="144">
        <f>SUM(P5:S5)</f>
        <v>0</v>
      </c>
      <c r="U5" s="147">
        <f>I5+O5+J5+T5</f>
        <v>1.0000000000000189</v>
      </c>
      <c r="V5" s="131"/>
    </row>
    <row r="6" spans="1:22" ht="15.75" x14ac:dyDescent="0.25">
      <c r="A6" s="142">
        <v>43863</v>
      </c>
      <c r="B6" s="143">
        <f>Sheet2!D22</f>
        <v>0.15972222222222854</v>
      </c>
      <c r="C6" s="143">
        <f>Sheet2!E22</f>
        <v>206.60763888888889</v>
      </c>
      <c r="D6" s="143">
        <f>Sheet2!F22</f>
        <v>206.875</v>
      </c>
      <c r="E6" s="143">
        <f>Sheet2!G22</f>
        <v>0.26736111111111427</v>
      </c>
      <c r="F6" s="143">
        <f>Sheet2!H22</f>
        <v>206.93402777777777</v>
      </c>
      <c r="G6" s="143">
        <f>Sheet2!I22</f>
        <v>207.20833333333334</v>
      </c>
      <c r="H6" s="143">
        <f>Sheet2!J22</f>
        <v>0.27430555555557135</v>
      </c>
      <c r="I6" s="144">
        <f t="shared" ref="I6:I33" si="0">B6+E6+H6</f>
        <v>0.70138888888891415</v>
      </c>
      <c r="J6" s="143">
        <v>0.14583333333333334</v>
      </c>
      <c r="K6" s="143">
        <v>0</v>
      </c>
      <c r="L6" s="143">
        <v>0</v>
      </c>
      <c r="M6" s="143">
        <v>0.15277777777777776</v>
      </c>
      <c r="N6" s="143">
        <v>0</v>
      </c>
      <c r="O6" s="144">
        <f t="shared" ref="O6:O33" si="1">SUM(K6:N6)</f>
        <v>0.15277777777777776</v>
      </c>
      <c r="P6" s="143">
        <v>0</v>
      </c>
      <c r="Q6" s="143">
        <v>0</v>
      </c>
      <c r="R6" s="143">
        <v>0</v>
      </c>
      <c r="S6" s="143">
        <v>0</v>
      </c>
      <c r="T6" s="144">
        <f t="shared" ref="T6:T33" si="2">SUM(P6:S6)</f>
        <v>0</v>
      </c>
      <c r="U6" s="147">
        <f t="shared" ref="U6:U33" si="3">I6+O6+J6+T6</f>
        <v>1.0000000000000253</v>
      </c>
      <c r="V6" s="131" t="s">
        <v>306</v>
      </c>
    </row>
    <row r="7" spans="1:22" ht="15.75" x14ac:dyDescent="0.25">
      <c r="A7" s="142">
        <v>43864</v>
      </c>
      <c r="B7" s="143">
        <f>Sheet3!D22</f>
        <v>0.20833333333331439</v>
      </c>
      <c r="C7" s="143">
        <f>Sheet3!E22</f>
        <v>206.64583333333334</v>
      </c>
      <c r="D7" s="143">
        <f>Sheet3!F22</f>
        <v>206.875</v>
      </c>
      <c r="E7" s="143">
        <f>Sheet3!G22</f>
        <v>0.22916666666665719</v>
      </c>
      <c r="F7" s="143">
        <f>Sheet3!H22</f>
        <v>206.91319444444446</v>
      </c>
      <c r="G7" s="143">
        <f>Sheet3!I22</f>
        <v>207.20833333333334</v>
      </c>
      <c r="H7" s="143">
        <f>Sheet3!J22</f>
        <v>0.29513888888888573</v>
      </c>
      <c r="I7" s="144">
        <f t="shared" si="0"/>
        <v>0.73263888888885731</v>
      </c>
      <c r="J7" s="143">
        <v>0.16666666666666666</v>
      </c>
      <c r="K7" s="143">
        <v>0</v>
      </c>
      <c r="L7" s="143">
        <v>0</v>
      </c>
      <c r="M7" s="143">
        <v>0</v>
      </c>
      <c r="N7" s="143">
        <v>0</v>
      </c>
      <c r="O7" s="144">
        <f t="shared" si="1"/>
        <v>0</v>
      </c>
      <c r="P7" s="143">
        <v>0</v>
      </c>
      <c r="Q7" s="143">
        <v>0.10069444444444443</v>
      </c>
      <c r="R7" s="143">
        <v>0</v>
      </c>
      <c r="S7" s="143">
        <v>0</v>
      </c>
      <c r="T7" s="144">
        <f t="shared" si="2"/>
        <v>0.10069444444444443</v>
      </c>
      <c r="U7" s="147">
        <f t="shared" si="3"/>
        <v>0.99999999999996836</v>
      </c>
      <c r="V7" s="131"/>
    </row>
    <row r="8" spans="1:22" ht="15.75" x14ac:dyDescent="0.25">
      <c r="A8" s="142">
        <v>43865</v>
      </c>
      <c r="B8" s="143">
        <f>Sheet4!D22</f>
        <v>0.15972222222220012</v>
      </c>
      <c r="C8" s="143">
        <f>Sheet4!E22</f>
        <v>206.58680555555554</v>
      </c>
      <c r="D8" s="143">
        <f>Sheet4!F22</f>
        <v>206.875</v>
      </c>
      <c r="E8" s="143">
        <f>Sheet4!G22</f>
        <v>0.28819444444445708</v>
      </c>
      <c r="F8" s="143">
        <f>Sheet4!H22</f>
        <v>207</v>
      </c>
      <c r="G8" s="143">
        <f>Sheet4!I22</f>
        <v>207.20833333333334</v>
      </c>
      <c r="H8" s="143">
        <f>Sheet4!J22</f>
        <v>0.20833333333334281</v>
      </c>
      <c r="I8" s="144">
        <f t="shared" si="0"/>
        <v>0.65625</v>
      </c>
      <c r="J8" s="143">
        <v>0.2986111111111111</v>
      </c>
      <c r="K8" s="143">
        <v>4.5138888888888888E-2</v>
      </c>
      <c r="L8" s="143">
        <v>0</v>
      </c>
      <c r="M8" s="143">
        <v>0</v>
      </c>
      <c r="N8" s="143">
        <v>0</v>
      </c>
      <c r="O8" s="144">
        <f t="shared" si="1"/>
        <v>4.5138888888888888E-2</v>
      </c>
      <c r="P8" s="143">
        <v>0</v>
      </c>
      <c r="Q8" s="143">
        <v>0</v>
      </c>
      <c r="R8" s="143">
        <v>0</v>
      </c>
      <c r="S8" s="143">
        <v>0</v>
      </c>
      <c r="T8" s="144">
        <f t="shared" si="2"/>
        <v>0</v>
      </c>
      <c r="U8" s="147">
        <f t="shared" si="3"/>
        <v>1</v>
      </c>
      <c r="V8" s="131" t="s">
        <v>112</v>
      </c>
    </row>
    <row r="9" spans="1:22" ht="15.75" x14ac:dyDescent="0.25">
      <c r="A9" s="142">
        <v>43866</v>
      </c>
      <c r="B9" s="143">
        <f>Sheet5!D22</f>
        <v>0.29513888888888573</v>
      </c>
      <c r="C9" s="143">
        <f>Sheet5!E22</f>
        <v>206.58333333333334</v>
      </c>
      <c r="D9" s="143">
        <f>Sheet5!F22</f>
        <v>206.875</v>
      </c>
      <c r="E9" s="143">
        <f>Sheet5!G22</f>
        <v>0.29166666666665719</v>
      </c>
      <c r="F9" s="143">
        <f>Sheet5!H22</f>
        <v>0</v>
      </c>
      <c r="G9" s="143">
        <f>Sheet5!I22</f>
        <v>0</v>
      </c>
      <c r="H9" s="143">
        <f>Sheet5!J22</f>
        <v>0</v>
      </c>
      <c r="I9" s="144">
        <f t="shared" si="0"/>
        <v>0.58680555555554292</v>
      </c>
      <c r="J9" s="143">
        <v>0.15625</v>
      </c>
      <c r="K9" s="143">
        <v>4.5138888888888888E-2</v>
      </c>
      <c r="L9" s="143">
        <v>0</v>
      </c>
      <c r="M9" s="143">
        <v>0</v>
      </c>
      <c r="N9" s="143">
        <v>0</v>
      </c>
      <c r="O9" s="144">
        <f t="shared" si="1"/>
        <v>4.5138888888888888E-2</v>
      </c>
      <c r="P9" s="143">
        <v>0</v>
      </c>
      <c r="Q9" s="143">
        <v>0.21180555555555555</v>
      </c>
      <c r="R9" s="143">
        <v>0</v>
      </c>
      <c r="S9" s="143">
        <v>0</v>
      </c>
      <c r="T9" s="144">
        <f t="shared" si="2"/>
        <v>0.21180555555555555</v>
      </c>
      <c r="U9" s="147">
        <f t="shared" si="3"/>
        <v>0.99999999999998734</v>
      </c>
      <c r="V9" s="265" t="s">
        <v>307</v>
      </c>
    </row>
    <row r="10" spans="1:22" ht="15.75" x14ac:dyDescent="0.25">
      <c r="A10" s="142">
        <v>43867</v>
      </c>
      <c r="B10" s="143">
        <f>Sheet6!D22</f>
        <v>0</v>
      </c>
      <c r="C10" s="143">
        <f>Sheet6!E22</f>
        <v>206.58333333333334</v>
      </c>
      <c r="D10" s="143">
        <f>Sheet6!F22</f>
        <v>206.875</v>
      </c>
      <c r="E10" s="143">
        <f>Sheet6!G22</f>
        <v>0.29166666666665719</v>
      </c>
      <c r="F10" s="143">
        <f>Sheet6!H22</f>
        <v>206.91319444444446</v>
      </c>
      <c r="G10" s="143">
        <f>Sheet6!I22</f>
        <v>207.20833333333334</v>
      </c>
      <c r="H10" s="143">
        <f>Sheet6!J22</f>
        <v>0.29513888888888573</v>
      </c>
      <c r="I10" s="144">
        <f t="shared" si="0"/>
        <v>0.58680555555554292</v>
      </c>
      <c r="J10" s="143">
        <v>0.1875</v>
      </c>
      <c r="K10" s="143">
        <v>0</v>
      </c>
      <c r="L10" s="143">
        <v>0</v>
      </c>
      <c r="M10" s="143">
        <v>0</v>
      </c>
      <c r="N10" s="143">
        <v>0</v>
      </c>
      <c r="O10" s="144">
        <f t="shared" si="1"/>
        <v>0</v>
      </c>
      <c r="P10" s="143">
        <v>0</v>
      </c>
      <c r="Q10" s="143">
        <v>0.22569444444444445</v>
      </c>
      <c r="R10" s="143">
        <v>0</v>
      </c>
      <c r="S10" s="143">
        <v>0</v>
      </c>
      <c r="T10" s="144">
        <f t="shared" si="2"/>
        <v>0.22569444444444445</v>
      </c>
      <c r="U10" s="147">
        <f t="shared" si="3"/>
        <v>0.99999999999998734</v>
      </c>
      <c r="V10" s="266"/>
    </row>
    <row r="11" spans="1:22" ht="15.75" x14ac:dyDescent="0.25">
      <c r="A11" s="142">
        <v>43868</v>
      </c>
      <c r="B11" s="143">
        <f>Sheet7!D22</f>
        <v>0.24305555555554292</v>
      </c>
      <c r="C11" s="143">
        <f>Sheet7!E22</f>
        <v>206.60069444444446</v>
      </c>
      <c r="D11" s="143">
        <f>Sheet7!F22</f>
        <v>206.72916666666666</v>
      </c>
      <c r="E11" s="143">
        <f>Sheet7!G22</f>
        <v>0.12847222222220012</v>
      </c>
      <c r="F11" s="143">
        <f>Sheet7!H22</f>
        <v>206.91666666666666</v>
      </c>
      <c r="G11" s="143">
        <f>Sheet7!I22</f>
        <v>207.20833333333334</v>
      </c>
      <c r="H11" s="143">
        <f>Sheet7!J22</f>
        <v>0.29166666666668561</v>
      </c>
      <c r="I11" s="144">
        <f t="shared" si="0"/>
        <v>0.66319444444442865</v>
      </c>
      <c r="J11" s="143">
        <v>0.15625</v>
      </c>
      <c r="K11" s="143">
        <v>0</v>
      </c>
      <c r="L11" s="143">
        <v>0.18055555555555555</v>
      </c>
      <c r="M11" s="143">
        <v>0</v>
      </c>
      <c r="N11" s="143">
        <v>0</v>
      </c>
      <c r="O11" s="144">
        <f t="shared" si="1"/>
        <v>0.18055555555555555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2"/>
        <v>0</v>
      </c>
      <c r="U11" s="147">
        <f t="shared" si="3"/>
        <v>0.99999999999998423</v>
      </c>
      <c r="V11" s="131"/>
    </row>
    <row r="12" spans="1:22" ht="15.75" x14ac:dyDescent="0.25">
      <c r="A12" s="142">
        <v>43869</v>
      </c>
      <c r="B12" s="143">
        <f>Sheet8!D22</f>
        <v>0.21180555555554292</v>
      </c>
      <c r="C12" s="143">
        <f>Sheet8!E22</f>
        <v>206.54166666666666</v>
      </c>
      <c r="D12" s="143">
        <f>Sheet8!F22</f>
        <v>206.82986111111111</v>
      </c>
      <c r="E12" s="143">
        <f>Sheet8!G22</f>
        <v>0.28819444444445708</v>
      </c>
      <c r="F12" s="143">
        <f>Sheet8!H22</f>
        <v>206.91319444444446</v>
      </c>
      <c r="G12" s="143">
        <f>Sheet8!I22</f>
        <v>207.20833333333334</v>
      </c>
      <c r="H12" s="143">
        <f>Sheet8!J22</f>
        <v>0.29513888888888573</v>
      </c>
      <c r="I12" s="144">
        <f t="shared" si="0"/>
        <v>0.79513888888888573</v>
      </c>
      <c r="J12" s="143">
        <v>0.20486111111111113</v>
      </c>
      <c r="K12" s="143">
        <v>0</v>
      </c>
      <c r="L12" s="143">
        <v>0</v>
      </c>
      <c r="M12" s="143">
        <v>0</v>
      </c>
      <c r="N12" s="143">
        <v>0</v>
      </c>
      <c r="O12" s="144">
        <f t="shared" si="1"/>
        <v>0</v>
      </c>
      <c r="P12" s="143">
        <v>0</v>
      </c>
      <c r="Q12" s="143">
        <v>0</v>
      </c>
      <c r="R12" s="143">
        <v>0</v>
      </c>
      <c r="S12" s="143">
        <v>0</v>
      </c>
      <c r="T12" s="144">
        <f t="shared" si="2"/>
        <v>0</v>
      </c>
      <c r="U12" s="147">
        <f t="shared" si="3"/>
        <v>0.99999999999999689</v>
      </c>
      <c r="V12" s="131" t="s">
        <v>112</v>
      </c>
    </row>
    <row r="13" spans="1:22" ht="30" x14ac:dyDescent="0.25">
      <c r="A13" s="142">
        <v>43870</v>
      </c>
      <c r="B13" s="143">
        <f>Sheet9!D22</f>
        <v>0.27083333333331439</v>
      </c>
      <c r="C13" s="143">
        <f>Sheet9!E22</f>
        <v>206.58333333333334</v>
      </c>
      <c r="D13" s="143">
        <f>Sheet9!F22</f>
        <v>206.875</v>
      </c>
      <c r="E13" s="143">
        <f>Sheet9!G22</f>
        <v>0.29166666666665719</v>
      </c>
      <c r="F13" s="143">
        <f>Sheet9!H22</f>
        <v>207.0625</v>
      </c>
      <c r="G13" s="143">
        <f>Sheet9!I22</f>
        <v>207.20833333333334</v>
      </c>
      <c r="H13" s="143">
        <f>Sheet9!J22</f>
        <v>0.14583333333334281</v>
      </c>
      <c r="I13" s="144">
        <f t="shared" si="0"/>
        <v>0.70833333333331439</v>
      </c>
      <c r="J13" s="143">
        <v>0.15277777777777776</v>
      </c>
      <c r="K13" s="143">
        <v>0</v>
      </c>
      <c r="L13" s="143">
        <v>0</v>
      </c>
      <c r="M13" s="143">
        <v>0.1388888888888889</v>
      </c>
      <c r="N13" s="143">
        <v>0</v>
      </c>
      <c r="O13" s="144">
        <f t="shared" si="1"/>
        <v>0.1388888888888889</v>
      </c>
      <c r="P13" s="143">
        <v>0</v>
      </c>
      <c r="Q13" s="143">
        <v>0</v>
      </c>
      <c r="R13" s="143">
        <v>0</v>
      </c>
      <c r="S13" s="143">
        <v>0</v>
      </c>
      <c r="T13" s="144">
        <f t="shared" si="2"/>
        <v>0</v>
      </c>
      <c r="U13" s="147">
        <f t="shared" si="3"/>
        <v>0.99999999999998102</v>
      </c>
      <c r="V13" s="131" t="s">
        <v>308</v>
      </c>
    </row>
    <row r="14" spans="1:22" ht="15.75" x14ac:dyDescent="0.25">
      <c r="A14" s="142">
        <v>43871</v>
      </c>
      <c r="B14" s="143">
        <f>Sheet10!D22</f>
        <v>8.3333333333342807E-2</v>
      </c>
      <c r="C14" s="143">
        <f>Sheet10!E22</f>
        <v>206.60416666666666</v>
      </c>
      <c r="D14" s="143">
        <f>Sheet10!F22</f>
        <v>206.875</v>
      </c>
      <c r="E14" s="143">
        <f>Sheet10!G22</f>
        <v>0.27083333333334281</v>
      </c>
      <c r="F14" s="143">
        <f>Sheet10!H22</f>
        <v>206.91666666666666</v>
      </c>
      <c r="G14" s="143">
        <f>Sheet10!I22</f>
        <v>207.20833333333334</v>
      </c>
      <c r="H14" s="143">
        <f>Sheet10!J22</f>
        <v>0.29166666666668561</v>
      </c>
      <c r="I14" s="144">
        <f t="shared" si="0"/>
        <v>0.64583333333337123</v>
      </c>
      <c r="J14" s="143">
        <v>0.19444444444444445</v>
      </c>
      <c r="K14" s="143">
        <v>0</v>
      </c>
      <c r="L14" s="143">
        <v>0</v>
      </c>
      <c r="M14" s="143">
        <v>0</v>
      </c>
      <c r="N14" s="143">
        <v>0</v>
      </c>
      <c r="O14" s="144">
        <f t="shared" si="1"/>
        <v>0</v>
      </c>
      <c r="P14" s="143">
        <v>0.15972222222222224</v>
      </c>
      <c r="Q14" s="143">
        <v>0</v>
      </c>
      <c r="R14" s="143">
        <v>0</v>
      </c>
      <c r="S14" s="143">
        <v>0</v>
      </c>
      <c r="T14" s="144">
        <f t="shared" si="2"/>
        <v>0.15972222222222224</v>
      </c>
      <c r="U14" s="147">
        <f t="shared" si="3"/>
        <v>1.000000000000038</v>
      </c>
      <c r="V14" s="131" t="s">
        <v>309</v>
      </c>
    </row>
    <row r="15" spans="1:22" ht="15.75" x14ac:dyDescent="0.25">
      <c r="A15" s="142">
        <v>43872</v>
      </c>
      <c r="B15" s="143">
        <f>Sheet11!D22</f>
        <v>0.29166666666665719</v>
      </c>
      <c r="C15" s="143">
        <f>Sheet11!E22</f>
        <v>206.65625</v>
      </c>
      <c r="D15" s="143">
        <f>Sheet11!F22</f>
        <v>206.875</v>
      </c>
      <c r="E15" s="143">
        <f>Sheet11!G22</f>
        <v>0.21875</v>
      </c>
      <c r="F15" s="143">
        <f>Sheet11!H22</f>
        <v>206.91319444444446</v>
      </c>
      <c r="G15" s="143">
        <f>Sheet11!I22</f>
        <v>207.20833333333334</v>
      </c>
      <c r="H15" s="143">
        <f>Sheet11!J22</f>
        <v>0.29513888888888573</v>
      </c>
      <c r="I15" s="144">
        <f t="shared" si="0"/>
        <v>0.80555555555554292</v>
      </c>
      <c r="J15" s="143">
        <v>0.19444444444444445</v>
      </c>
      <c r="K15" s="143">
        <v>0</v>
      </c>
      <c r="L15" s="143">
        <v>0</v>
      </c>
      <c r="M15" s="143">
        <v>0</v>
      </c>
      <c r="N15" s="143">
        <v>0</v>
      </c>
      <c r="O15" s="144">
        <f t="shared" si="1"/>
        <v>0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si="2"/>
        <v>0</v>
      </c>
      <c r="U15" s="147">
        <f t="shared" si="3"/>
        <v>0.99999999999998734</v>
      </c>
      <c r="V15" s="131" t="s">
        <v>112</v>
      </c>
    </row>
    <row r="16" spans="1:22" ht="15.75" x14ac:dyDescent="0.25">
      <c r="A16" s="142">
        <v>43873</v>
      </c>
      <c r="B16" s="143">
        <f>Sheet12!D22</f>
        <v>0.29166666666665719</v>
      </c>
      <c r="C16" s="143">
        <f>Sheet12!E22</f>
        <v>206.58333333333334</v>
      </c>
      <c r="D16" s="143">
        <f>Sheet12!F22</f>
        <v>206.875</v>
      </c>
      <c r="E16" s="143">
        <f>Sheet12!G22</f>
        <v>0.29166666666665719</v>
      </c>
      <c r="F16" s="143">
        <f>Sheet12!H22</f>
        <v>206.92708333333334</v>
      </c>
      <c r="G16" s="143">
        <f>Sheet12!I22</f>
        <v>207.20833333333334</v>
      </c>
      <c r="H16" s="143">
        <f>Sheet12!J22</f>
        <v>0.28125</v>
      </c>
      <c r="I16" s="144">
        <f t="shared" si="0"/>
        <v>0.86458333333331439</v>
      </c>
      <c r="J16" s="143">
        <v>0.13541666666666666</v>
      </c>
      <c r="K16" s="143">
        <v>0</v>
      </c>
      <c r="L16" s="143">
        <v>0</v>
      </c>
      <c r="M16" s="143">
        <v>0</v>
      </c>
      <c r="N16" s="143">
        <v>0</v>
      </c>
      <c r="O16" s="144">
        <f t="shared" si="1"/>
        <v>0</v>
      </c>
      <c r="P16" s="143">
        <v>0</v>
      </c>
      <c r="Q16" s="143">
        <v>0</v>
      </c>
      <c r="R16" s="143">
        <v>0</v>
      </c>
      <c r="S16" s="143">
        <v>0</v>
      </c>
      <c r="T16" s="144">
        <f t="shared" si="2"/>
        <v>0</v>
      </c>
      <c r="U16" s="147">
        <f t="shared" si="3"/>
        <v>0.99999999999998102</v>
      </c>
      <c r="V16" s="131" t="s">
        <v>112</v>
      </c>
    </row>
    <row r="17" spans="1:22" ht="15.75" x14ac:dyDescent="0.25">
      <c r="A17" s="142">
        <v>43874</v>
      </c>
      <c r="B17" s="143">
        <f>Sheet13!D22</f>
        <v>0.16666666666665719</v>
      </c>
      <c r="C17" s="143">
        <f>Sheet13!E22</f>
        <v>206.57986111111111</v>
      </c>
      <c r="D17" s="143">
        <f>Sheet13!F22</f>
        <v>206.875</v>
      </c>
      <c r="E17" s="143">
        <f>Sheet13!G22</f>
        <v>0.29513888888888573</v>
      </c>
      <c r="F17" s="143">
        <f>Sheet13!H22</f>
        <v>206.90972222222223</v>
      </c>
      <c r="G17" s="143">
        <f>Sheet13!I22</f>
        <v>207.20833333333334</v>
      </c>
      <c r="H17" s="143">
        <f>Sheet13!J22</f>
        <v>0.29861111111111427</v>
      </c>
      <c r="I17" s="144">
        <f t="shared" si="0"/>
        <v>0.76041666666665719</v>
      </c>
      <c r="J17" s="143">
        <v>0.23958333333333334</v>
      </c>
      <c r="K17" s="143">
        <v>0</v>
      </c>
      <c r="L17" s="143">
        <v>0</v>
      </c>
      <c r="M17" s="143">
        <v>0</v>
      </c>
      <c r="N17" s="143">
        <v>0</v>
      </c>
      <c r="O17" s="144">
        <f t="shared" si="1"/>
        <v>0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2"/>
        <v>0</v>
      </c>
      <c r="U17" s="147">
        <f t="shared" si="3"/>
        <v>0.99999999999999056</v>
      </c>
      <c r="V17" s="131" t="s">
        <v>112</v>
      </c>
    </row>
    <row r="18" spans="1:22" ht="15.75" x14ac:dyDescent="0.25">
      <c r="A18" s="142">
        <v>43875</v>
      </c>
      <c r="B18" s="143">
        <f>Sheet14!D22</f>
        <v>0.29166666666665719</v>
      </c>
      <c r="C18" s="143">
        <f>Sheet14!E22</f>
        <v>206.58333333333334</v>
      </c>
      <c r="D18" s="143">
        <f>Sheet14!F22</f>
        <v>206.875</v>
      </c>
      <c r="E18" s="143">
        <f>Sheet14!G22</f>
        <v>0.29166666666665719</v>
      </c>
      <c r="F18" s="143">
        <f>Sheet14!H22</f>
        <v>206.90972222222223</v>
      </c>
      <c r="G18" s="143">
        <f>Sheet14!I22</f>
        <v>207.20833333333334</v>
      </c>
      <c r="H18" s="143">
        <f>Sheet14!J22</f>
        <v>0.29861111111111427</v>
      </c>
      <c r="I18" s="144">
        <f t="shared" si="0"/>
        <v>0.88194444444442865</v>
      </c>
      <c r="J18" s="143">
        <v>0.11805555555555557</v>
      </c>
      <c r="K18" s="143">
        <v>0</v>
      </c>
      <c r="L18" s="143">
        <v>0</v>
      </c>
      <c r="M18" s="143">
        <v>0</v>
      </c>
      <c r="N18" s="143">
        <v>0</v>
      </c>
      <c r="O18" s="144">
        <f t="shared" si="1"/>
        <v>0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2"/>
        <v>0</v>
      </c>
      <c r="U18" s="147">
        <f t="shared" si="3"/>
        <v>0.99999999999998423</v>
      </c>
      <c r="V18" s="131" t="s">
        <v>112</v>
      </c>
    </row>
    <row r="19" spans="1:22" ht="15.75" x14ac:dyDescent="0.25">
      <c r="A19" s="142">
        <v>43876</v>
      </c>
      <c r="B19" s="143">
        <f>Sheet14!D22</f>
        <v>0.29166666666665719</v>
      </c>
      <c r="C19" s="143">
        <f>Sheet14!E22</f>
        <v>206.58333333333334</v>
      </c>
      <c r="D19" s="143">
        <f>Sheet14!F22</f>
        <v>206.875</v>
      </c>
      <c r="E19" s="143">
        <f>Sheet14!G22</f>
        <v>0.29166666666665719</v>
      </c>
      <c r="F19" s="143">
        <f>Sheet14!H22</f>
        <v>206.90972222222223</v>
      </c>
      <c r="G19" s="143">
        <f>Sheet14!I22</f>
        <v>207.20833333333334</v>
      </c>
      <c r="H19" s="143">
        <f>Sheet14!J22</f>
        <v>0.29861111111111427</v>
      </c>
      <c r="I19" s="144">
        <f t="shared" si="0"/>
        <v>0.88194444444442865</v>
      </c>
      <c r="J19" s="143">
        <v>0.11805555555555557</v>
      </c>
      <c r="K19" s="143">
        <v>0</v>
      </c>
      <c r="L19" s="143">
        <v>0</v>
      </c>
      <c r="M19" s="143">
        <v>0</v>
      </c>
      <c r="N19" s="143">
        <v>0</v>
      </c>
      <c r="O19" s="144">
        <f t="shared" si="1"/>
        <v>0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2"/>
        <v>0</v>
      </c>
      <c r="U19" s="147">
        <f t="shared" si="3"/>
        <v>0.99999999999998423</v>
      </c>
      <c r="V19" s="131"/>
    </row>
    <row r="20" spans="1:22" ht="15.75" x14ac:dyDescent="0.25">
      <c r="A20" s="142">
        <v>43877</v>
      </c>
      <c r="B20" s="143">
        <f>Sheet16!D22</f>
        <v>0.29166666666665719</v>
      </c>
      <c r="C20" s="143">
        <f>Sheet16!E22</f>
        <v>206.60416666666666</v>
      </c>
      <c r="D20" s="143">
        <f>Sheet16!F22</f>
        <v>206.875</v>
      </c>
      <c r="E20" s="143">
        <f>Sheet16!G22</f>
        <v>0.27083333333334281</v>
      </c>
      <c r="F20" s="143">
        <f>Sheet16!H22</f>
        <v>206.91666666666666</v>
      </c>
      <c r="G20" s="143">
        <f>Sheet16!I22</f>
        <v>207.16666666666666</v>
      </c>
      <c r="H20" s="143">
        <f>Sheet16!J22</f>
        <v>0.25</v>
      </c>
      <c r="I20" s="144">
        <f t="shared" si="0"/>
        <v>0.8125</v>
      </c>
      <c r="J20" s="143">
        <v>0.1875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1"/>
        <v>0</v>
      </c>
      <c r="P20" s="143">
        <v>0</v>
      </c>
      <c r="Q20" s="143">
        <v>0</v>
      </c>
      <c r="R20" s="143">
        <v>0</v>
      </c>
      <c r="S20" s="143">
        <v>0</v>
      </c>
      <c r="T20" s="144">
        <f t="shared" si="2"/>
        <v>0</v>
      </c>
      <c r="U20" s="147">
        <f t="shared" si="3"/>
        <v>1</v>
      </c>
      <c r="V20" s="131"/>
    </row>
    <row r="21" spans="1:22" ht="15.75" x14ac:dyDescent="0.25">
      <c r="A21" s="142">
        <v>43878</v>
      </c>
      <c r="B21" s="143">
        <f>Sheet17!D22</f>
        <v>0.20833333333334281</v>
      </c>
      <c r="C21" s="143">
        <f>Sheet17!E22</f>
        <v>206.61111111111111</v>
      </c>
      <c r="D21" s="143">
        <f>Sheet17!F22</f>
        <v>206.875</v>
      </c>
      <c r="E21" s="143">
        <f>Sheet17!G22</f>
        <v>0.26388888888888573</v>
      </c>
      <c r="F21" s="143">
        <f>Sheet17!H22</f>
        <v>206.92013888888889</v>
      </c>
      <c r="G21" s="143">
        <f>Sheet17!I22</f>
        <v>207.20833333333334</v>
      </c>
      <c r="H21" s="143">
        <f>Sheet17!J22</f>
        <v>0.28819444444445708</v>
      </c>
      <c r="I21" s="144">
        <f t="shared" si="0"/>
        <v>0.76041666666668561</v>
      </c>
      <c r="J21" s="143">
        <v>0.13541666666666666</v>
      </c>
      <c r="K21" s="143">
        <v>0</v>
      </c>
      <c r="L21" s="143">
        <v>0</v>
      </c>
      <c r="M21" s="143">
        <v>0.10416666666666667</v>
      </c>
      <c r="N21" s="143">
        <v>0</v>
      </c>
      <c r="O21" s="144">
        <f t="shared" si="1"/>
        <v>0.10416666666666667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2"/>
        <v>0</v>
      </c>
      <c r="U21" s="147">
        <f t="shared" si="3"/>
        <v>1.0000000000000189</v>
      </c>
      <c r="V21" s="267" t="s">
        <v>310</v>
      </c>
    </row>
    <row r="22" spans="1:22" ht="15.75" x14ac:dyDescent="0.25">
      <c r="A22" s="142">
        <v>43879</v>
      </c>
      <c r="B22" s="143">
        <f>Sheet18!D22</f>
        <v>9.375E-2</v>
      </c>
      <c r="C22" s="143">
        <f>Sheet18!E22</f>
        <v>206.64583333333334</v>
      </c>
      <c r="D22" s="143">
        <f>Sheet18!F22</f>
        <v>206.875</v>
      </c>
      <c r="E22" s="143">
        <f>Sheet18!G22</f>
        <v>0.22916666666665719</v>
      </c>
      <c r="F22" s="143">
        <f>Sheet18!H22</f>
        <v>206.95833333333334</v>
      </c>
      <c r="G22" s="143">
        <f>Sheet18!I22</f>
        <v>207.20833333333334</v>
      </c>
      <c r="H22" s="143">
        <f>Sheet18!J22</f>
        <v>0.25</v>
      </c>
      <c r="I22" s="144">
        <f t="shared" si="0"/>
        <v>0.57291666666665719</v>
      </c>
      <c r="J22" s="143">
        <v>0.19791666666666666</v>
      </c>
      <c r="K22" s="143">
        <v>8.3333333333333329E-2</v>
      </c>
      <c r="L22" s="143">
        <v>0</v>
      </c>
      <c r="M22" s="143">
        <v>0.14583333333333334</v>
      </c>
      <c r="N22" s="143">
        <v>0</v>
      </c>
      <c r="O22" s="144">
        <f t="shared" si="1"/>
        <v>0.22916666666666669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2"/>
        <v>0</v>
      </c>
      <c r="U22" s="147">
        <f t="shared" si="3"/>
        <v>0.99999999999999056</v>
      </c>
      <c r="V22" s="268"/>
    </row>
    <row r="23" spans="1:22" ht="15.75" x14ac:dyDescent="0.25">
      <c r="A23" s="142">
        <v>43880</v>
      </c>
      <c r="B23" s="143">
        <f>Sheet18!D22</f>
        <v>9.375E-2</v>
      </c>
      <c r="C23" s="143">
        <f>Sheet18!E22</f>
        <v>206.64583333333334</v>
      </c>
      <c r="D23" s="143">
        <f>Sheet18!F22</f>
        <v>206.875</v>
      </c>
      <c r="E23" s="143">
        <f>Sheet18!G22</f>
        <v>0.22916666666665719</v>
      </c>
      <c r="F23" s="143">
        <f>Sheet18!H22</f>
        <v>206.95833333333334</v>
      </c>
      <c r="G23" s="143">
        <f>Sheet18!I22</f>
        <v>207.20833333333334</v>
      </c>
      <c r="H23" s="143">
        <f>Sheet18!J22</f>
        <v>0.25</v>
      </c>
      <c r="I23" s="144">
        <f t="shared" si="0"/>
        <v>0.57291666666665719</v>
      </c>
      <c r="J23" s="143">
        <v>0.18055555555555555</v>
      </c>
      <c r="K23" s="143">
        <v>5.5555555555555552E-2</v>
      </c>
      <c r="L23" s="143">
        <v>0</v>
      </c>
      <c r="M23" s="143">
        <v>0.19097222222222221</v>
      </c>
      <c r="N23" s="143">
        <v>0</v>
      </c>
      <c r="O23" s="144">
        <f t="shared" si="1"/>
        <v>0.24652777777777776</v>
      </c>
      <c r="P23" s="143">
        <v>0</v>
      </c>
      <c r="Q23" s="143">
        <v>0</v>
      </c>
      <c r="R23" s="143">
        <v>0</v>
      </c>
      <c r="S23" s="143">
        <v>0</v>
      </c>
      <c r="T23" s="144">
        <f t="shared" si="2"/>
        <v>0</v>
      </c>
      <c r="U23" s="147">
        <f t="shared" si="3"/>
        <v>0.99999999999999056</v>
      </c>
      <c r="V23" s="269"/>
    </row>
    <row r="24" spans="1:22" ht="15.75" customHeight="1" x14ac:dyDescent="0.25">
      <c r="A24" s="142">
        <v>43881</v>
      </c>
      <c r="B24" s="143">
        <f>Sheet20!D22</f>
        <v>0</v>
      </c>
      <c r="C24" s="143">
        <f>Sheet20!E22</f>
        <v>206.58333333333334</v>
      </c>
      <c r="D24" s="143">
        <f>Sheet20!F22</f>
        <v>206.875</v>
      </c>
      <c r="E24" s="143">
        <f>Sheet20!G22</f>
        <v>0.29166666666665719</v>
      </c>
      <c r="F24" s="143">
        <f>Sheet20!H22</f>
        <v>206.92013888888889</v>
      </c>
      <c r="G24" s="143">
        <f>Sheet20!I22</f>
        <v>207.20833333333334</v>
      </c>
      <c r="H24" s="143">
        <f>Sheet20!J22</f>
        <v>0.28819444444445708</v>
      </c>
      <c r="I24" s="144">
        <f t="shared" si="0"/>
        <v>0.57986111111111427</v>
      </c>
      <c r="J24" s="143">
        <v>0.10069444444444443</v>
      </c>
      <c r="K24" s="143">
        <v>0</v>
      </c>
      <c r="L24" s="143">
        <v>0</v>
      </c>
      <c r="M24" s="143">
        <v>0</v>
      </c>
      <c r="N24" s="143">
        <v>0</v>
      </c>
      <c r="O24" s="144">
        <f t="shared" si="1"/>
        <v>0</v>
      </c>
      <c r="P24" s="143">
        <v>0</v>
      </c>
      <c r="Q24" s="143">
        <v>0</v>
      </c>
      <c r="R24" s="143">
        <v>0.31944444444444448</v>
      </c>
      <c r="S24" s="143">
        <v>0</v>
      </c>
      <c r="T24" s="144">
        <f t="shared" si="2"/>
        <v>0.31944444444444448</v>
      </c>
      <c r="U24" s="147">
        <f t="shared" si="3"/>
        <v>1.0000000000000031</v>
      </c>
      <c r="V24" s="131" t="s">
        <v>311</v>
      </c>
    </row>
    <row r="25" spans="1:22" ht="15.75" x14ac:dyDescent="0.25">
      <c r="A25" s="142">
        <v>43882</v>
      </c>
      <c r="B25" s="143">
        <f>Sheet21!D22</f>
        <v>0.29166666666665719</v>
      </c>
      <c r="C25" s="143">
        <f>Sheet21!E22</f>
        <v>206.58333333333334</v>
      </c>
      <c r="D25" s="143">
        <f>Sheet21!F22</f>
        <v>206.875</v>
      </c>
      <c r="E25" s="143">
        <f>Sheet21!G22</f>
        <v>0.29166666666665719</v>
      </c>
      <c r="F25" s="143">
        <f>Sheet21!H22</f>
        <v>206.9375</v>
      </c>
      <c r="G25" s="143">
        <f>Sheet21!I22</f>
        <v>207.20833333333334</v>
      </c>
      <c r="H25" s="143">
        <f>Sheet21!J22</f>
        <v>0.27083333333334281</v>
      </c>
      <c r="I25" s="144">
        <f t="shared" si="0"/>
        <v>0.85416666666665719</v>
      </c>
      <c r="J25" s="143">
        <v>0.14583333333333334</v>
      </c>
      <c r="K25" s="143">
        <v>0</v>
      </c>
      <c r="L25" s="143">
        <v>0</v>
      </c>
      <c r="M25" s="143">
        <v>0</v>
      </c>
      <c r="N25" s="143">
        <v>0</v>
      </c>
      <c r="O25" s="144">
        <f t="shared" si="1"/>
        <v>0</v>
      </c>
      <c r="P25" s="143">
        <v>0</v>
      </c>
      <c r="Q25" s="143">
        <v>0</v>
      </c>
      <c r="R25" s="143">
        <v>0</v>
      </c>
      <c r="S25" s="143">
        <v>0</v>
      </c>
      <c r="T25" s="144">
        <f t="shared" si="2"/>
        <v>0</v>
      </c>
      <c r="U25" s="147">
        <f t="shared" si="3"/>
        <v>0.99999999999999056</v>
      </c>
    </row>
    <row r="26" spans="1:22" ht="15.75" x14ac:dyDescent="0.25">
      <c r="A26" s="142">
        <v>43883</v>
      </c>
      <c r="B26" s="143">
        <f>Sheet22!D22</f>
        <v>0.29513888888888573</v>
      </c>
      <c r="C26" s="143">
        <f>Sheet22!E22</f>
        <v>206.65277777777777</v>
      </c>
      <c r="D26" s="143">
        <f>Sheet22!F22</f>
        <v>206.875</v>
      </c>
      <c r="E26" s="143">
        <f>Sheet22!G22</f>
        <v>0.22222222222222854</v>
      </c>
      <c r="F26" s="143">
        <f>Sheet22!H22</f>
        <v>206.92013888888889</v>
      </c>
      <c r="G26" s="143">
        <f>Sheet22!I22</f>
        <v>207.20833333333334</v>
      </c>
      <c r="H26" s="143">
        <f>Sheet22!J22</f>
        <v>0.28819444444445708</v>
      </c>
      <c r="I26" s="144">
        <f t="shared" si="0"/>
        <v>0.80555555555557135</v>
      </c>
      <c r="J26" s="143">
        <v>0.19444444444444445</v>
      </c>
      <c r="K26" s="143">
        <v>0</v>
      </c>
      <c r="L26" s="143">
        <v>0</v>
      </c>
      <c r="M26" s="143">
        <v>0</v>
      </c>
      <c r="N26" s="143">
        <v>0</v>
      </c>
      <c r="O26" s="144">
        <f t="shared" si="1"/>
        <v>0</v>
      </c>
      <c r="P26" s="143">
        <v>0</v>
      </c>
      <c r="Q26" s="143">
        <v>0</v>
      </c>
      <c r="R26" s="143">
        <v>0</v>
      </c>
      <c r="S26" s="143">
        <v>0</v>
      </c>
      <c r="T26" s="144">
        <f t="shared" si="2"/>
        <v>0</v>
      </c>
      <c r="U26" s="147">
        <f t="shared" si="3"/>
        <v>1.0000000000000158</v>
      </c>
      <c r="V26" s="151"/>
    </row>
    <row r="27" spans="1:22" ht="15.75" x14ac:dyDescent="0.25">
      <c r="A27" s="142">
        <v>43884</v>
      </c>
      <c r="B27" s="143">
        <f>Sheet23!D22</f>
        <v>0.29166666666665719</v>
      </c>
      <c r="C27" s="143">
        <f>Sheet23!E22</f>
        <v>206.57638888888889</v>
      </c>
      <c r="D27" s="143">
        <f>Sheet23!F22</f>
        <v>206.875</v>
      </c>
      <c r="E27" s="143">
        <f>Sheet23!G22</f>
        <v>0.29861111111111427</v>
      </c>
      <c r="F27" s="143">
        <f>Sheet23!H22</f>
        <v>206.02777777777777</v>
      </c>
      <c r="G27" s="143">
        <f>Sheet23!I22</f>
        <v>207.20833333333334</v>
      </c>
      <c r="H27" s="143">
        <f>Sheet23!J22</f>
        <v>1.1805555555555713</v>
      </c>
      <c r="I27" s="144">
        <f t="shared" si="0"/>
        <v>1.7708333333333428</v>
      </c>
      <c r="J27" s="143">
        <v>0.15972222222222224</v>
      </c>
      <c r="K27" s="143">
        <v>0</v>
      </c>
      <c r="L27" s="143">
        <v>0</v>
      </c>
      <c r="M27" s="143">
        <v>6.9444444444444434E-2</v>
      </c>
      <c r="N27" s="143">
        <v>0</v>
      </c>
      <c r="O27" s="144">
        <f t="shared" si="1"/>
        <v>6.9444444444444434E-2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2"/>
        <v>0</v>
      </c>
      <c r="U27" s="147">
        <f t="shared" si="3"/>
        <v>2.0000000000000093</v>
      </c>
      <c r="V27" s="131" t="s">
        <v>112</v>
      </c>
    </row>
    <row r="28" spans="1:22" ht="15.75" x14ac:dyDescent="0.25">
      <c r="A28" s="142">
        <v>43885</v>
      </c>
      <c r="B28" s="143">
        <f>Sheet24!D22</f>
        <v>0</v>
      </c>
      <c r="C28" s="143">
        <f>Sheet24!E22</f>
        <v>0</v>
      </c>
      <c r="D28" s="143">
        <f>Sheet24!F22</f>
        <v>0</v>
      </c>
      <c r="E28" s="143">
        <f>Sheet24!G22</f>
        <v>0</v>
      </c>
      <c r="F28" s="143">
        <f>Sheet24!H22</f>
        <v>0</v>
      </c>
      <c r="G28" s="143">
        <f>Sheet24!I22</f>
        <v>0</v>
      </c>
      <c r="H28" s="143">
        <f>Sheet24!J22</f>
        <v>0</v>
      </c>
      <c r="I28" s="144">
        <f t="shared" si="0"/>
        <v>0</v>
      </c>
      <c r="J28" s="143">
        <v>0</v>
      </c>
      <c r="K28" s="143">
        <v>0</v>
      </c>
      <c r="L28" s="143">
        <v>0</v>
      </c>
      <c r="M28" s="143">
        <v>0</v>
      </c>
      <c r="N28" s="143">
        <v>0</v>
      </c>
      <c r="O28" s="144">
        <f t="shared" si="1"/>
        <v>0</v>
      </c>
      <c r="P28" s="143">
        <v>0</v>
      </c>
      <c r="Q28" s="143">
        <v>0</v>
      </c>
      <c r="R28" s="143">
        <v>0</v>
      </c>
      <c r="S28" s="143">
        <v>0</v>
      </c>
      <c r="T28" s="144">
        <f t="shared" si="2"/>
        <v>0</v>
      </c>
      <c r="U28" s="147">
        <f t="shared" si="3"/>
        <v>0</v>
      </c>
      <c r="V28" s="265" t="s">
        <v>312</v>
      </c>
    </row>
    <row r="29" spans="1:22" ht="15.75" x14ac:dyDescent="0.25">
      <c r="A29" s="142">
        <v>43886</v>
      </c>
      <c r="B29" s="143">
        <f>Sheet25!D22</f>
        <v>9.375E-2</v>
      </c>
      <c r="C29" s="143">
        <f>Sheet25!E22</f>
        <v>206.57986111111111</v>
      </c>
      <c r="D29" s="143">
        <f>Sheet25!F22</f>
        <v>206.86805555555554</v>
      </c>
      <c r="E29" s="143">
        <f>Sheet25!G22</f>
        <v>0.28819444444442865</v>
      </c>
      <c r="F29" s="143">
        <f>Sheet25!H22</f>
        <v>206.93055555555554</v>
      </c>
      <c r="G29" s="143">
        <f>Sheet25!I22</f>
        <v>207.20833333333334</v>
      </c>
      <c r="H29" s="143">
        <f>Sheet25!J22</f>
        <v>0.27777777777779988</v>
      </c>
      <c r="I29" s="144">
        <f t="shared" si="0"/>
        <v>0.65972222222222854</v>
      </c>
      <c r="J29" s="143">
        <v>0.1875</v>
      </c>
      <c r="K29" s="143">
        <v>0</v>
      </c>
      <c r="L29" s="143">
        <v>0</v>
      </c>
      <c r="M29" s="143">
        <v>0</v>
      </c>
      <c r="N29" s="143">
        <v>0</v>
      </c>
      <c r="O29" s="144">
        <f t="shared" si="1"/>
        <v>0</v>
      </c>
      <c r="P29" s="143">
        <v>0</v>
      </c>
      <c r="Q29" s="143">
        <v>0.15277777777777776</v>
      </c>
      <c r="R29" s="143">
        <v>0</v>
      </c>
      <c r="S29" s="143">
        <v>0</v>
      </c>
      <c r="T29" s="144">
        <f t="shared" si="2"/>
        <v>0.15277777777777776</v>
      </c>
      <c r="U29" s="147">
        <f t="shared" si="3"/>
        <v>1.0000000000000062</v>
      </c>
      <c r="V29" s="264"/>
    </row>
    <row r="30" spans="1:22" ht="15.75" x14ac:dyDescent="0.25">
      <c r="A30" s="142">
        <v>43887</v>
      </c>
      <c r="B30" s="143">
        <f>Sheet26!D22</f>
        <v>0.22222222222220012</v>
      </c>
      <c r="C30" s="143">
        <f>Sheet26!E22</f>
        <v>206.58680555555554</v>
      </c>
      <c r="D30" s="143">
        <f>Sheet26!F22</f>
        <v>206.875</v>
      </c>
      <c r="E30" s="143">
        <f>Sheet26!G22</f>
        <v>0.28819444444445708</v>
      </c>
      <c r="F30" s="143">
        <f>Sheet26!H22</f>
        <v>206.91319444444446</v>
      </c>
      <c r="G30" s="143">
        <f>Sheet26!I22</f>
        <v>207.20833333333334</v>
      </c>
      <c r="H30" s="143">
        <f>Sheet26!J22</f>
        <v>0.29513888888888573</v>
      </c>
      <c r="I30" s="144">
        <f t="shared" si="0"/>
        <v>0.80555555555554292</v>
      </c>
      <c r="J30" s="143">
        <v>0.19444444444444445</v>
      </c>
      <c r="K30" s="143">
        <v>0</v>
      </c>
      <c r="L30" s="143">
        <v>0</v>
      </c>
      <c r="M30" s="143">
        <v>0</v>
      </c>
      <c r="N30" s="143">
        <v>0</v>
      </c>
      <c r="O30" s="144">
        <f t="shared" si="1"/>
        <v>0</v>
      </c>
      <c r="P30" s="143">
        <v>0</v>
      </c>
      <c r="Q30" s="143">
        <v>0</v>
      </c>
      <c r="R30" s="143">
        <v>0</v>
      </c>
      <c r="S30" s="143">
        <v>0</v>
      </c>
      <c r="T30" s="144">
        <f t="shared" si="2"/>
        <v>0</v>
      </c>
      <c r="U30" s="147">
        <f t="shared" si="3"/>
        <v>0.99999999999998734</v>
      </c>
      <c r="V30" s="131" t="s">
        <v>112</v>
      </c>
    </row>
    <row r="31" spans="1:22" ht="15.75" x14ac:dyDescent="0.25">
      <c r="A31" s="142">
        <v>43888</v>
      </c>
      <c r="B31" s="143">
        <f>Sheet27!D22</f>
        <v>0.15972222222222854</v>
      </c>
      <c r="C31" s="143">
        <f>Sheet27!E22</f>
        <v>206.59722222222223</v>
      </c>
      <c r="D31" s="143">
        <f>Sheet27!F22</f>
        <v>206.875</v>
      </c>
      <c r="E31" s="143">
        <f>Sheet27!G22</f>
        <v>0.27777777777777146</v>
      </c>
      <c r="F31" s="143">
        <f>Sheet27!H22</f>
        <v>206.90625</v>
      </c>
      <c r="G31" s="143">
        <f>Sheet27!I22</f>
        <v>207.20833333333334</v>
      </c>
      <c r="H31" s="143">
        <f>Sheet27!J22</f>
        <v>0.30208333333334281</v>
      </c>
      <c r="I31" s="144">
        <f t="shared" si="0"/>
        <v>0.73958333333334281</v>
      </c>
      <c r="J31" s="143">
        <v>0.10416666666666667</v>
      </c>
      <c r="K31" s="143">
        <v>0</v>
      </c>
      <c r="L31" s="143">
        <v>0</v>
      </c>
      <c r="M31" s="143">
        <v>0.15625</v>
      </c>
      <c r="N31" s="143">
        <v>0</v>
      </c>
      <c r="O31" s="144">
        <f t="shared" si="1"/>
        <v>0.15625</v>
      </c>
      <c r="P31" s="143">
        <v>0</v>
      </c>
      <c r="Q31" s="143">
        <v>0</v>
      </c>
      <c r="R31" s="143">
        <v>0</v>
      </c>
      <c r="S31" s="143">
        <v>0</v>
      </c>
      <c r="T31" s="144">
        <f t="shared" si="2"/>
        <v>0</v>
      </c>
      <c r="U31" s="147">
        <f t="shared" si="3"/>
        <v>1.0000000000000095</v>
      </c>
      <c r="V31" s="131" t="s">
        <v>112</v>
      </c>
    </row>
    <row r="32" spans="1:22" ht="15.75" x14ac:dyDescent="0.25">
      <c r="A32" s="142">
        <v>43889</v>
      </c>
      <c r="B32" s="143">
        <f>Sheet28!D22</f>
        <v>0.29166666666665719</v>
      </c>
      <c r="C32" s="143">
        <f>Sheet28!E22</f>
        <v>206.58333333333334</v>
      </c>
      <c r="D32" s="143">
        <f>Sheet28!F22</f>
        <v>206.875</v>
      </c>
      <c r="E32" s="143">
        <f>Sheet28!G22</f>
        <v>0.29166666666665719</v>
      </c>
      <c r="F32" s="143">
        <f>Sheet28!H22</f>
        <v>206.90972222222223</v>
      </c>
      <c r="G32" s="143">
        <f>Sheet28!I22</f>
        <v>207.20833333333334</v>
      </c>
      <c r="H32" s="143">
        <f>Sheet28!J22</f>
        <v>0.29861111111111427</v>
      </c>
      <c r="I32" s="144">
        <f t="shared" si="0"/>
        <v>0.88194444444442865</v>
      </c>
      <c r="J32" s="143">
        <v>0.11805555555555557</v>
      </c>
      <c r="K32" s="143">
        <v>0</v>
      </c>
      <c r="L32" s="143">
        <v>0</v>
      </c>
      <c r="M32" s="143">
        <v>0</v>
      </c>
      <c r="N32" s="143">
        <v>0</v>
      </c>
      <c r="O32" s="144">
        <f t="shared" si="1"/>
        <v>0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2"/>
        <v>0</v>
      </c>
      <c r="U32" s="147">
        <f t="shared" si="3"/>
        <v>0.99999999999998423</v>
      </c>
      <c r="V32" s="131" t="s">
        <v>112</v>
      </c>
    </row>
    <row r="33" spans="1:22" ht="15.75" x14ac:dyDescent="0.25">
      <c r="A33" s="142">
        <v>43890</v>
      </c>
      <c r="B33" s="143">
        <f>Sheet29!D22</f>
        <v>0.28472222222220012</v>
      </c>
      <c r="C33" s="143">
        <f>Sheet29!E22</f>
        <v>206.57986111111111</v>
      </c>
      <c r="D33" s="143">
        <f>Sheet29!F22</f>
        <v>206.875</v>
      </c>
      <c r="E33" s="143">
        <f>Sheet29!G22</f>
        <v>0.29513888888888573</v>
      </c>
      <c r="F33" s="143">
        <f>Sheet29!H22</f>
        <v>206.90625</v>
      </c>
      <c r="G33" s="143">
        <f>Sheet29!I22</f>
        <v>207.20833333333334</v>
      </c>
      <c r="H33" s="143">
        <f>Sheet29!J22</f>
        <v>0.30208333333334281</v>
      </c>
      <c r="I33" s="144">
        <f t="shared" si="0"/>
        <v>0.88194444444442865</v>
      </c>
      <c r="J33" s="143">
        <v>0.11805555555555557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1"/>
        <v>0</v>
      </c>
      <c r="P33" s="143">
        <v>0</v>
      </c>
      <c r="Q33" s="143">
        <v>0</v>
      </c>
      <c r="R33" s="143">
        <v>0</v>
      </c>
      <c r="S33" s="143">
        <v>0</v>
      </c>
      <c r="T33" s="144">
        <f t="shared" si="2"/>
        <v>0</v>
      </c>
      <c r="U33" s="147">
        <f t="shared" si="3"/>
        <v>0.99999999999998423</v>
      </c>
      <c r="V33" s="131"/>
    </row>
    <row r="34" spans="1:22" ht="15.75" x14ac:dyDescent="0.25">
      <c r="A34" s="132" t="s">
        <v>113</v>
      </c>
      <c r="B34" s="130" t="s">
        <v>13</v>
      </c>
      <c r="C34" s="130"/>
      <c r="D34" s="130"/>
      <c r="E34" s="130"/>
      <c r="F34" s="130"/>
      <c r="G34" s="130"/>
      <c r="H34" s="130" t="s">
        <v>13</v>
      </c>
      <c r="I34" s="152">
        <f t="shared" ref="I34:T34" si="4">SUM(I5:I33)</f>
        <v>21.854166666666572</v>
      </c>
      <c r="J34" s="152">
        <f t="shared" si="4"/>
        <v>4.6076388888888884</v>
      </c>
      <c r="K34" s="152">
        <f t="shared" si="4"/>
        <v>0.22916666666666666</v>
      </c>
      <c r="L34" s="152">
        <f t="shared" si="4"/>
        <v>0.18055555555555555</v>
      </c>
      <c r="M34" s="152">
        <f t="shared" si="4"/>
        <v>0.95833333333333326</v>
      </c>
      <c r="N34" s="152">
        <f t="shared" si="4"/>
        <v>0</v>
      </c>
      <c r="O34" s="152">
        <f t="shared" si="4"/>
        <v>1.3680555555555554</v>
      </c>
      <c r="P34" s="152">
        <f t="shared" si="4"/>
        <v>0.15972222222222224</v>
      </c>
      <c r="Q34" s="152">
        <f t="shared" si="4"/>
        <v>0.69097222222222221</v>
      </c>
      <c r="R34" s="152">
        <f t="shared" si="4"/>
        <v>0.31944444444444448</v>
      </c>
      <c r="S34" s="152">
        <f t="shared" si="4"/>
        <v>0</v>
      </c>
      <c r="T34" s="152">
        <f t="shared" si="4"/>
        <v>1.1701388888888888</v>
      </c>
      <c r="U34" s="153">
        <f>I34+O34+T34+J34</f>
        <v>28.999999999999908</v>
      </c>
      <c r="V34" s="89"/>
    </row>
    <row r="35" spans="1:22" ht="15.75" x14ac:dyDescent="0.25">
      <c r="B35" s="133"/>
      <c r="C35" s="133"/>
      <c r="D35" s="133"/>
      <c r="E35" s="133"/>
      <c r="F35" s="133"/>
      <c r="G35" s="133"/>
      <c r="H35" s="133"/>
      <c r="I35" s="134"/>
      <c r="J35" s="135"/>
      <c r="K35" s="133"/>
      <c r="L35" s="133"/>
      <c r="M35" s="133"/>
      <c r="N35" s="133"/>
      <c r="O35" s="133"/>
      <c r="P35" s="133"/>
      <c r="Q35" s="133"/>
      <c r="R35" s="133"/>
      <c r="S35" s="133"/>
      <c r="T35" s="136"/>
      <c r="U35" s="136"/>
    </row>
    <row r="36" spans="1:22" x14ac:dyDescent="0.25">
      <c r="B36" s="133"/>
      <c r="C36" s="133"/>
      <c r="D36" s="133"/>
      <c r="E36" s="133"/>
      <c r="F36" s="133"/>
      <c r="G36" s="133"/>
      <c r="H36" s="133"/>
      <c r="I36" s="134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</row>
    <row r="37" spans="1:22" x14ac:dyDescent="0.25"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7"/>
      <c r="N37" s="133"/>
      <c r="O37" s="133"/>
      <c r="P37" s="133"/>
      <c r="Q37" s="133"/>
      <c r="R37" s="133" t="s">
        <v>115</v>
      </c>
      <c r="S37" s="133"/>
      <c r="T37" s="133"/>
      <c r="U37" s="133"/>
    </row>
    <row r="38" spans="1:22" x14ac:dyDescent="0.25">
      <c r="B38" s="133"/>
      <c r="C38" s="133"/>
      <c r="D38" s="133"/>
      <c r="E38" s="133"/>
      <c r="F38" s="133"/>
      <c r="G38" s="133"/>
      <c r="H38" s="133"/>
      <c r="I38" s="138"/>
      <c r="J38" s="138"/>
      <c r="K38" s="138"/>
      <c r="L38" s="138"/>
      <c r="M38" s="138"/>
      <c r="N38" s="138"/>
      <c r="O38" s="139"/>
      <c r="P38" s="138"/>
      <c r="Q38" s="138"/>
      <c r="R38" s="138" t="s">
        <v>116</v>
      </c>
      <c r="S38" s="138"/>
      <c r="T38" s="133"/>
      <c r="U38" s="133"/>
    </row>
    <row r="39" spans="1:22" ht="15.75" x14ac:dyDescent="0.25">
      <c r="A39" s="140" t="s">
        <v>117</v>
      </c>
      <c r="B39" s="133"/>
      <c r="C39" s="133"/>
      <c r="D39" s="133"/>
      <c r="E39" s="133"/>
      <c r="F39" s="133"/>
      <c r="G39" s="133"/>
      <c r="H39" s="133"/>
      <c r="I39" s="134"/>
      <c r="J39" s="133"/>
      <c r="K39" s="133"/>
      <c r="L39" s="133"/>
      <c r="M39" s="137"/>
      <c r="N39" s="133"/>
      <c r="O39" s="139"/>
      <c r="P39" s="133"/>
      <c r="Q39" s="133"/>
      <c r="R39" s="133"/>
      <c r="S39" s="133"/>
      <c r="T39" s="133"/>
      <c r="U39" s="133"/>
    </row>
    <row r="40" spans="1:22" ht="15.75" x14ac:dyDescent="0.25">
      <c r="A40" s="140" t="s">
        <v>118</v>
      </c>
      <c r="B40" s="133"/>
      <c r="C40" s="133"/>
      <c r="D40" s="133"/>
      <c r="E40" s="133"/>
      <c r="F40" s="133"/>
      <c r="G40" s="133"/>
      <c r="H40" s="133"/>
      <c r="I40" s="134"/>
      <c r="J40" s="133"/>
      <c r="K40" s="133"/>
      <c r="L40" s="133"/>
      <c r="M40" s="133"/>
      <c r="N40" s="133"/>
      <c r="O40" s="139"/>
      <c r="P40" s="133"/>
      <c r="Q40" s="133"/>
      <c r="R40" s="133"/>
      <c r="S40" s="133"/>
      <c r="T40" s="133"/>
      <c r="U40" s="133"/>
    </row>
    <row r="41" spans="1:22" ht="15.75" x14ac:dyDescent="0.25">
      <c r="A41" s="140">
        <v>2</v>
      </c>
      <c r="B41" s="133" t="s">
        <v>119</v>
      </c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3"/>
      <c r="N41" s="133"/>
      <c r="O41" s="139"/>
      <c r="P41" s="133"/>
      <c r="Q41" s="133"/>
      <c r="R41" s="133"/>
      <c r="S41" s="133"/>
      <c r="T41" s="133"/>
      <c r="U41" s="133"/>
    </row>
    <row r="42" spans="1:22" ht="15.75" x14ac:dyDescent="0.25">
      <c r="A42" s="140">
        <v>3</v>
      </c>
      <c r="B42" s="133" t="s">
        <v>120</v>
      </c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</row>
    <row r="43" spans="1:22" x14ac:dyDescent="0.25">
      <c r="A43" s="141" t="s">
        <v>121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7"/>
      <c r="P43" s="133"/>
      <c r="Q43" s="133"/>
      <c r="R43" s="133"/>
      <c r="S43" s="133"/>
      <c r="T43" s="133"/>
      <c r="U43" s="133"/>
    </row>
    <row r="44" spans="1:22" ht="15.75" x14ac:dyDescent="0.25">
      <c r="A44" s="140"/>
      <c r="B44" s="133"/>
      <c r="C44" s="133"/>
      <c r="D44" s="133"/>
      <c r="E44" s="134"/>
      <c r="F44" s="133"/>
      <c r="G44" s="133"/>
      <c r="H44" s="133"/>
      <c r="I44" s="133"/>
      <c r="J44" s="133"/>
      <c r="K44" s="139"/>
      <c r="L44" s="133"/>
      <c r="M44" s="133"/>
      <c r="N44" s="133"/>
      <c r="O44" s="133"/>
      <c r="P44" s="133"/>
      <c r="Q44" s="133"/>
    </row>
    <row r="45" spans="1:22" ht="15.75" x14ac:dyDescent="0.25">
      <c r="A45" s="140"/>
      <c r="B45" s="133"/>
      <c r="C45" s="133"/>
      <c r="D45" s="133"/>
      <c r="E45" s="134"/>
      <c r="F45" s="133"/>
      <c r="G45" s="133"/>
      <c r="H45" s="133"/>
      <c r="I45" s="133"/>
      <c r="J45" s="133"/>
      <c r="K45" s="139"/>
      <c r="L45" s="133"/>
      <c r="M45" s="133"/>
      <c r="N45" s="133"/>
      <c r="O45" s="133"/>
      <c r="P45" s="133"/>
      <c r="Q45" s="133"/>
    </row>
    <row r="46" spans="1:22" ht="15.75" x14ac:dyDescent="0.25">
      <c r="A46" s="140"/>
      <c r="B46" s="133"/>
      <c r="C46" s="133"/>
      <c r="D46" s="133"/>
      <c r="E46" s="134"/>
      <c r="F46" s="133"/>
      <c r="G46" s="133"/>
      <c r="H46" s="133"/>
      <c r="I46" s="133"/>
      <c r="J46" s="133"/>
      <c r="K46" s="139"/>
      <c r="L46" s="133"/>
      <c r="M46" s="133"/>
      <c r="N46" s="133"/>
      <c r="O46" s="133"/>
      <c r="P46" s="133"/>
      <c r="Q46" s="133"/>
    </row>
    <row r="47" spans="1:22" x14ac:dyDescent="0.25">
      <c r="A47" s="141"/>
      <c r="B47" s="133"/>
      <c r="C47" s="133"/>
      <c r="D47" s="133"/>
      <c r="E47" s="133"/>
      <c r="F47" s="133"/>
      <c r="G47" s="133"/>
      <c r="H47" s="133"/>
      <c r="I47" s="133"/>
      <c r="J47" s="133"/>
      <c r="K47" s="137"/>
      <c r="L47" s="133"/>
      <c r="M47" s="133"/>
      <c r="N47" s="133"/>
      <c r="O47" s="133"/>
      <c r="P47" s="133"/>
      <c r="Q47" s="133"/>
    </row>
  </sheetData>
  <mergeCells count="3">
    <mergeCell ref="V9:V10"/>
    <mergeCell ref="V21:V23"/>
    <mergeCell ref="V28:V29"/>
  </mergeCells>
  <pageMargins left="0.31496062992125984" right="0.19685039370078741" top="0.23622047244094491" bottom="0.23622047244094491" header="0.31496062992125984" footer="0.31496062992125984"/>
  <pageSetup scale="74" orientation="landscape" horizontalDpi="4294967293" verticalDpi="4294967293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topLeftCell="A25" workbookViewId="0">
      <selection sqref="A1:V44"/>
    </sheetView>
  </sheetViews>
  <sheetFormatPr defaultRowHeight="15" x14ac:dyDescent="0.25"/>
  <cols>
    <col min="1" max="1" width="11.28515625" customWidth="1"/>
    <col min="2" max="2" width="7.85546875" customWidth="1"/>
    <col min="3" max="4" width="9.140625" hidden="1" customWidth="1"/>
    <col min="5" max="5" width="7" customWidth="1"/>
    <col min="6" max="7" width="9.140625" hidden="1" customWidth="1"/>
    <col min="8" max="8" width="7.140625" customWidth="1"/>
    <col min="9" max="9" width="10" bestFit="1" customWidth="1"/>
    <col min="10" max="10" width="8.28515625" customWidth="1"/>
    <col min="11" max="11" width="7.5703125" customWidth="1"/>
    <col min="12" max="12" width="10.140625" customWidth="1"/>
    <col min="13" max="13" width="8.140625" customWidth="1"/>
    <col min="18" max="18" width="9.140625" style="154"/>
    <col min="21" max="21" width="11.140625" customWidth="1"/>
    <col min="22" max="22" width="27.85546875" customWidth="1"/>
  </cols>
  <sheetData>
    <row r="1" spans="1:22" ht="22.5" x14ac:dyDescent="0.3">
      <c r="A1" s="108" t="s">
        <v>289</v>
      </c>
      <c r="R1"/>
    </row>
    <row r="2" spans="1:22" ht="21" thickBot="1" x14ac:dyDescent="0.35">
      <c r="A2" s="109" t="s">
        <v>322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R2"/>
    </row>
    <row r="3" spans="1:22" ht="15.75" x14ac:dyDescent="0.25">
      <c r="A3" s="111" t="s">
        <v>81</v>
      </c>
      <c r="B3" s="112" t="s">
        <v>99</v>
      </c>
      <c r="C3" s="116"/>
      <c r="D3" s="116"/>
      <c r="E3" s="116"/>
      <c r="F3" s="116"/>
      <c r="G3" s="116"/>
      <c r="H3" s="113"/>
      <c r="I3" s="114" t="s">
        <v>13</v>
      </c>
      <c r="J3" s="115" t="s">
        <v>100</v>
      </c>
      <c r="K3" s="116" t="s">
        <v>101</v>
      </c>
      <c r="L3" s="113"/>
      <c r="M3" s="113"/>
      <c r="N3" s="113"/>
      <c r="O3" s="117" t="s">
        <v>13</v>
      </c>
      <c r="P3" s="112" t="s">
        <v>102</v>
      </c>
      <c r="Q3" s="113"/>
      <c r="R3" s="118"/>
      <c r="S3" s="119"/>
      <c r="T3" s="120"/>
      <c r="U3" s="145"/>
      <c r="V3" s="121" t="s">
        <v>103</v>
      </c>
    </row>
    <row r="4" spans="1:22" ht="16.5" thickBot="1" x14ac:dyDescent="0.3">
      <c r="A4" s="122"/>
      <c r="B4" s="123" t="s">
        <v>104</v>
      </c>
      <c r="C4" s="123"/>
      <c r="D4" s="123"/>
      <c r="E4" s="123" t="s">
        <v>105</v>
      </c>
      <c r="F4" s="123"/>
      <c r="G4" s="123"/>
      <c r="H4" s="123" t="s">
        <v>106</v>
      </c>
      <c r="I4" s="124" t="s">
        <v>107</v>
      </c>
      <c r="J4" s="125"/>
      <c r="K4" s="126" t="s">
        <v>108</v>
      </c>
      <c r="L4" s="127" t="s">
        <v>109</v>
      </c>
      <c r="M4" s="127" t="s">
        <v>110</v>
      </c>
      <c r="N4" s="127" t="s">
        <v>111</v>
      </c>
      <c r="O4" s="128" t="s">
        <v>44</v>
      </c>
      <c r="P4" s="127" t="s">
        <v>108</v>
      </c>
      <c r="Q4" s="127" t="s">
        <v>109</v>
      </c>
      <c r="R4" s="127" t="s">
        <v>110</v>
      </c>
      <c r="S4" s="127" t="s">
        <v>111</v>
      </c>
      <c r="T4" s="128" t="s">
        <v>44</v>
      </c>
      <c r="U4" s="146"/>
      <c r="V4" s="129"/>
    </row>
    <row r="5" spans="1:22" ht="15.75" x14ac:dyDescent="0.25">
      <c r="A5" s="142">
        <v>43862</v>
      </c>
      <c r="B5" s="143">
        <f>Sheet1!D23</f>
        <v>0.29861111111111427</v>
      </c>
      <c r="C5" s="143">
        <f>Sheet1!E23</f>
        <v>206.58333333333334</v>
      </c>
      <c r="D5" s="143">
        <f>Sheet1!F23</f>
        <v>206.875</v>
      </c>
      <c r="E5" s="143">
        <f>Sheet1!G23</f>
        <v>0.29166666666665719</v>
      </c>
      <c r="F5" s="143">
        <f>Sheet1!H23</f>
        <v>206.92013888888889</v>
      </c>
      <c r="G5" s="143">
        <f>Sheet1!I23</f>
        <v>207.20833333333334</v>
      </c>
      <c r="H5" s="143">
        <f>Sheet1!J23</f>
        <v>0.28819444444445708</v>
      </c>
      <c r="I5" s="144">
        <f>B5+E5+H5</f>
        <v>0.87847222222222854</v>
      </c>
      <c r="J5" s="143">
        <v>0.12152777777777778</v>
      </c>
      <c r="K5" s="143">
        <v>0</v>
      </c>
      <c r="L5" s="143">
        <v>0</v>
      </c>
      <c r="M5" s="143">
        <v>0</v>
      </c>
      <c r="N5" s="143">
        <v>0</v>
      </c>
      <c r="O5" s="144">
        <f>SUM(K5:N5)</f>
        <v>0</v>
      </c>
      <c r="P5" s="143">
        <v>0</v>
      </c>
      <c r="Q5" s="143">
        <v>0</v>
      </c>
      <c r="R5" s="143">
        <v>0</v>
      </c>
      <c r="S5" s="143">
        <v>0</v>
      </c>
      <c r="T5" s="144">
        <f t="shared" ref="T5:T8" si="0">SUM(P5:S5)</f>
        <v>0</v>
      </c>
      <c r="U5" s="147">
        <f>I5+O5+J5+T5</f>
        <v>1.0000000000000062</v>
      </c>
      <c r="V5" s="131"/>
    </row>
    <row r="6" spans="1:22" ht="15.75" x14ac:dyDescent="0.25">
      <c r="A6" s="142">
        <v>43863</v>
      </c>
      <c r="B6" s="143">
        <f>Sheet2!D23</f>
        <v>0.29166666666665719</v>
      </c>
      <c r="C6" s="143">
        <f>Sheet2!E23</f>
        <v>206.64583333333334</v>
      </c>
      <c r="D6" s="143">
        <f>Sheet2!F23</f>
        <v>206.875</v>
      </c>
      <c r="E6" s="143">
        <f>Sheet2!G23</f>
        <v>0.22916666666665719</v>
      </c>
      <c r="F6" s="143">
        <f>Sheet2!H23</f>
        <v>206.97916666666666</v>
      </c>
      <c r="G6" s="143">
        <f>Sheet2!I23</f>
        <v>207.20833333333334</v>
      </c>
      <c r="H6" s="143">
        <f>Sheet2!J23</f>
        <v>0.22916666666668561</v>
      </c>
      <c r="I6" s="144">
        <f t="shared" ref="I6:I33" si="1">B6+E6+H6</f>
        <v>0.75</v>
      </c>
      <c r="J6" s="143">
        <v>0.18402777777777779</v>
      </c>
      <c r="K6" s="143">
        <v>0</v>
      </c>
      <c r="L6" s="143">
        <v>6.5972222222222224E-2</v>
      </c>
      <c r="M6" s="143">
        <v>0</v>
      </c>
      <c r="N6" s="143">
        <v>0</v>
      </c>
      <c r="O6" s="144">
        <f t="shared" ref="O6:O33" si="2">SUM(K6:N6)</f>
        <v>6.5972222222222224E-2</v>
      </c>
      <c r="P6" s="143">
        <v>0</v>
      </c>
      <c r="Q6" s="143">
        <v>0</v>
      </c>
      <c r="R6" s="143">
        <v>0</v>
      </c>
      <c r="S6" s="143">
        <v>0</v>
      </c>
      <c r="T6" s="144">
        <f t="shared" si="0"/>
        <v>0</v>
      </c>
      <c r="U6" s="147">
        <f t="shared" ref="U6:U33" si="3">I6+O6+J6+T6</f>
        <v>1</v>
      </c>
      <c r="V6" s="131"/>
    </row>
    <row r="7" spans="1:22" ht="15.75" x14ac:dyDescent="0.25">
      <c r="A7" s="142">
        <v>43864</v>
      </c>
      <c r="B7" s="143">
        <f>Sheet3!D23</f>
        <v>0.29166666666665719</v>
      </c>
      <c r="C7" s="143">
        <f>Sheet3!E23</f>
        <v>206.64236111111111</v>
      </c>
      <c r="D7" s="143">
        <f>Sheet3!F23</f>
        <v>206.875</v>
      </c>
      <c r="E7" s="143">
        <f>Sheet3!G23</f>
        <v>0.23263888888888573</v>
      </c>
      <c r="F7" s="143">
        <f>Sheet3!H23</f>
        <v>206.95833333333334</v>
      </c>
      <c r="G7" s="143">
        <f>Sheet3!I23</f>
        <v>207.20833333333334</v>
      </c>
      <c r="H7" s="143">
        <f>Sheet3!J23</f>
        <v>0.25</v>
      </c>
      <c r="I7" s="144">
        <f t="shared" si="1"/>
        <v>0.77430555555554292</v>
      </c>
      <c r="J7" s="143">
        <v>0.22569444444444445</v>
      </c>
      <c r="K7" s="143">
        <v>0</v>
      </c>
      <c r="L7" s="143">
        <v>0</v>
      </c>
      <c r="M7" s="143">
        <v>0</v>
      </c>
      <c r="N7" s="143">
        <v>0</v>
      </c>
      <c r="O7" s="144">
        <f t="shared" si="2"/>
        <v>0</v>
      </c>
      <c r="P7" s="143">
        <v>0</v>
      </c>
      <c r="Q7" s="143">
        <v>0</v>
      </c>
      <c r="R7" s="143">
        <v>0</v>
      </c>
      <c r="S7" s="143">
        <v>0</v>
      </c>
      <c r="T7" s="144">
        <f t="shared" si="0"/>
        <v>0</v>
      </c>
      <c r="U7" s="147">
        <f t="shared" si="3"/>
        <v>0.99999999999998734</v>
      </c>
      <c r="V7" s="131" t="s">
        <v>112</v>
      </c>
    </row>
    <row r="8" spans="1:22" ht="15.75" x14ac:dyDescent="0.25">
      <c r="A8" s="142">
        <v>43865</v>
      </c>
      <c r="B8" s="143">
        <f>Sheet4!D23</f>
        <v>0.29166666666665719</v>
      </c>
      <c r="C8" s="143">
        <f>Sheet4!E23</f>
        <v>206.58333333333334</v>
      </c>
      <c r="D8" s="143">
        <f>Sheet4!F23</f>
        <v>206.875</v>
      </c>
      <c r="E8" s="143">
        <f>Sheet4!G23</f>
        <v>0.29166666666665719</v>
      </c>
      <c r="F8" s="143">
        <f>Sheet4!H23</f>
        <v>206.91666666666666</v>
      </c>
      <c r="G8" s="143">
        <f>Sheet4!I23</f>
        <v>207.20833333333334</v>
      </c>
      <c r="H8" s="143">
        <f>Sheet4!J23</f>
        <v>0.29166666666668561</v>
      </c>
      <c r="I8" s="144">
        <f t="shared" si="1"/>
        <v>0.875</v>
      </c>
      <c r="J8" s="143">
        <v>0.125</v>
      </c>
      <c r="K8" s="143">
        <v>0</v>
      </c>
      <c r="L8" s="143">
        <v>0</v>
      </c>
      <c r="M8" s="143">
        <v>0</v>
      </c>
      <c r="N8" s="143">
        <v>0</v>
      </c>
      <c r="O8" s="144">
        <f t="shared" si="2"/>
        <v>0</v>
      </c>
      <c r="P8" s="143">
        <v>0</v>
      </c>
      <c r="Q8" s="143">
        <v>0</v>
      </c>
      <c r="R8" s="143">
        <v>0</v>
      </c>
      <c r="S8" s="143">
        <v>0</v>
      </c>
      <c r="T8" s="144">
        <f t="shared" si="0"/>
        <v>0</v>
      </c>
      <c r="U8" s="147">
        <f t="shared" si="3"/>
        <v>1</v>
      </c>
      <c r="V8" s="131" t="s">
        <v>112</v>
      </c>
    </row>
    <row r="9" spans="1:22" ht="15.75" x14ac:dyDescent="0.25">
      <c r="A9" s="142">
        <v>43866</v>
      </c>
      <c r="B9" s="143">
        <f>Sheet5!D23</f>
        <v>0.12847222222222854</v>
      </c>
      <c r="C9" s="143">
        <f>Sheet5!E23</f>
        <v>206.58333333333334</v>
      </c>
      <c r="D9" s="143">
        <f>Sheet5!F23</f>
        <v>206.83333333333334</v>
      </c>
      <c r="E9" s="143">
        <f>Sheet5!G23</f>
        <v>0.25</v>
      </c>
      <c r="F9" s="143">
        <f>Sheet5!H23</f>
        <v>206.91666666666666</v>
      </c>
      <c r="G9" s="143">
        <f>Sheet5!I23</f>
        <v>207.20833333333334</v>
      </c>
      <c r="H9" s="143">
        <f>Sheet5!J23</f>
        <v>0.29166666666668561</v>
      </c>
      <c r="I9" s="144">
        <f t="shared" si="1"/>
        <v>0.67013888888891415</v>
      </c>
      <c r="J9" s="143">
        <v>0.19791666666666666</v>
      </c>
      <c r="K9" s="143">
        <v>0</v>
      </c>
      <c r="L9" s="143">
        <v>0</v>
      </c>
      <c r="M9" s="143">
        <v>0</v>
      </c>
      <c r="N9" s="143">
        <v>0</v>
      </c>
      <c r="O9" s="144">
        <f t="shared" si="2"/>
        <v>0</v>
      </c>
      <c r="P9" s="143">
        <v>0.13194444444444445</v>
      </c>
      <c r="Q9" s="143">
        <v>0</v>
      </c>
      <c r="R9" s="143">
        <v>0</v>
      </c>
      <c r="S9" s="143">
        <v>0</v>
      </c>
      <c r="T9" s="144">
        <f>SUM(P9:S9)</f>
        <v>0.13194444444444445</v>
      </c>
      <c r="U9" s="147">
        <f t="shared" si="3"/>
        <v>1.0000000000000253</v>
      </c>
      <c r="V9" s="131" t="s">
        <v>313</v>
      </c>
    </row>
    <row r="10" spans="1:22" ht="15.75" x14ac:dyDescent="0.25">
      <c r="A10" s="142">
        <v>43867</v>
      </c>
      <c r="B10" s="143">
        <f>Sheet6!D23</f>
        <v>0.27083333333331439</v>
      </c>
      <c r="C10" s="143">
        <f>Sheet6!E23</f>
        <v>206.59027777777777</v>
      </c>
      <c r="D10" s="143">
        <f>Sheet6!F23</f>
        <v>206.875</v>
      </c>
      <c r="E10" s="143">
        <f>Sheet6!G23</f>
        <v>0.28472222222222854</v>
      </c>
      <c r="F10" s="143">
        <f>Sheet6!H23</f>
        <v>206.95833333333334</v>
      </c>
      <c r="G10" s="143">
        <f>Sheet6!I23</f>
        <v>207.20833333333334</v>
      </c>
      <c r="H10" s="143">
        <f>Sheet6!J23</f>
        <v>0.25</v>
      </c>
      <c r="I10" s="144">
        <f t="shared" si="1"/>
        <v>0.80555555555554292</v>
      </c>
      <c r="J10" s="143">
        <v>0.19444444444444445</v>
      </c>
      <c r="K10" s="143">
        <v>0</v>
      </c>
      <c r="L10" s="143">
        <v>0</v>
      </c>
      <c r="M10" s="143">
        <v>0</v>
      </c>
      <c r="N10" s="143">
        <v>0</v>
      </c>
      <c r="O10" s="144">
        <f t="shared" si="2"/>
        <v>0</v>
      </c>
      <c r="P10" s="143">
        <v>0</v>
      </c>
      <c r="Q10" s="143">
        <v>0</v>
      </c>
      <c r="R10" s="143">
        <v>0</v>
      </c>
      <c r="S10" s="143">
        <v>0</v>
      </c>
      <c r="T10" s="144">
        <f t="shared" ref="T10:T33" si="4">SUM(P10:S10)</f>
        <v>0</v>
      </c>
      <c r="U10" s="147">
        <f t="shared" si="3"/>
        <v>0.99999999999998734</v>
      </c>
      <c r="V10" s="131" t="s">
        <v>112</v>
      </c>
    </row>
    <row r="11" spans="1:22" ht="15.75" x14ac:dyDescent="0.25">
      <c r="A11" s="142">
        <v>43868</v>
      </c>
      <c r="B11" s="143">
        <f>Sheet7!D23</f>
        <v>0.25</v>
      </c>
      <c r="C11" s="143">
        <f>Sheet7!E23</f>
        <v>206.58680555555554</v>
      </c>
      <c r="D11" s="143">
        <f>Sheet7!F23</f>
        <v>206.75694444444446</v>
      </c>
      <c r="E11" s="143">
        <f>Sheet7!G23</f>
        <v>0.17013888888891415</v>
      </c>
      <c r="F11" s="143">
        <f>Sheet7!H23</f>
        <v>206.875</v>
      </c>
      <c r="G11" s="143">
        <f>Sheet7!I23</f>
        <v>207.20833333333334</v>
      </c>
      <c r="H11" s="143">
        <f>Sheet7!J23</f>
        <v>0.33333333333334281</v>
      </c>
      <c r="I11" s="144">
        <f t="shared" si="1"/>
        <v>0.75347222222225696</v>
      </c>
      <c r="J11" s="143">
        <v>0.24652777777777779</v>
      </c>
      <c r="K11" s="143">
        <v>0</v>
      </c>
      <c r="L11" s="143">
        <v>0</v>
      </c>
      <c r="M11" s="143">
        <v>0</v>
      </c>
      <c r="N11" s="143">
        <v>0</v>
      </c>
      <c r="O11" s="144">
        <f t="shared" si="2"/>
        <v>0</v>
      </c>
      <c r="P11" s="143">
        <v>0</v>
      </c>
      <c r="Q11" s="143">
        <v>0</v>
      </c>
      <c r="R11" s="143">
        <v>0</v>
      </c>
      <c r="S11" s="143">
        <v>0</v>
      </c>
      <c r="T11" s="144">
        <f t="shared" si="4"/>
        <v>0</v>
      </c>
      <c r="U11" s="147">
        <f t="shared" si="3"/>
        <v>1.0000000000000346</v>
      </c>
      <c r="V11" s="131"/>
    </row>
    <row r="12" spans="1:22" ht="15.75" x14ac:dyDescent="0.25">
      <c r="A12" s="142">
        <v>43869</v>
      </c>
      <c r="B12" s="143">
        <f>Sheet8!D23</f>
        <v>0.25347222222220012</v>
      </c>
      <c r="C12" s="143">
        <f>Sheet8!E23</f>
        <v>206.58333333333334</v>
      </c>
      <c r="D12" s="143">
        <f>Sheet8!F23</f>
        <v>206.79166666666666</v>
      </c>
      <c r="E12" s="143">
        <f>Sheet8!G23</f>
        <v>0.20833333333331439</v>
      </c>
      <c r="F12" s="143">
        <f>Sheet8!H23</f>
        <v>206.91666666666666</v>
      </c>
      <c r="G12" s="143">
        <f>Sheet8!I23</f>
        <v>207.20833333333334</v>
      </c>
      <c r="H12" s="143">
        <f>Sheet8!J23</f>
        <v>0.29166666666668561</v>
      </c>
      <c r="I12" s="144">
        <f t="shared" si="1"/>
        <v>0.75347222222220012</v>
      </c>
      <c r="J12" s="143">
        <v>0.20486111111111113</v>
      </c>
      <c r="K12" s="143">
        <v>4.1666666666666664E-2</v>
      </c>
      <c r="L12" s="143">
        <v>0</v>
      </c>
      <c r="M12" s="143">
        <v>0</v>
      </c>
      <c r="N12" s="143">
        <v>0</v>
      </c>
      <c r="O12" s="144">
        <f t="shared" si="2"/>
        <v>4.1666666666666664E-2</v>
      </c>
      <c r="P12" s="143">
        <v>0</v>
      </c>
      <c r="Q12" s="143">
        <v>0</v>
      </c>
      <c r="R12" s="143">
        <v>0</v>
      </c>
      <c r="S12" s="143">
        <v>0</v>
      </c>
      <c r="T12" s="144">
        <f t="shared" si="4"/>
        <v>0</v>
      </c>
      <c r="U12" s="147">
        <f t="shared" si="3"/>
        <v>0.99999999999997791</v>
      </c>
      <c r="V12" s="131" t="s">
        <v>112</v>
      </c>
    </row>
    <row r="13" spans="1:22" ht="15.75" x14ac:dyDescent="0.25">
      <c r="A13" s="142">
        <v>43870</v>
      </c>
      <c r="B13" s="143">
        <f>Sheet9!D23</f>
        <v>0.22569444444442865</v>
      </c>
      <c r="C13" s="143">
        <f>Sheet9!E23</f>
        <v>206.58333333333334</v>
      </c>
      <c r="D13" s="143">
        <f>Sheet9!F23</f>
        <v>206.875</v>
      </c>
      <c r="E13" s="143">
        <f>Sheet9!G23</f>
        <v>0.29166666666665719</v>
      </c>
      <c r="F13" s="143">
        <f>Sheet9!H23</f>
        <v>206.9375</v>
      </c>
      <c r="G13" s="143">
        <f>Sheet9!I23</f>
        <v>207.20833333333334</v>
      </c>
      <c r="H13" s="143">
        <f>Sheet9!J23</f>
        <v>0.27083333333334281</v>
      </c>
      <c r="I13" s="144">
        <f t="shared" si="1"/>
        <v>0.78819444444442865</v>
      </c>
      <c r="J13" s="143">
        <v>0.19444444444444445</v>
      </c>
      <c r="K13" s="143">
        <v>0</v>
      </c>
      <c r="L13" s="143">
        <v>1.7361111111111112E-2</v>
      </c>
      <c r="M13" s="143">
        <v>0</v>
      </c>
      <c r="N13" s="143">
        <v>0</v>
      </c>
      <c r="O13" s="144">
        <f t="shared" si="2"/>
        <v>1.7361111111111112E-2</v>
      </c>
      <c r="P13" s="143">
        <v>0</v>
      </c>
      <c r="Q13" s="143">
        <v>0</v>
      </c>
      <c r="R13" s="143">
        <v>0</v>
      </c>
      <c r="S13" s="143">
        <v>0</v>
      </c>
      <c r="T13" s="144">
        <f t="shared" si="4"/>
        <v>0</v>
      </c>
      <c r="U13" s="147">
        <f t="shared" si="3"/>
        <v>0.99999999999998423</v>
      </c>
      <c r="V13" s="131" t="s">
        <v>112</v>
      </c>
    </row>
    <row r="14" spans="1:22" ht="15.75" x14ac:dyDescent="0.25">
      <c r="A14" s="142">
        <v>43871</v>
      </c>
      <c r="B14" s="143">
        <f>Sheet10!D23</f>
        <v>0.27083333333331439</v>
      </c>
      <c r="C14" s="143">
        <f>Sheet10!E23</f>
        <v>206.59375</v>
      </c>
      <c r="D14" s="143">
        <f>Sheet10!F23</f>
        <v>206.875</v>
      </c>
      <c r="E14" s="143">
        <f>Sheet10!G23</f>
        <v>0.28125</v>
      </c>
      <c r="F14" s="143">
        <f>Sheet10!H23</f>
        <v>206.92013888888889</v>
      </c>
      <c r="G14" s="143">
        <f>Sheet10!I23</f>
        <v>207.20833333333334</v>
      </c>
      <c r="H14" s="143">
        <f>Sheet10!J23</f>
        <v>0.28819444444445708</v>
      </c>
      <c r="I14" s="144">
        <f t="shared" si="1"/>
        <v>0.84027777777777146</v>
      </c>
      <c r="J14" s="143">
        <v>0.15972222222222224</v>
      </c>
      <c r="K14" s="143">
        <v>0</v>
      </c>
      <c r="L14" s="143">
        <v>0</v>
      </c>
      <c r="M14" s="143">
        <v>0</v>
      </c>
      <c r="N14" s="143">
        <v>0</v>
      </c>
      <c r="O14" s="144">
        <f t="shared" si="2"/>
        <v>0</v>
      </c>
      <c r="P14" s="143">
        <v>0</v>
      </c>
      <c r="Q14" s="143">
        <v>0</v>
      </c>
      <c r="R14" s="143">
        <v>0</v>
      </c>
      <c r="S14" s="143">
        <v>0</v>
      </c>
      <c r="T14" s="144">
        <f t="shared" si="4"/>
        <v>0</v>
      </c>
      <c r="U14" s="147">
        <f t="shared" si="3"/>
        <v>0.99999999999999367</v>
      </c>
      <c r="V14" s="131" t="s">
        <v>112</v>
      </c>
    </row>
    <row r="15" spans="1:22" ht="15.75" x14ac:dyDescent="0.25">
      <c r="A15" s="142">
        <v>43872</v>
      </c>
      <c r="B15" s="143">
        <f>Sheet11!D23</f>
        <v>0.25</v>
      </c>
      <c r="C15" s="143">
        <f>Sheet11!E23</f>
        <v>206.59027777777777</v>
      </c>
      <c r="D15" s="143">
        <f>Sheet11!F23</f>
        <v>206.875</v>
      </c>
      <c r="E15" s="143">
        <f>Sheet11!G23</f>
        <v>0.28472222222222854</v>
      </c>
      <c r="F15" s="143">
        <f>Sheet11!H23</f>
        <v>206.91666666666666</v>
      </c>
      <c r="G15" s="143">
        <f>Sheet11!I23</f>
        <v>207.20833333333334</v>
      </c>
      <c r="H15" s="143">
        <f>Sheet11!J23</f>
        <v>0.29166666666668561</v>
      </c>
      <c r="I15" s="144">
        <f t="shared" si="1"/>
        <v>0.82638888888891415</v>
      </c>
      <c r="J15" s="143">
        <v>0.17361111111111113</v>
      </c>
      <c r="K15" s="143">
        <v>0</v>
      </c>
      <c r="L15" s="143">
        <v>0</v>
      </c>
      <c r="M15" s="143">
        <v>0</v>
      </c>
      <c r="N15" s="143">
        <v>0</v>
      </c>
      <c r="O15" s="144">
        <f t="shared" si="2"/>
        <v>0</v>
      </c>
      <c r="P15" s="143">
        <v>0</v>
      </c>
      <c r="Q15" s="143">
        <v>0</v>
      </c>
      <c r="R15" s="143">
        <v>0</v>
      </c>
      <c r="S15" s="143">
        <v>0</v>
      </c>
      <c r="T15" s="144">
        <f t="shared" si="4"/>
        <v>0</v>
      </c>
      <c r="U15" s="147">
        <f t="shared" si="3"/>
        <v>1.0000000000000253</v>
      </c>
      <c r="V15" s="131" t="s">
        <v>112</v>
      </c>
    </row>
    <row r="16" spans="1:22" ht="15.75" x14ac:dyDescent="0.25">
      <c r="A16" s="142">
        <v>43873</v>
      </c>
      <c r="B16" s="143">
        <f>Sheet12!D23</f>
        <v>0.17013888888888573</v>
      </c>
      <c r="C16" s="143">
        <f>Sheet12!E23</f>
        <v>206.59027777777777</v>
      </c>
      <c r="D16" s="143">
        <f>Sheet12!F23</f>
        <v>206.875</v>
      </c>
      <c r="E16" s="143">
        <f>Sheet12!G23</f>
        <v>0.28472222222222854</v>
      </c>
      <c r="F16" s="143">
        <f>Sheet12!H23</f>
        <v>206.91666666666666</v>
      </c>
      <c r="G16" s="143">
        <f>Sheet12!I23</f>
        <v>207.20833333333334</v>
      </c>
      <c r="H16" s="143">
        <f>Sheet12!J23</f>
        <v>0.29166666666668561</v>
      </c>
      <c r="I16" s="144">
        <f t="shared" si="1"/>
        <v>0.74652777777779988</v>
      </c>
      <c r="J16" s="143">
        <v>0.17708333333333334</v>
      </c>
      <c r="K16" s="143">
        <v>0</v>
      </c>
      <c r="L16" s="143">
        <v>0</v>
      </c>
      <c r="M16" s="143">
        <v>7.6388888888888895E-2</v>
      </c>
      <c r="N16" s="143">
        <v>0</v>
      </c>
      <c r="O16" s="144">
        <f t="shared" si="2"/>
        <v>7.6388888888888895E-2</v>
      </c>
      <c r="P16" s="143">
        <v>0</v>
      </c>
      <c r="Q16" s="143">
        <v>0</v>
      </c>
      <c r="R16" s="143">
        <v>0</v>
      </c>
      <c r="S16" s="143">
        <v>0</v>
      </c>
      <c r="T16" s="144">
        <f t="shared" si="4"/>
        <v>0</v>
      </c>
      <c r="U16" s="147">
        <f t="shared" si="3"/>
        <v>1.000000000000022</v>
      </c>
      <c r="V16" s="131" t="s">
        <v>112</v>
      </c>
    </row>
    <row r="17" spans="1:22" ht="15.75" x14ac:dyDescent="0.25">
      <c r="A17" s="142">
        <v>43874</v>
      </c>
      <c r="B17" s="143">
        <f>Sheet13!D23</f>
        <v>0.29166666666665719</v>
      </c>
      <c r="C17" s="143">
        <f>Sheet13!E23</f>
        <v>206.58333333333334</v>
      </c>
      <c r="D17" s="143">
        <f>Sheet13!F23</f>
        <v>206.875</v>
      </c>
      <c r="E17" s="143">
        <f>Sheet13!G23</f>
        <v>0.29166666666665719</v>
      </c>
      <c r="F17" s="143">
        <f>Sheet13!H23</f>
        <v>206.91666666666666</v>
      </c>
      <c r="G17" s="143">
        <f>Sheet13!I23</f>
        <v>207.20833333333334</v>
      </c>
      <c r="H17" s="143">
        <f>Sheet13!J23</f>
        <v>0.29166666666668561</v>
      </c>
      <c r="I17" s="144">
        <f t="shared" si="1"/>
        <v>0.875</v>
      </c>
      <c r="J17" s="143">
        <v>0.125</v>
      </c>
      <c r="K17" s="143">
        <v>0</v>
      </c>
      <c r="L17" s="143">
        <v>0</v>
      </c>
      <c r="M17" s="143">
        <v>0</v>
      </c>
      <c r="N17" s="143">
        <v>0</v>
      </c>
      <c r="O17" s="144">
        <f t="shared" si="2"/>
        <v>0</v>
      </c>
      <c r="P17" s="143">
        <v>0</v>
      </c>
      <c r="Q17" s="143">
        <v>0</v>
      </c>
      <c r="R17" s="143">
        <v>0</v>
      </c>
      <c r="S17" s="143">
        <v>0</v>
      </c>
      <c r="T17" s="144">
        <f t="shared" si="4"/>
        <v>0</v>
      </c>
      <c r="U17" s="147">
        <f t="shared" si="3"/>
        <v>1</v>
      </c>
      <c r="V17" s="131" t="s">
        <v>112</v>
      </c>
    </row>
    <row r="18" spans="1:22" ht="15.75" x14ac:dyDescent="0.25">
      <c r="A18" s="142">
        <v>43875</v>
      </c>
      <c r="B18" s="143">
        <f>Sheet14!D23</f>
        <v>0.20833333333331439</v>
      </c>
      <c r="C18" s="143">
        <f>Sheet14!E23</f>
        <v>206.57986111111111</v>
      </c>
      <c r="D18" s="143">
        <f>Sheet14!F23</f>
        <v>206.875</v>
      </c>
      <c r="E18" s="143">
        <f>Sheet14!G23</f>
        <v>0.29513888888888573</v>
      </c>
      <c r="F18" s="143">
        <f>Sheet14!H23</f>
        <v>206.91666666666666</v>
      </c>
      <c r="G18" s="143">
        <f>Sheet14!I23</f>
        <v>207.20833333333334</v>
      </c>
      <c r="H18" s="143">
        <f>Sheet14!J23</f>
        <v>0.29166666666668561</v>
      </c>
      <c r="I18" s="144">
        <f t="shared" si="1"/>
        <v>0.79513888888888573</v>
      </c>
      <c r="J18" s="143">
        <v>0.20486111111111113</v>
      </c>
      <c r="K18" s="143">
        <v>0</v>
      </c>
      <c r="L18" s="143">
        <v>0</v>
      </c>
      <c r="M18" s="143">
        <v>0</v>
      </c>
      <c r="N18" s="143">
        <v>0</v>
      </c>
      <c r="O18" s="144">
        <f t="shared" si="2"/>
        <v>0</v>
      </c>
      <c r="P18" s="143">
        <v>0</v>
      </c>
      <c r="Q18" s="143">
        <v>0</v>
      </c>
      <c r="R18" s="143">
        <v>0</v>
      </c>
      <c r="S18" s="143">
        <v>0</v>
      </c>
      <c r="T18" s="144">
        <f t="shared" si="4"/>
        <v>0</v>
      </c>
      <c r="U18" s="147">
        <f t="shared" si="3"/>
        <v>0.99999999999999689</v>
      </c>
      <c r="V18" s="131" t="s">
        <v>112</v>
      </c>
    </row>
    <row r="19" spans="1:22" ht="15.75" x14ac:dyDescent="0.25">
      <c r="A19" s="142">
        <v>43876</v>
      </c>
      <c r="B19" s="143">
        <f>Sheet14!D23</f>
        <v>0.20833333333331439</v>
      </c>
      <c r="C19" s="143">
        <f>Sheet14!E23</f>
        <v>206.57986111111111</v>
      </c>
      <c r="D19" s="143">
        <f>Sheet14!F23</f>
        <v>206.875</v>
      </c>
      <c r="E19" s="143">
        <f>Sheet14!G23</f>
        <v>0.29513888888888573</v>
      </c>
      <c r="F19" s="143">
        <f>Sheet14!H23</f>
        <v>206.91666666666666</v>
      </c>
      <c r="G19" s="143">
        <f>Sheet14!I23</f>
        <v>207.20833333333334</v>
      </c>
      <c r="H19" s="143">
        <f>Sheet14!J23</f>
        <v>0.29166666666668561</v>
      </c>
      <c r="I19" s="144">
        <f t="shared" si="1"/>
        <v>0.79513888888888573</v>
      </c>
      <c r="J19" s="143">
        <v>0.20486111111111113</v>
      </c>
      <c r="K19" s="143">
        <v>0</v>
      </c>
      <c r="L19" s="143">
        <v>0</v>
      </c>
      <c r="M19" s="143">
        <v>0</v>
      </c>
      <c r="N19" s="143">
        <v>0</v>
      </c>
      <c r="O19" s="144">
        <f t="shared" si="2"/>
        <v>0</v>
      </c>
      <c r="P19" s="143">
        <v>0</v>
      </c>
      <c r="Q19" s="143">
        <v>0</v>
      </c>
      <c r="R19" s="143">
        <v>0</v>
      </c>
      <c r="S19" s="143">
        <v>0</v>
      </c>
      <c r="T19" s="144">
        <f t="shared" si="4"/>
        <v>0</v>
      </c>
      <c r="U19" s="147">
        <f t="shared" si="3"/>
        <v>0.99999999999999689</v>
      </c>
      <c r="V19" s="131"/>
    </row>
    <row r="20" spans="1:22" ht="15.75" x14ac:dyDescent="0.25">
      <c r="A20" s="142">
        <v>43877</v>
      </c>
      <c r="B20" s="143">
        <f>Sheet16!D23</f>
        <v>0.23611111111111427</v>
      </c>
      <c r="C20" s="143">
        <f>Sheet16!E23</f>
        <v>206.57638888888889</v>
      </c>
      <c r="D20" s="143">
        <f>Sheet16!F23</f>
        <v>206.875</v>
      </c>
      <c r="E20" s="143">
        <f>Sheet16!G23</f>
        <v>0.29861111111111427</v>
      </c>
      <c r="F20" s="143">
        <f>Sheet16!H23</f>
        <v>206.91666666666666</v>
      </c>
      <c r="G20" s="143">
        <f>Sheet16!I23</f>
        <v>207.20833333333334</v>
      </c>
      <c r="H20" s="143">
        <f>Sheet16!J23</f>
        <v>0.29166666666668561</v>
      </c>
      <c r="I20" s="144">
        <f t="shared" si="1"/>
        <v>0.82638888888891415</v>
      </c>
      <c r="J20" s="143">
        <v>0.17361111111111113</v>
      </c>
      <c r="K20" s="143">
        <v>0</v>
      </c>
      <c r="L20" s="143">
        <v>0</v>
      </c>
      <c r="M20" s="143">
        <v>0</v>
      </c>
      <c r="N20" s="143">
        <v>0</v>
      </c>
      <c r="O20" s="144">
        <f t="shared" si="2"/>
        <v>0</v>
      </c>
      <c r="P20" s="143">
        <v>0</v>
      </c>
      <c r="Q20" s="143">
        <v>0</v>
      </c>
      <c r="R20" s="143">
        <v>0</v>
      </c>
      <c r="S20" s="143">
        <v>0</v>
      </c>
      <c r="T20" s="144">
        <f t="shared" si="4"/>
        <v>0</v>
      </c>
      <c r="U20" s="147">
        <f t="shared" si="3"/>
        <v>1.0000000000000253</v>
      </c>
      <c r="V20" s="131"/>
    </row>
    <row r="21" spans="1:22" ht="15.75" x14ac:dyDescent="0.25">
      <c r="A21" s="142">
        <v>43878</v>
      </c>
      <c r="B21" s="143">
        <f>Sheet17!D23</f>
        <v>0.23958333333334281</v>
      </c>
      <c r="C21" s="143">
        <f>Sheet17!E23</f>
        <v>206.61458333333334</v>
      </c>
      <c r="D21" s="143">
        <f>Sheet17!F23</f>
        <v>206.875</v>
      </c>
      <c r="E21" s="143">
        <f>Sheet17!G23</f>
        <v>0.26041666666665719</v>
      </c>
      <c r="F21" s="143">
        <f>Sheet17!H23</f>
        <v>206.91666666666666</v>
      </c>
      <c r="G21" s="143">
        <f>Sheet17!I23</f>
        <v>207.20833333333334</v>
      </c>
      <c r="H21" s="143">
        <f>Sheet17!J23</f>
        <v>0.29166666666668561</v>
      </c>
      <c r="I21" s="144">
        <f t="shared" si="1"/>
        <v>0.79166666666668561</v>
      </c>
      <c r="J21" s="143">
        <v>0.125</v>
      </c>
      <c r="K21" s="143">
        <v>0</v>
      </c>
      <c r="L21" s="143">
        <v>8.3333333333333329E-2</v>
      </c>
      <c r="M21" s="143">
        <v>0</v>
      </c>
      <c r="N21" s="143">
        <v>0</v>
      </c>
      <c r="O21" s="144">
        <f t="shared" si="2"/>
        <v>8.3333333333333329E-2</v>
      </c>
      <c r="P21" s="143">
        <v>0</v>
      </c>
      <c r="Q21" s="143">
        <v>0</v>
      </c>
      <c r="R21" s="143">
        <v>0</v>
      </c>
      <c r="S21" s="143">
        <v>0</v>
      </c>
      <c r="T21" s="144">
        <f t="shared" si="4"/>
        <v>0</v>
      </c>
      <c r="U21" s="147">
        <f t="shared" si="3"/>
        <v>1.0000000000000191</v>
      </c>
      <c r="V21" s="131"/>
    </row>
    <row r="22" spans="1:22" ht="15.75" x14ac:dyDescent="0.25">
      <c r="A22" s="142">
        <v>43879</v>
      </c>
      <c r="B22" s="143">
        <f>Sheet18!D23</f>
        <v>0.21527777777777146</v>
      </c>
      <c r="C22" s="143">
        <f>Sheet18!E23</f>
        <v>206.625</v>
      </c>
      <c r="D22" s="143">
        <f>Sheet18!F23</f>
        <v>206.875</v>
      </c>
      <c r="E22" s="143">
        <f>Sheet18!G23</f>
        <v>0.25</v>
      </c>
      <c r="F22" s="143">
        <f>Sheet18!H23</f>
        <v>206.91666666666666</v>
      </c>
      <c r="G22" s="143">
        <f>Sheet18!I23</f>
        <v>207.20833333333334</v>
      </c>
      <c r="H22" s="143">
        <f>Sheet18!J23</f>
        <v>0.29166666666668561</v>
      </c>
      <c r="I22" s="144">
        <f t="shared" si="1"/>
        <v>0.75694444444445708</v>
      </c>
      <c r="J22" s="143">
        <v>0.19791666666666666</v>
      </c>
      <c r="K22" s="143">
        <v>4.5138888888888888E-2</v>
      </c>
      <c r="L22" s="143">
        <v>0</v>
      </c>
      <c r="M22" s="143">
        <v>0</v>
      </c>
      <c r="N22" s="143">
        <v>0</v>
      </c>
      <c r="O22" s="144">
        <f t="shared" si="2"/>
        <v>4.5138888888888888E-2</v>
      </c>
      <c r="P22" s="143">
        <v>0</v>
      </c>
      <c r="Q22" s="143">
        <v>0</v>
      </c>
      <c r="R22" s="143">
        <v>0</v>
      </c>
      <c r="S22" s="143">
        <v>0</v>
      </c>
      <c r="T22" s="144">
        <f t="shared" si="4"/>
        <v>0</v>
      </c>
      <c r="U22" s="147">
        <f t="shared" si="3"/>
        <v>1.0000000000000127</v>
      </c>
      <c r="V22" s="148"/>
    </row>
    <row r="23" spans="1:22" ht="15.75" x14ac:dyDescent="0.25">
      <c r="A23" s="142">
        <v>43880</v>
      </c>
      <c r="B23" s="143">
        <f>Sheet18!D23</f>
        <v>0.21527777777777146</v>
      </c>
      <c r="C23" s="143">
        <f>Sheet18!E23</f>
        <v>206.625</v>
      </c>
      <c r="D23" s="143">
        <f>Sheet18!F23</f>
        <v>206.875</v>
      </c>
      <c r="E23" s="143">
        <f>Sheet18!G23</f>
        <v>0.25</v>
      </c>
      <c r="F23" s="143">
        <f>Sheet18!H23</f>
        <v>206.91666666666666</v>
      </c>
      <c r="G23" s="143">
        <f>Sheet18!I23</f>
        <v>207.20833333333334</v>
      </c>
      <c r="H23" s="143">
        <f>Sheet18!J23</f>
        <v>0.29166666666668561</v>
      </c>
      <c r="I23" s="144">
        <f t="shared" si="1"/>
        <v>0.75694444444445708</v>
      </c>
      <c r="J23" s="143">
        <v>0.18055555555555555</v>
      </c>
      <c r="K23" s="143">
        <v>0</v>
      </c>
      <c r="L23" s="143">
        <v>6.25E-2</v>
      </c>
      <c r="M23" s="143">
        <v>0</v>
      </c>
      <c r="N23" s="143">
        <v>0</v>
      </c>
      <c r="O23" s="144">
        <f t="shared" si="2"/>
        <v>6.25E-2</v>
      </c>
      <c r="P23" s="143">
        <v>0</v>
      </c>
      <c r="Q23" s="143">
        <v>0</v>
      </c>
      <c r="R23" s="143">
        <v>0</v>
      </c>
      <c r="S23" s="143">
        <v>0</v>
      </c>
      <c r="T23" s="144">
        <f t="shared" si="4"/>
        <v>0</v>
      </c>
      <c r="U23" s="147">
        <f t="shared" si="3"/>
        <v>1.0000000000000127</v>
      </c>
      <c r="V23" s="131"/>
    </row>
    <row r="24" spans="1:22" ht="15.75" customHeight="1" x14ac:dyDescent="0.25">
      <c r="A24" s="142">
        <v>43881</v>
      </c>
      <c r="B24" s="143">
        <f>Sheet20!D23</f>
        <v>0.19444444444442865</v>
      </c>
      <c r="C24" s="143">
        <f>Sheet20!E23</f>
        <v>206.60763888888889</v>
      </c>
      <c r="D24" s="143">
        <f>Sheet20!F23</f>
        <v>206.875</v>
      </c>
      <c r="E24" s="143">
        <f>Sheet20!G23</f>
        <v>0.26736111111111427</v>
      </c>
      <c r="F24" s="143">
        <f>Sheet20!H23</f>
        <v>206.92708333333334</v>
      </c>
      <c r="G24" s="143">
        <f>Sheet20!I23</f>
        <v>207.20833333333334</v>
      </c>
      <c r="H24" s="143">
        <f>Sheet20!J23</f>
        <v>0.28125</v>
      </c>
      <c r="I24" s="144">
        <f t="shared" si="1"/>
        <v>0.74305555555554292</v>
      </c>
      <c r="J24" s="143">
        <v>0.18402777777777779</v>
      </c>
      <c r="K24" s="143">
        <v>0</v>
      </c>
      <c r="L24" s="143">
        <v>7.2916666666666671E-2</v>
      </c>
      <c r="M24" s="143">
        <v>0</v>
      </c>
      <c r="N24" s="143">
        <v>0</v>
      </c>
      <c r="O24" s="144">
        <f t="shared" si="2"/>
        <v>7.2916666666666671E-2</v>
      </c>
      <c r="P24" s="143">
        <v>0</v>
      </c>
      <c r="Q24" s="143">
        <v>0</v>
      </c>
      <c r="R24" s="143">
        <v>0</v>
      </c>
      <c r="S24" s="143">
        <v>0</v>
      </c>
      <c r="T24" s="144">
        <f t="shared" si="4"/>
        <v>0</v>
      </c>
      <c r="U24" s="147">
        <f t="shared" si="3"/>
        <v>0.99999999999998734</v>
      </c>
      <c r="V24" s="131" t="s">
        <v>112</v>
      </c>
    </row>
    <row r="25" spans="1:22" ht="15.75" x14ac:dyDescent="0.25">
      <c r="A25" s="142">
        <v>43882</v>
      </c>
      <c r="B25" s="143">
        <f>Sheet21!D23</f>
        <v>0.25</v>
      </c>
      <c r="C25" s="143">
        <f>Sheet21!E23</f>
        <v>206.61458333333334</v>
      </c>
      <c r="D25" s="143">
        <f>Sheet21!F23</f>
        <v>206.875</v>
      </c>
      <c r="E25" s="143">
        <f>Sheet21!G23</f>
        <v>0.26041666666665719</v>
      </c>
      <c r="F25" s="143">
        <f>Sheet21!H23</f>
        <v>206.91666666666666</v>
      </c>
      <c r="G25" s="143">
        <f>Sheet21!I23</f>
        <v>207.125</v>
      </c>
      <c r="H25" s="143">
        <f>Sheet21!J23</f>
        <v>0.20833333333334281</v>
      </c>
      <c r="I25" s="144">
        <f t="shared" si="1"/>
        <v>0.71875</v>
      </c>
      <c r="J25" s="143">
        <v>0.28125</v>
      </c>
      <c r="K25" s="143">
        <v>0</v>
      </c>
      <c r="L25" s="143">
        <v>0</v>
      </c>
      <c r="M25" s="143">
        <v>0</v>
      </c>
      <c r="N25" s="143">
        <v>0</v>
      </c>
      <c r="O25" s="144">
        <f t="shared" si="2"/>
        <v>0</v>
      </c>
      <c r="P25" s="143">
        <v>0</v>
      </c>
      <c r="Q25" s="143">
        <v>0</v>
      </c>
      <c r="R25" s="143">
        <v>0</v>
      </c>
      <c r="S25" s="143">
        <v>0</v>
      </c>
      <c r="T25" s="144">
        <f t="shared" si="4"/>
        <v>0</v>
      </c>
      <c r="U25" s="147">
        <f t="shared" si="3"/>
        <v>1</v>
      </c>
    </row>
    <row r="26" spans="1:22" ht="15.75" x14ac:dyDescent="0.25">
      <c r="A26" s="142">
        <v>43883</v>
      </c>
      <c r="B26" s="143">
        <f>Sheet22!D23</f>
        <v>0.17361111111111427</v>
      </c>
      <c r="C26" s="143">
        <f>Sheet22!E23</f>
        <v>206.64930555555554</v>
      </c>
      <c r="D26" s="143">
        <f>Sheet22!F23</f>
        <v>206.875</v>
      </c>
      <c r="E26" s="143">
        <f>Sheet22!G23</f>
        <v>0.22569444444445708</v>
      </c>
      <c r="F26" s="143">
        <f>Sheet22!H23</f>
        <v>206.94791666666666</v>
      </c>
      <c r="G26" s="143">
        <f>Sheet22!I23</f>
        <v>207.20833333333334</v>
      </c>
      <c r="H26" s="143">
        <f>Sheet22!J23</f>
        <v>0.26041666666668561</v>
      </c>
      <c r="I26" s="144">
        <f t="shared" si="1"/>
        <v>0.65972222222225696</v>
      </c>
      <c r="J26" s="143">
        <v>0.11805555555555557</v>
      </c>
      <c r="K26" s="143">
        <v>0</v>
      </c>
      <c r="L26" s="143">
        <v>0</v>
      </c>
      <c r="M26" s="143">
        <v>0</v>
      </c>
      <c r="N26" s="143">
        <v>0</v>
      </c>
      <c r="O26" s="144">
        <f t="shared" si="2"/>
        <v>0</v>
      </c>
      <c r="P26" s="143">
        <v>0.22222222222222221</v>
      </c>
      <c r="Q26" s="143">
        <v>0</v>
      </c>
      <c r="R26" s="143">
        <v>0</v>
      </c>
      <c r="S26" s="143">
        <v>0</v>
      </c>
      <c r="T26" s="144">
        <f t="shared" si="4"/>
        <v>0.22222222222222221</v>
      </c>
      <c r="U26" s="147">
        <f t="shared" si="3"/>
        <v>1.0000000000000346</v>
      </c>
      <c r="V26" s="131" t="s">
        <v>313</v>
      </c>
    </row>
    <row r="27" spans="1:22" ht="30" x14ac:dyDescent="0.25">
      <c r="A27" s="142">
        <v>43884</v>
      </c>
      <c r="B27" s="143">
        <f>Sheet23!D23</f>
        <v>0.23263888888888573</v>
      </c>
      <c r="C27" s="143">
        <f>Sheet23!E23</f>
        <v>206.58333333333334</v>
      </c>
      <c r="D27" s="143">
        <f>Sheet23!F23</f>
        <v>206.875</v>
      </c>
      <c r="E27" s="143">
        <f>Sheet23!G23</f>
        <v>0.29166666666665719</v>
      </c>
      <c r="F27" s="143">
        <f>Sheet23!H23</f>
        <v>0</v>
      </c>
      <c r="G27" s="143">
        <f>Sheet23!I23</f>
        <v>0</v>
      </c>
      <c r="H27" s="143">
        <f>Sheet23!J23</f>
        <v>0</v>
      </c>
      <c r="I27" s="144">
        <f t="shared" si="1"/>
        <v>0.52430555555554292</v>
      </c>
      <c r="J27" s="143">
        <v>0.47569444444444442</v>
      </c>
      <c r="K27" s="143">
        <v>0</v>
      </c>
      <c r="L27" s="143">
        <v>0</v>
      </c>
      <c r="M27" s="143">
        <v>0</v>
      </c>
      <c r="N27" s="143">
        <v>0</v>
      </c>
      <c r="O27" s="144">
        <f t="shared" si="2"/>
        <v>0</v>
      </c>
      <c r="P27" s="143">
        <v>0</v>
      </c>
      <c r="Q27" s="143">
        <v>0</v>
      </c>
      <c r="R27" s="143">
        <v>0</v>
      </c>
      <c r="S27" s="143">
        <v>0</v>
      </c>
      <c r="T27" s="144">
        <f t="shared" si="4"/>
        <v>0</v>
      </c>
      <c r="U27" s="147">
        <f t="shared" si="3"/>
        <v>0.99999999999998734</v>
      </c>
      <c r="V27" s="131" t="s">
        <v>314</v>
      </c>
    </row>
    <row r="28" spans="1:22" ht="15.75" x14ac:dyDescent="0.25">
      <c r="A28" s="142">
        <v>43885</v>
      </c>
      <c r="B28" s="143">
        <f>Sheet24!D23</f>
        <v>0.25694444444442865</v>
      </c>
      <c r="C28" s="143">
        <f>Sheet24!E23</f>
        <v>206.59375</v>
      </c>
      <c r="D28" s="143">
        <f>Sheet24!F23</f>
        <v>206.875</v>
      </c>
      <c r="E28" s="143">
        <f>Sheet24!G23</f>
        <v>0.28125</v>
      </c>
      <c r="F28" s="143">
        <f>Sheet24!H23</f>
        <v>206.92708333333334</v>
      </c>
      <c r="G28" s="143">
        <f>Sheet24!I23</f>
        <v>207.20833333333334</v>
      </c>
      <c r="H28" s="143">
        <f>Sheet24!J23</f>
        <v>0.28125</v>
      </c>
      <c r="I28" s="144">
        <f t="shared" si="1"/>
        <v>0.81944444444442865</v>
      </c>
      <c r="J28" s="143">
        <v>0.18055555555555555</v>
      </c>
      <c r="K28" s="143">
        <v>0</v>
      </c>
      <c r="L28" s="143">
        <v>0</v>
      </c>
      <c r="M28" s="143">
        <v>0</v>
      </c>
      <c r="N28" s="143">
        <v>0</v>
      </c>
      <c r="O28" s="144">
        <f t="shared" si="2"/>
        <v>0</v>
      </c>
      <c r="P28" s="143">
        <v>0</v>
      </c>
      <c r="Q28" s="143">
        <v>0</v>
      </c>
      <c r="R28" s="143">
        <v>0</v>
      </c>
      <c r="S28" s="143">
        <v>0</v>
      </c>
      <c r="T28" s="144">
        <f t="shared" si="4"/>
        <v>0</v>
      </c>
      <c r="U28" s="147">
        <f t="shared" si="3"/>
        <v>0.99999999999998423</v>
      </c>
      <c r="V28" s="131" t="s">
        <v>112</v>
      </c>
    </row>
    <row r="29" spans="1:22" ht="31.5" x14ac:dyDescent="0.25">
      <c r="A29" s="142">
        <v>43886</v>
      </c>
      <c r="B29" s="143">
        <f>Sheet25!D23</f>
        <v>0.17708333333331439</v>
      </c>
      <c r="C29" s="143">
        <f>Sheet25!E23</f>
        <v>206.72222222222223</v>
      </c>
      <c r="D29" s="143">
        <f>Sheet25!F23</f>
        <v>206.875</v>
      </c>
      <c r="E29" s="143">
        <f>Sheet25!G23</f>
        <v>0.15277777777777146</v>
      </c>
      <c r="F29" s="143">
        <f>Sheet25!H23</f>
        <v>206.91666666666666</v>
      </c>
      <c r="G29" s="143">
        <f>Sheet25!I23</f>
        <v>207.20833333333334</v>
      </c>
      <c r="H29" s="143">
        <f>Sheet25!J23</f>
        <v>0.29166666666668561</v>
      </c>
      <c r="I29" s="144">
        <f t="shared" si="1"/>
        <v>0.62152777777777146</v>
      </c>
      <c r="J29" s="143">
        <v>8.3333333333333329E-2</v>
      </c>
      <c r="K29" s="143">
        <v>8.3333333333333329E-2</v>
      </c>
      <c r="L29" s="143">
        <v>0</v>
      </c>
      <c r="M29" s="143">
        <v>0</v>
      </c>
      <c r="N29" s="143">
        <v>0</v>
      </c>
      <c r="O29" s="144">
        <f t="shared" si="2"/>
        <v>8.3333333333333329E-2</v>
      </c>
      <c r="P29" s="143">
        <v>0</v>
      </c>
      <c r="Q29" s="143">
        <v>0</v>
      </c>
      <c r="R29" s="143">
        <v>0.21180555555555555</v>
      </c>
      <c r="S29" s="143">
        <v>0</v>
      </c>
      <c r="T29" s="144">
        <f t="shared" si="4"/>
        <v>0.21180555555555555</v>
      </c>
      <c r="U29" s="147">
        <f t="shared" si="3"/>
        <v>0.99999999999999378</v>
      </c>
      <c r="V29" s="150" t="s">
        <v>315</v>
      </c>
    </row>
    <row r="30" spans="1:22" ht="15.75" x14ac:dyDescent="0.25">
      <c r="A30" s="142">
        <v>43887</v>
      </c>
      <c r="B30" s="143">
        <f>Sheet26!D23</f>
        <v>0.29166666666665719</v>
      </c>
      <c r="C30" s="143">
        <f>Sheet26!E23</f>
        <v>206.58333333333334</v>
      </c>
      <c r="D30" s="143">
        <f>Sheet26!F23</f>
        <v>206.875</v>
      </c>
      <c r="E30" s="143">
        <f>Sheet26!G23</f>
        <v>0.29166666666665719</v>
      </c>
      <c r="F30" s="143">
        <f>Sheet26!H23</f>
        <v>206.91319444444446</v>
      </c>
      <c r="G30" s="143">
        <f>Sheet26!I23</f>
        <v>207.20833333333334</v>
      </c>
      <c r="H30" s="143">
        <f>Sheet26!J23</f>
        <v>0.29513888888888573</v>
      </c>
      <c r="I30" s="144">
        <f t="shared" si="1"/>
        <v>0.87847222222220012</v>
      </c>
      <c r="J30" s="143">
        <v>0.12152777777777778</v>
      </c>
      <c r="K30" s="143">
        <v>0</v>
      </c>
      <c r="L30" s="143">
        <v>0</v>
      </c>
      <c r="M30" s="143">
        <v>0</v>
      </c>
      <c r="N30" s="143">
        <v>0</v>
      </c>
      <c r="O30" s="144">
        <f t="shared" si="2"/>
        <v>0</v>
      </c>
      <c r="P30" s="143">
        <v>0</v>
      </c>
      <c r="Q30" s="143">
        <v>0</v>
      </c>
      <c r="R30" s="143">
        <v>0</v>
      </c>
      <c r="S30" s="143">
        <v>0</v>
      </c>
      <c r="T30" s="144">
        <f t="shared" si="4"/>
        <v>0</v>
      </c>
      <c r="U30" s="147">
        <f t="shared" si="3"/>
        <v>0.99999999999997791</v>
      </c>
      <c r="V30" s="131" t="s">
        <v>112</v>
      </c>
    </row>
    <row r="31" spans="1:22" ht="15.75" x14ac:dyDescent="0.25">
      <c r="A31" s="142">
        <v>43888</v>
      </c>
      <c r="B31" s="143">
        <f>Sheet27!D23</f>
        <v>0.29166666666665719</v>
      </c>
      <c r="C31" s="143">
        <f>Sheet27!E23</f>
        <v>206.58680555555554</v>
      </c>
      <c r="D31" s="143">
        <f>Sheet27!F23</f>
        <v>206.875</v>
      </c>
      <c r="E31" s="143">
        <f>Sheet27!G23</f>
        <v>0.28819444444445708</v>
      </c>
      <c r="F31" s="143">
        <f>Sheet27!H23</f>
        <v>206.91666666666666</v>
      </c>
      <c r="G31" s="143">
        <f>Sheet27!I23</f>
        <v>207.20833333333334</v>
      </c>
      <c r="H31" s="143">
        <f>Sheet27!J23</f>
        <v>0.29166666666668561</v>
      </c>
      <c r="I31" s="144">
        <f t="shared" si="1"/>
        <v>0.87152777777779988</v>
      </c>
      <c r="J31" s="143">
        <v>0.12847222222222224</v>
      </c>
      <c r="K31" s="143">
        <v>0</v>
      </c>
      <c r="L31" s="143">
        <v>0</v>
      </c>
      <c r="M31" s="143">
        <v>0</v>
      </c>
      <c r="N31" s="143">
        <v>0</v>
      </c>
      <c r="O31" s="144">
        <f t="shared" si="2"/>
        <v>0</v>
      </c>
      <c r="P31" s="143">
        <v>0</v>
      </c>
      <c r="Q31" s="143">
        <v>0</v>
      </c>
      <c r="R31" s="143">
        <v>0</v>
      </c>
      <c r="S31" s="143">
        <v>0</v>
      </c>
      <c r="T31" s="144">
        <f t="shared" si="4"/>
        <v>0</v>
      </c>
      <c r="U31" s="147">
        <f t="shared" si="3"/>
        <v>1.0000000000000222</v>
      </c>
      <c r="V31" s="131" t="s">
        <v>112</v>
      </c>
    </row>
    <row r="32" spans="1:22" ht="15.75" x14ac:dyDescent="0.25">
      <c r="A32" s="142">
        <v>43889</v>
      </c>
      <c r="B32" s="143">
        <f>Sheet28!D23</f>
        <v>0.26736111111111427</v>
      </c>
      <c r="C32" s="143">
        <f>Sheet28!E23</f>
        <v>206.625</v>
      </c>
      <c r="D32" s="143">
        <f>Sheet28!F23</f>
        <v>206.875</v>
      </c>
      <c r="E32" s="143">
        <f>Sheet28!G23</f>
        <v>0.25</v>
      </c>
      <c r="F32" s="143">
        <f>Sheet28!H23</f>
        <v>206.91666666666666</v>
      </c>
      <c r="G32" s="143">
        <f>Sheet28!I23</f>
        <v>207.20833333333334</v>
      </c>
      <c r="H32" s="143">
        <f>Sheet28!J23</f>
        <v>0.29166666666668561</v>
      </c>
      <c r="I32" s="144">
        <f t="shared" si="1"/>
        <v>0.80902777777779988</v>
      </c>
      <c r="J32" s="143">
        <v>0.19097222222222221</v>
      </c>
      <c r="K32" s="143">
        <v>0</v>
      </c>
      <c r="L32" s="143">
        <v>0</v>
      </c>
      <c r="M32" s="143">
        <v>0</v>
      </c>
      <c r="N32" s="143">
        <v>0</v>
      </c>
      <c r="O32" s="144">
        <f t="shared" si="2"/>
        <v>0</v>
      </c>
      <c r="P32" s="143">
        <v>0</v>
      </c>
      <c r="Q32" s="143">
        <v>0</v>
      </c>
      <c r="R32" s="143">
        <v>0</v>
      </c>
      <c r="S32" s="143">
        <v>0</v>
      </c>
      <c r="T32" s="144">
        <f t="shared" si="4"/>
        <v>0</v>
      </c>
      <c r="U32" s="147">
        <f t="shared" si="3"/>
        <v>1.0000000000000222</v>
      </c>
      <c r="V32" s="131" t="s">
        <v>112</v>
      </c>
    </row>
    <row r="33" spans="1:22" ht="15.75" x14ac:dyDescent="0.25">
      <c r="A33" s="142">
        <v>43890</v>
      </c>
      <c r="B33" s="143">
        <f>Sheet29!D23</f>
        <v>0.16666666666665719</v>
      </c>
      <c r="C33" s="143">
        <f>Sheet29!E23</f>
        <v>206.61458333333334</v>
      </c>
      <c r="D33" s="143">
        <f>Sheet29!F23</f>
        <v>206.875</v>
      </c>
      <c r="E33" s="143">
        <f>Sheet29!G23</f>
        <v>0.26041666666665719</v>
      </c>
      <c r="F33" s="143">
        <f>Sheet29!H23</f>
        <v>206.91666666666666</v>
      </c>
      <c r="G33" s="143">
        <f>Sheet29!I23</f>
        <v>207.20833333333334</v>
      </c>
      <c r="H33" s="143">
        <f>Sheet29!J23</f>
        <v>0.29166666666668561</v>
      </c>
      <c r="I33" s="144">
        <f t="shared" si="1"/>
        <v>0.71875</v>
      </c>
      <c r="J33" s="143">
        <v>0.28125</v>
      </c>
      <c r="K33" s="143">
        <v>0</v>
      </c>
      <c r="L33" s="143">
        <v>0</v>
      </c>
      <c r="M33" s="143">
        <v>0</v>
      </c>
      <c r="N33" s="143">
        <v>0</v>
      </c>
      <c r="O33" s="144">
        <f t="shared" si="2"/>
        <v>0</v>
      </c>
      <c r="P33" s="143">
        <v>0</v>
      </c>
      <c r="Q33" s="143">
        <v>0</v>
      </c>
      <c r="R33" s="143">
        <v>0</v>
      </c>
      <c r="S33" s="143">
        <v>0</v>
      </c>
      <c r="T33" s="144">
        <f t="shared" si="4"/>
        <v>0</v>
      </c>
      <c r="U33" s="147">
        <f t="shared" si="3"/>
        <v>1</v>
      </c>
      <c r="V33" s="131"/>
    </row>
    <row r="34" spans="1:22" ht="15.75" x14ac:dyDescent="0.25">
      <c r="A34" s="132" t="s">
        <v>113</v>
      </c>
      <c r="B34" s="130" t="s">
        <v>13</v>
      </c>
      <c r="C34" s="130"/>
      <c r="D34" s="130"/>
      <c r="E34" s="130"/>
      <c r="F34" s="130"/>
      <c r="G34" s="130"/>
      <c r="H34" s="130" t="s">
        <v>13</v>
      </c>
      <c r="I34" s="152">
        <f t="shared" ref="I34:S34" si="5">SUM(I5:I33)</f>
        <v>22.423611111111228</v>
      </c>
      <c r="J34" s="152">
        <f t="shared" si="5"/>
        <v>5.4618055555555545</v>
      </c>
      <c r="K34" s="152">
        <f t="shared" si="5"/>
        <v>0.1701388888888889</v>
      </c>
      <c r="L34" s="152">
        <f t="shared" si="5"/>
        <v>0.30208333333333337</v>
      </c>
      <c r="M34" s="152">
        <f t="shared" si="5"/>
        <v>7.6388888888888895E-2</v>
      </c>
      <c r="N34" s="152">
        <f t="shared" si="5"/>
        <v>0</v>
      </c>
      <c r="O34" s="152">
        <f t="shared" si="5"/>
        <v>0.54861111111111116</v>
      </c>
      <c r="P34" s="152">
        <f t="shared" si="5"/>
        <v>0.35416666666666663</v>
      </c>
      <c r="Q34" s="152">
        <f t="shared" si="5"/>
        <v>0</v>
      </c>
      <c r="R34" s="152">
        <f t="shared" si="5"/>
        <v>0.21180555555555555</v>
      </c>
      <c r="S34" s="152">
        <f t="shared" si="5"/>
        <v>0</v>
      </c>
      <c r="T34" s="152">
        <f>SUM(T5:T33)</f>
        <v>0.56597222222222221</v>
      </c>
      <c r="U34" s="153">
        <f>I34+O34+T34+J34</f>
        <v>29.000000000000114</v>
      </c>
      <c r="V34" s="89"/>
    </row>
    <row r="35" spans="1:22" ht="15.75" x14ac:dyDescent="0.25">
      <c r="B35" s="133"/>
      <c r="C35" s="133"/>
      <c r="D35" s="133"/>
      <c r="E35" s="133"/>
      <c r="F35" s="133"/>
      <c r="G35" s="133"/>
      <c r="H35" s="133"/>
      <c r="I35" s="134"/>
      <c r="J35" s="135"/>
      <c r="K35" s="133"/>
      <c r="L35" s="133"/>
      <c r="M35" s="133"/>
      <c r="N35" s="133"/>
      <c r="O35" s="133"/>
      <c r="P35" s="133"/>
      <c r="Q35" s="133"/>
      <c r="R35" s="133"/>
      <c r="S35" s="133"/>
      <c r="T35" s="136"/>
      <c r="U35" s="136"/>
    </row>
    <row r="36" spans="1:22" x14ac:dyDescent="0.25">
      <c r="B36" s="133"/>
      <c r="C36" s="133"/>
      <c r="D36" s="133"/>
      <c r="E36" s="133"/>
      <c r="F36" s="133"/>
      <c r="G36" s="133"/>
      <c r="H36" s="133"/>
      <c r="I36" s="134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</row>
    <row r="37" spans="1:22" x14ac:dyDescent="0.25"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7"/>
      <c r="N37" s="133"/>
      <c r="O37" s="133"/>
      <c r="P37" s="133"/>
      <c r="Q37" s="133"/>
      <c r="R37" s="133" t="s">
        <v>115</v>
      </c>
      <c r="S37" s="133"/>
      <c r="T37" s="133"/>
      <c r="U37" s="133"/>
    </row>
    <row r="38" spans="1:22" x14ac:dyDescent="0.25">
      <c r="B38" s="133"/>
      <c r="C38" s="133"/>
      <c r="D38" s="133"/>
      <c r="E38" s="133"/>
      <c r="F38" s="133"/>
      <c r="G38" s="133"/>
      <c r="H38" s="133"/>
      <c r="I38" s="138"/>
      <c r="J38" s="138"/>
      <c r="K38" s="138"/>
      <c r="L38" s="138"/>
      <c r="M38" s="138"/>
      <c r="N38" s="138"/>
      <c r="O38" s="139"/>
      <c r="P38" s="138"/>
      <c r="Q38" s="138"/>
      <c r="R38" s="138" t="s">
        <v>116</v>
      </c>
      <c r="S38" s="138"/>
      <c r="T38" s="133"/>
      <c r="U38" s="133"/>
    </row>
    <row r="39" spans="1:22" ht="15.75" x14ac:dyDescent="0.25">
      <c r="A39" s="140" t="s">
        <v>117</v>
      </c>
      <c r="B39" s="133"/>
      <c r="C39" s="133"/>
      <c r="D39" s="133"/>
      <c r="E39" s="133"/>
      <c r="F39" s="133"/>
      <c r="G39" s="133"/>
      <c r="H39" s="133"/>
      <c r="I39" s="134"/>
      <c r="J39" s="133"/>
      <c r="K39" s="133"/>
      <c r="L39" s="133"/>
      <c r="M39" s="137"/>
      <c r="N39" s="133"/>
      <c r="O39" s="139"/>
      <c r="P39" s="133"/>
      <c r="Q39" s="133"/>
      <c r="R39" s="133"/>
      <c r="S39" s="133"/>
      <c r="T39" s="133"/>
      <c r="U39" s="133"/>
    </row>
    <row r="40" spans="1:22" ht="15.75" x14ac:dyDescent="0.25">
      <c r="A40" s="140" t="s">
        <v>118</v>
      </c>
      <c r="B40" s="133"/>
      <c r="C40" s="133"/>
      <c r="D40" s="133"/>
      <c r="E40" s="133"/>
      <c r="F40" s="133"/>
      <c r="G40" s="133"/>
      <c r="H40" s="133"/>
      <c r="I40" s="134"/>
      <c r="J40" s="133"/>
      <c r="K40" s="133"/>
      <c r="L40" s="133"/>
      <c r="M40" s="133"/>
      <c r="N40" s="133"/>
      <c r="O40" s="139"/>
      <c r="P40" s="133"/>
      <c r="Q40" s="133"/>
      <c r="R40" s="133"/>
      <c r="S40" s="133"/>
      <c r="T40" s="133"/>
      <c r="U40" s="133"/>
    </row>
    <row r="41" spans="1:22" ht="15.75" x14ac:dyDescent="0.25">
      <c r="A41" s="140">
        <v>2</v>
      </c>
      <c r="B41" s="133" t="s">
        <v>119</v>
      </c>
      <c r="C41" s="133"/>
      <c r="D41" s="133"/>
      <c r="E41" s="133"/>
      <c r="F41" s="133"/>
      <c r="G41" s="133"/>
      <c r="H41" s="133"/>
      <c r="I41" s="134"/>
      <c r="J41" s="133"/>
      <c r="K41" s="133"/>
      <c r="L41" s="133"/>
      <c r="M41" s="133"/>
      <c r="N41" s="133"/>
      <c r="O41" s="139"/>
      <c r="P41" s="133"/>
      <c r="Q41" s="133"/>
      <c r="R41" s="133"/>
      <c r="S41" s="133"/>
      <c r="T41" s="133"/>
      <c r="U41" s="133"/>
    </row>
    <row r="42" spans="1:22" ht="15.75" x14ac:dyDescent="0.25">
      <c r="A42" s="140">
        <v>3</v>
      </c>
      <c r="B42" s="133" t="s">
        <v>120</v>
      </c>
      <c r="C42" s="133"/>
      <c r="D42" s="133"/>
      <c r="E42" s="133"/>
      <c r="F42" s="133"/>
      <c r="G42" s="133"/>
      <c r="H42" s="133"/>
      <c r="I42" s="134"/>
      <c r="J42" s="133"/>
      <c r="K42" s="133"/>
      <c r="L42" s="133"/>
      <c r="M42" s="133"/>
      <c r="N42" s="133"/>
      <c r="O42" s="139"/>
      <c r="P42" s="133"/>
      <c r="Q42" s="133"/>
      <c r="R42" s="133"/>
      <c r="S42" s="133"/>
      <c r="T42" s="133"/>
      <c r="U42" s="133"/>
    </row>
    <row r="43" spans="1:22" x14ac:dyDescent="0.25">
      <c r="A43" s="141" t="s">
        <v>121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7"/>
      <c r="P43" s="133"/>
      <c r="Q43" s="133"/>
      <c r="R43" s="133"/>
      <c r="S43" s="133"/>
      <c r="T43" s="133"/>
      <c r="U43" s="133"/>
    </row>
    <row r="44" spans="1:22" ht="15.75" x14ac:dyDescent="0.25">
      <c r="A44" s="140"/>
      <c r="B44" s="133"/>
      <c r="C44" s="133"/>
      <c r="D44" s="133"/>
      <c r="E44" s="134"/>
      <c r="F44" s="133"/>
      <c r="G44" s="133"/>
      <c r="H44" s="133"/>
      <c r="I44" s="133"/>
      <c r="J44" s="133"/>
      <c r="K44" s="139"/>
      <c r="L44" s="133"/>
      <c r="M44" s="133"/>
      <c r="N44" s="133"/>
      <c r="O44" s="133"/>
      <c r="P44" s="133"/>
      <c r="Q44" s="133"/>
    </row>
    <row r="45" spans="1:22" ht="15.75" x14ac:dyDescent="0.25">
      <c r="A45" s="140"/>
      <c r="B45" s="133"/>
      <c r="C45" s="133"/>
      <c r="D45" s="133"/>
      <c r="E45" s="134"/>
      <c r="F45" s="133"/>
      <c r="G45" s="133"/>
      <c r="H45" s="133"/>
      <c r="I45" s="133"/>
      <c r="J45" s="133"/>
      <c r="K45" s="139"/>
      <c r="L45" s="133"/>
      <c r="M45" s="133"/>
      <c r="N45" s="133"/>
      <c r="O45" s="133"/>
      <c r="P45" s="133"/>
      <c r="Q45" s="133"/>
    </row>
    <row r="46" spans="1:22" ht="15.75" x14ac:dyDescent="0.25">
      <c r="A46" s="140"/>
      <c r="B46" s="133"/>
      <c r="C46" s="133"/>
      <c r="D46" s="133"/>
      <c r="E46" s="134"/>
      <c r="F46" s="133"/>
      <c r="G46" s="133"/>
      <c r="H46" s="133"/>
      <c r="I46" s="133"/>
      <c r="J46" s="133"/>
      <c r="K46" s="139"/>
      <c r="L46" s="133"/>
      <c r="M46" s="133"/>
      <c r="N46" s="133"/>
      <c r="O46" s="133"/>
      <c r="P46" s="133"/>
      <c r="Q46" s="133"/>
    </row>
    <row r="47" spans="1:22" x14ac:dyDescent="0.25">
      <c r="A47" s="141"/>
      <c r="B47" s="133"/>
      <c r="C47" s="133"/>
      <c r="D47" s="133"/>
      <c r="E47" s="133"/>
      <c r="F47" s="133"/>
      <c r="G47" s="133"/>
      <c r="H47" s="133"/>
      <c r="I47" s="133"/>
      <c r="J47" s="133"/>
      <c r="K47" s="137"/>
      <c r="L47" s="133"/>
      <c r="M47" s="133"/>
      <c r="N47" s="133"/>
      <c r="O47" s="133"/>
      <c r="P47" s="133"/>
      <c r="Q47" s="133"/>
    </row>
  </sheetData>
  <pageMargins left="0.31496062992125984" right="0.19685039370078741" top="0.23622047244094491" bottom="0.23622047244094491" header="0.31496062992125984" footer="0.31496062992125984"/>
  <pageSetup scale="74" orientation="landscape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O31"/>
  <sheetViews>
    <sheetView topLeftCell="A6" workbookViewId="0">
      <selection activeCell="G12" sqref="G12"/>
    </sheetView>
  </sheetViews>
  <sheetFormatPr defaultRowHeight="15" x14ac:dyDescent="0.25"/>
  <cols>
    <col min="4" max="4" width="11.42578125" bestFit="1" customWidth="1"/>
    <col min="7" max="7" width="15.140625" customWidth="1"/>
    <col min="8" max="8" width="11.5703125" customWidth="1"/>
    <col min="9" max="9" width="11.7109375" customWidth="1"/>
    <col min="10" max="10" width="12.140625" customWidth="1"/>
    <col min="11" max="11" width="17.28515625" customWidth="1"/>
    <col min="13" max="13" width="36.140625" customWidth="1"/>
  </cols>
  <sheetData>
    <row r="5" spans="3:15" ht="15.75" x14ac:dyDescent="0.25">
      <c r="F5" s="159" t="s">
        <v>133</v>
      </c>
    </row>
    <row r="6" spans="3:15" ht="15.75" x14ac:dyDescent="0.25">
      <c r="F6" s="159" t="s">
        <v>134</v>
      </c>
    </row>
    <row r="7" spans="3:15" ht="15.75" x14ac:dyDescent="0.25">
      <c r="F7" s="160" t="s">
        <v>291</v>
      </c>
    </row>
    <row r="9" spans="3:15" ht="42.75" x14ac:dyDescent="0.25">
      <c r="C9" s="161" t="s">
        <v>135</v>
      </c>
      <c r="D9" s="272" t="s">
        <v>136</v>
      </c>
      <c r="E9" s="272"/>
      <c r="F9" s="161" t="s">
        <v>137</v>
      </c>
      <c r="G9" s="161" t="s">
        <v>138</v>
      </c>
      <c r="H9" s="161" t="s">
        <v>139</v>
      </c>
      <c r="I9" s="161" t="s">
        <v>318</v>
      </c>
      <c r="J9" s="161" t="s">
        <v>140</v>
      </c>
      <c r="K9" s="161" t="s">
        <v>316</v>
      </c>
      <c r="L9" s="161" t="s">
        <v>142</v>
      </c>
      <c r="M9" s="162" t="s">
        <v>143</v>
      </c>
    </row>
    <row r="10" spans="3:15" ht="79.5" customHeight="1" x14ac:dyDescent="0.25">
      <c r="C10" s="163" t="s">
        <v>144</v>
      </c>
      <c r="D10" s="273" t="s">
        <v>317</v>
      </c>
      <c r="E10" s="273"/>
      <c r="F10" s="164">
        <f>'Feb stream I '!O34</f>
        <v>1.875</v>
      </c>
      <c r="G10" s="165">
        <f>'Feb stream I '!T34</f>
        <v>1.375</v>
      </c>
      <c r="H10" s="166">
        <f>'Feb stream I '!J34</f>
        <v>4.979166666666667</v>
      </c>
      <c r="I10" s="166">
        <f>'Feb stream I '!I34</f>
        <v>21.7708333333334</v>
      </c>
      <c r="J10" s="166">
        <f>I10+H10</f>
        <v>26.750000000000068</v>
      </c>
      <c r="K10" s="167">
        <f>642/435</f>
        <v>1.4758620689655173</v>
      </c>
      <c r="L10" s="167">
        <f>522.3/642</f>
        <v>0.81355140186915875</v>
      </c>
      <c r="M10" s="168" t="s">
        <v>323</v>
      </c>
      <c r="O10" s="169"/>
    </row>
    <row r="11" spans="3:15" ht="45" customHeight="1" x14ac:dyDescent="0.25">
      <c r="C11" s="163" t="s">
        <v>146</v>
      </c>
      <c r="D11" s="273" t="s">
        <v>317</v>
      </c>
      <c r="E11" s="273"/>
      <c r="F11" s="170">
        <f>'Feb stream II  '!O34</f>
        <v>1.3680555555555554</v>
      </c>
      <c r="G11" s="170">
        <f>'Feb stream II  '!T34</f>
        <v>1.1701388888888888</v>
      </c>
      <c r="H11" s="166">
        <f>'Feb stream II  '!J34</f>
        <v>4.6076388888888884</v>
      </c>
      <c r="I11" s="166">
        <f>'Feb stream II  '!I34</f>
        <v>21.854166666666572</v>
      </c>
      <c r="J11" s="166">
        <f>I11+H11</f>
        <v>26.461805555555461</v>
      </c>
      <c r="K11" s="167">
        <f>635/435</f>
        <v>1.4597701149425288</v>
      </c>
      <c r="L11" s="167">
        <f>524.3/635</f>
        <v>0.82566929133858258</v>
      </c>
      <c r="M11" s="168" t="s">
        <v>324</v>
      </c>
    </row>
    <row r="12" spans="3:15" ht="51.75" customHeight="1" x14ac:dyDescent="0.25">
      <c r="C12" s="163" t="s">
        <v>147</v>
      </c>
      <c r="D12" s="273" t="s">
        <v>317</v>
      </c>
      <c r="E12" s="273"/>
      <c r="F12" s="166">
        <f>'Feb stream III '!O34</f>
        <v>0.54861111111111116</v>
      </c>
      <c r="G12" s="170">
        <f>'Feb stream III '!T34</f>
        <v>0.56597222222222221</v>
      </c>
      <c r="H12" s="166">
        <f>'Feb stream III '!J34</f>
        <v>5.4618055555555545</v>
      </c>
      <c r="I12" s="166">
        <f>'Feb stream III '!I34</f>
        <v>22.423611111111228</v>
      </c>
      <c r="J12" s="166">
        <f>I12+H12</f>
        <v>27.885416666666782</v>
      </c>
      <c r="K12" s="167">
        <f>669.15/435</f>
        <v>1.5382758620689654</v>
      </c>
      <c r="L12" s="167">
        <f>538/669.15</f>
        <v>0.80400508107300306</v>
      </c>
      <c r="M12" s="168" t="s">
        <v>325</v>
      </c>
    </row>
    <row r="13" spans="3:15" ht="57" x14ac:dyDescent="0.25">
      <c r="C13" s="161" t="s">
        <v>148</v>
      </c>
      <c r="D13" s="161" t="s">
        <v>149</v>
      </c>
      <c r="E13" s="89"/>
      <c r="F13" s="162" t="s">
        <v>150</v>
      </c>
      <c r="G13" s="161" t="s">
        <v>151</v>
      </c>
      <c r="H13" s="162">
        <v>772986.59</v>
      </c>
      <c r="I13" s="162"/>
      <c r="J13" s="161" t="s">
        <v>152</v>
      </c>
      <c r="K13" s="274" t="s">
        <v>153</v>
      </c>
      <c r="L13" s="275"/>
      <c r="M13" s="171" t="s">
        <v>154</v>
      </c>
    </row>
    <row r="14" spans="3:15" ht="45" x14ac:dyDescent="0.25">
      <c r="C14" s="172">
        <f>I10+I11+I12</f>
        <v>66.0486111111112</v>
      </c>
      <c r="D14" s="173">
        <f>'Feb 2019'!N37</f>
        <v>796019.28000000014</v>
      </c>
      <c r="E14" s="174"/>
      <c r="F14" s="175">
        <f>D14/1585</f>
        <v>502.22036593059948</v>
      </c>
      <c r="G14" s="163" t="s">
        <v>319</v>
      </c>
      <c r="H14" s="89"/>
      <c r="I14" s="176"/>
      <c r="J14" s="177" t="s">
        <v>320</v>
      </c>
      <c r="K14" s="270"/>
      <c r="L14" s="271"/>
      <c r="M14" s="162"/>
    </row>
    <row r="17" spans="3:11" x14ac:dyDescent="0.25">
      <c r="C17" s="178" t="s">
        <v>155</v>
      </c>
    </row>
    <row r="18" spans="3:11" x14ac:dyDescent="0.25">
      <c r="C18" s="141"/>
    </row>
    <row r="19" spans="3:11" x14ac:dyDescent="0.25">
      <c r="C19" s="141" t="s">
        <v>156</v>
      </c>
    </row>
    <row r="20" spans="3:11" x14ac:dyDescent="0.25">
      <c r="C20" s="141" t="s">
        <v>157</v>
      </c>
    </row>
    <row r="21" spans="3:11" x14ac:dyDescent="0.25">
      <c r="C21" s="141" t="s">
        <v>158</v>
      </c>
    </row>
    <row r="22" spans="3:11" x14ac:dyDescent="0.25">
      <c r="C22" s="141" t="s">
        <v>13</v>
      </c>
      <c r="E22" s="141" t="s">
        <v>159</v>
      </c>
    </row>
    <row r="23" spans="3:11" x14ac:dyDescent="0.25">
      <c r="C23" s="141" t="s">
        <v>160</v>
      </c>
    </row>
    <row r="24" spans="3:11" ht="15.75" x14ac:dyDescent="0.25">
      <c r="K24" s="140" t="s">
        <v>161</v>
      </c>
    </row>
    <row r="25" spans="3:11" ht="15.75" x14ac:dyDescent="0.25">
      <c r="C25" s="140" t="s">
        <v>162</v>
      </c>
    </row>
    <row r="26" spans="3:11" ht="15.75" x14ac:dyDescent="0.25">
      <c r="C26" s="140" t="s">
        <v>163</v>
      </c>
    </row>
    <row r="27" spans="3:11" ht="15.75" x14ac:dyDescent="0.25">
      <c r="C27" s="140" t="s">
        <v>164</v>
      </c>
    </row>
    <row r="28" spans="3:11" ht="15.75" x14ac:dyDescent="0.25">
      <c r="C28" s="140" t="s">
        <v>165</v>
      </c>
    </row>
    <row r="29" spans="3:11" x14ac:dyDescent="0.25">
      <c r="C29" s="141" t="s">
        <v>166</v>
      </c>
    </row>
    <row r="30" spans="3:11" x14ac:dyDescent="0.25">
      <c r="C30" s="141" t="s">
        <v>167</v>
      </c>
    </row>
    <row r="31" spans="3:11" x14ac:dyDescent="0.25">
      <c r="C31" s="141"/>
    </row>
  </sheetData>
  <mergeCells count="6">
    <mergeCell ref="K14:L14"/>
    <mergeCell ref="D9:E9"/>
    <mergeCell ref="D10:E10"/>
    <mergeCell ref="D11:E11"/>
    <mergeCell ref="D12:E12"/>
    <mergeCell ref="K13:L13"/>
  </mergeCells>
  <pageMargins left="0.70866141732283472" right="0.70866141732283472" top="0.74803149606299213" bottom="0.74803149606299213" header="0.31496062992125984" footer="0.31496062992125984"/>
  <pageSetup paperSize="9" scale="72" orientation="landscape" horizontalDpi="180" verticalDpi="18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9"/>
  <sheetViews>
    <sheetView topLeftCell="A2" workbookViewId="0">
      <selection activeCell="G2" sqref="G2"/>
    </sheetView>
  </sheetViews>
  <sheetFormatPr defaultRowHeight="15" x14ac:dyDescent="0.25"/>
  <cols>
    <col min="3" max="3" width="11.7109375" customWidth="1"/>
    <col min="4" max="4" width="13.42578125" customWidth="1"/>
    <col min="6" max="6" width="21.140625" customWidth="1"/>
    <col min="7" max="7" width="19.28515625" customWidth="1"/>
    <col min="13" max="13" width="11.7109375" customWidth="1"/>
    <col min="14" max="14" width="13.42578125" customWidth="1"/>
    <col min="16" max="16" width="21.140625" customWidth="1"/>
    <col min="17" max="17" width="19.28515625" customWidth="1"/>
    <col min="21" max="21" width="17" customWidth="1"/>
    <col min="23" max="23" width="20.42578125" customWidth="1"/>
    <col min="24" max="24" width="17" customWidth="1"/>
    <col min="25" max="25" width="16.85546875" customWidth="1"/>
    <col min="29" max="29" width="15.5703125" customWidth="1"/>
    <col min="31" max="32" width="16.140625" customWidth="1"/>
    <col min="33" max="33" width="17" customWidth="1"/>
  </cols>
  <sheetData>
    <row r="2" spans="2:33" ht="28.5" customHeight="1" x14ac:dyDescent="0.25">
      <c r="C2" s="188" t="s">
        <v>135</v>
      </c>
      <c r="D2" s="272" t="s">
        <v>136</v>
      </c>
      <c r="E2" s="272"/>
      <c r="F2" s="188" t="s">
        <v>141</v>
      </c>
      <c r="G2" s="188" t="s">
        <v>142</v>
      </c>
      <c r="M2" s="188" t="s">
        <v>135</v>
      </c>
      <c r="N2" s="272" t="s">
        <v>136</v>
      </c>
      <c r="O2" s="272"/>
      <c r="P2" s="188" t="s">
        <v>141</v>
      </c>
      <c r="Q2" s="188" t="s">
        <v>142</v>
      </c>
      <c r="U2" s="188" t="s">
        <v>135</v>
      </c>
      <c r="V2" s="272" t="s">
        <v>136</v>
      </c>
      <c r="W2" s="272"/>
      <c r="X2" s="188" t="s">
        <v>141</v>
      </c>
      <c r="Y2" s="188" t="s">
        <v>142</v>
      </c>
      <c r="AC2" s="188" t="s">
        <v>135</v>
      </c>
      <c r="AD2" s="272" t="s">
        <v>136</v>
      </c>
      <c r="AE2" s="272"/>
      <c r="AF2" s="188" t="s">
        <v>141</v>
      </c>
      <c r="AG2" s="188" t="s">
        <v>142</v>
      </c>
    </row>
    <row r="3" spans="2:33" ht="15" customHeight="1" x14ac:dyDescent="0.25">
      <c r="B3" s="276">
        <v>43556</v>
      </c>
      <c r="C3" s="189" t="s">
        <v>144</v>
      </c>
      <c r="D3" s="279" t="s">
        <v>145</v>
      </c>
      <c r="E3" s="280"/>
      <c r="F3" s="167">
        <v>1.5165</v>
      </c>
      <c r="G3" s="167">
        <v>0.85650000000000004</v>
      </c>
      <c r="L3" s="276">
        <v>43191</v>
      </c>
      <c r="M3" s="189" t="s">
        <v>144</v>
      </c>
      <c r="N3" s="279" t="s">
        <v>145</v>
      </c>
      <c r="O3" s="280"/>
      <c r="P3" s="167">
        <v>1.4607000000000001</v>
      </c>
      <c r="Q3" s="167">
        <v>0.84640000000000004</v>
      </c>
      <c r="T3" s="285">
        <v>42826</v>
      </c>
      <c r="U3" s="189" t="s">
        <v>144</v>
      </c>
      <c r="V3" s="279" t="s">
        <v>145</v>
      </c>
      <c r="W3" s="280"/>
      <c r="X3" s="167">
        <v>1.3493999999999999</v>
      </c>
      <c r="Y3" s="167">
        <v>0.84189999999999998</v>
      </c>
      <c r="AB3" s="276">
        <v>42461</v>
      </c>
      <c r="AC3" s="189" t="s">
        <v>144</v>
      </c>
      <c r="AD3" s="279" t="s">
        <v>145</v>
      </c>
      <c r="AE3" s="280"/>
      <c r="AF3" s="167">
        <v>1.46</v>
      </c>
      <c r="AG3" s="167">
        <v>0.83140000000000003</v>
      </c>
    </row>
    <row r="4" spans="2:33" x14ac:dyDescent="0.25">
      <c r="B4" s="277"/>
      <c r="C4" s="189" t="s">
        <v>146</v>
      </c>
      <c r="D4" s="281"/>
      <c r="E4" s="282"/>
      <c r="F4" s="167">
        <v>1.5523</v>
      </c>
      <c r="G4" s="167">
        <v>0.86329999999999996</v>
      </c>
      <c r="L4" s="277"/>
      <c r="M4" s="189" t="s">
        <v>146</v>
      </c>
      <c r="N4" s="281"/>
      <c r="O4" s="282"/>
      <c r="P4" s="167">
        <v>1.4361999999999999</v>
      </c>
      <c r="Q4" s="167">
        <v>0.84399999999999997</v>
      </c>
      <c r="T4" s="286"/>
      <c r="U4" s="189" t="s">
        <v>146</v>
      </c>
      <c r="V4" s="288"/>
      <c r="W4" s="289"/>
      <c r="X4" s="167">
        <v>1.2831999999999999</v>
      </c>
      <c r="Y4" s="167">
        <v>0.85119999999999996</v>
      </c>
      <c r="AB4" s="277"/>
      <c r="AC4" s="189" t="s">
        <v>146</v>
      </c>
      <c r="AD4" s="281"/>
      <c r="AE4" s="282"/>
      <c r="AF4" s="167">
        <v>0.25829999999999997</v>
      </c>
      <c r="AG4" s="167">
        <v>0.71440000000000003</v>
      </c>
    </row>
    <row r="5" spans="2:33" x14ac:dyDescent="0.25">
      <c r="B5" s="278"/>
      <c r="C5" s="189" t="s">
        <v>147</v>
      </c>
      <c r="D5" s="283"/>
      <c r="E5" s="284"/>
      <c r="F5" s="167">
        <v>1.2855000000000001</v>
      </c>
      <c r="G5" s="167">
        <v>0.8679</v>
      </c>
      <c r="L5" s="278"/>
      <c r="M5" s="189" t="s">
        <v>147</v>
      </c>
      <c r="N5" s="283"/>
      <c r="O5" s="284"/>
      <c r="P5" s="167">
        <v>1.0275000000000001</v>
      </c>
      <c r="Q5" s="167">
        <v>0.78779999999999994</v>
      </c>
      <c r="T5" s="287"/>
      <c r="U5" s="189" t="s">
        <v>147</v>
      </c>
      <c r="V5" s="290"/>
      <c r="W5" s="291"/>
      <c r="X5" s="167">
        <v>1.3471</v>
      </c>
      <c r="Y5" s="167">
        <v>0.74139999999999995</v>
      </c>
      <c r="AB5" s="278"/>
      <c r="AC5" s="189" t="s">
        <v>147</v>
      </c>
      <c r="AD5" s="283"/>
      <c r="AE5" s="284"/>
      <c r="AF5" s="167">
        <v>1.1231</v>
      </c>
      <c r="AG5" s="167">
        <v>0.86860000000000004</v>
      </c>
    </row>
    <row r="6" spans="2:33" ht="15" customHeight="1" x14ac:dyDescent="0.25">
      <c r="B6" s="276">
        <v>43586</v>
      </c>
      <c r="C6" s="189" t="s">
        <v>144</v>
      </c>
      <c r="D6" s="279" t="s">
        <v>326</v>
      </c>
      <c r="E6" s="280"/>
      <c r="F6" s="167">
        <v>1.0778000000000001</v>
      </c>
      <c r="G6" s="167">
        <v>0.85640000000000005</v>
      </c>
      <c r="L6" s="276">
        <v>43221</v>
      </c>
      <c r="M6" s="189" t="s">
        <v>144</v>
      </c>
      <c r="N6" s="279" t="s">
        <v>326</v>
      </c>
      <c r="O6" s="280"/>
      <c r="P6" s="167">
        <v>1.5061</v>
      </c>
      <c r="Q6" s="167">
        <v>0.84570000000000001</v>
      </c>
      <c r="T6" s="285">
        <v>42856</v>
      </c>
      <c r="U6" s="189" t="s">
        <v>144</v>
      </c>
      <c r="V6" s="279" t="s">
        <v>326</v>
      </c>
      <c r="W6" s="280"/>
      <c r="X6" s="167">
        <v>1.3429</v>
      </c>
      <c r="Y6" s="167">
        <v>0.86980000000000002</v>
      </c>
      <c r="AB6" s="276">
        <v>42491</v>
      </c>
      <c r="AC6" s="189" t="s">
        <v>144</v>
      </c>
      <c r="AD6" s="279" t="s">
        <v>326</v>
      </c>
      <c r="AE6" s="280"/>
      <c r="AF6" s="167">
        <v>1.4374</v>
      </c>
      <c r="AG6" s="167">
        <v>0.8327</v>
      </c>
    </row>
    <row r="7" spans="2:33" x14ac:dyDescent="0.25">
      <c r="B7" s="277"/>
      <c r="C7" s="189" t="s">
        <v>146</v>
      </c>
      <c r="D7" s="281"/>
      <c r="E7" s="282"/>
      <c r="F7" s="167">
        <v>1.4538</v>
      </c>
      <c r="G7" s="167">
        <v>0.83009999999999995</v>
      </c>
      <c r="L7" s="277"/>
      <c r="M7" s="189" t="s">
        <v>146</v>
      </c>
      <c r="N7" s="281"/>
      <c r="O7" s="282"/>
      <c r="P7" s="167">
        <v>1.4451000000000001</v>
      </c>
      <c r="Q7" s="167">
        <v>0.85609999999999997</v>
      </c>
      <c r="T7" s="286"/>
      <c r="U7" s="189" t="s">
        <v>146</v>
      </c>
      <c r="V7" s="288"/>
      <c r="W7" s="289"/>
      <c r="X7" s="167">
        <v>1.3875</v>
      </c>
      <c r="Y7" s="167">
        <v>0.87150000000000005</v>
      </c>
      <c r="AB7" s="277"/>
      <c r="AC7" s="189" t="s">
        <v>146</v>
      </c>
      <c r="AD7" s="281"/>
      <c r="AE7" s="282"/>
      <c r="AF7" s="167">
        <v>1.3593</v>
      </c>
      <c r="AG7" s="167">
        <v>0.68079999999999996</v>
      </c>
    </row>
    <row r="8" spans="2:33" x14ac:dyDescent="0.25">
      <c r="B8" s="278"/>
      <c r="C8" s="189" t="s">
        <v>147</v>
      </c>
      <c r="D8" s="283"/>
      <c r="E8" s="284"/>
      <c r="F8" s="167">
        <v>1.5216000000000001</v>
      </c>
      <c r="G8" s="167">
        <v>0.78890000000000005</v>
      </c>
      <c r="L8" s="278"/>
      <c r="M8" s="189" t="s">
        <v>147</v>
      </c>
      <c r="N8" s="283"/>
      <c r="O8" s="284"/>
      <c r="P8" s="167">
        <v>1.4590000000000001</v>
      </c>
      <c r="Q8" s="167">
        <v>0.78890000000000005</v>
      </c>
      <c r="T8" s="287"/>
      <c r="U8" s="189" t="s">
        <v>147</v>
      </c>
      <c r="V8" s="290"/>
      <c r="W8" s="291"/>
      <c r="X8" s="167">
        <v>1.4437</v>
      </c>
      <c r="Y8" s="167">
        <v>0.74670000000000003</v>
      </c>
      <c r="AB8" s="278"/>
      <c r="AC8" s="189" t="s">
        <v>147</v>
      </c>
      <c r="AD8" s="283"/>
      <c r="AE8" s="284"/>
      <c r="AF8" s="167">
        <v>1.3571</v>
      </c>
      <c r="AG8" s="167">
        <v>0.62419999999999998</v>
      </c>
    </row>
    <row r="9" spans="2:33" ht="15" customHeight="1" x14ac:dyDescent="0.25">
      <c r="B9" s="276">
        <v>43617</v>
      </c>
      <c r="C9" s="189" t="s">
        <v>144</v>
      </c>
      <c r="D9" s="279" t="s">
        <v>145</v>
      </c>
      <c r="E9" s="280"/>
      <c r="F9" s="167">
        <v>1.4319999999999999</v>
      </c>
      <c r="G9" s="167">
        <v>0.86460000000000004</v>
      </c>
      <c r="L9" s="276">
        <v>43252</v>
      </c>
      <c r="M9" s="189" t="s">
        <v>144</v>
      </c>
      <c r="N9" s="279" t="s">
        <v>145</v>
      </c>
      <c r="O9" s="280"/>
      <c r="P9" s="167">
        <v>1.3777999999999999</v>
      </c>
      <c r="Q9" s="167">
        <v>0.7732</v>
      </c>
      <c r="T9" s="285">
        <v>42887</v>
      </c>
      <c r="U9" s="189" t="s">
        <v>144</v>
      </c>
      <c r="V9" s="279" t="s">
        <v>145</v>
      </c>
      <c r="W9" s="280"/>
      <c r="X9" s="167">
        <v>1.3935</v>
      </c>
      <c r="Y9" s="167">
        <v>0.84240000000000004</v>
      </c>
      <c r="AB9" s="276">
        <v>42522</v>
      </c>
      <c r="AC9" s="189" t="s">
        <v>144</v>
      </c>
      <c r="AD9" s="279" t="s">
        <v>145</v>
      </c>
      <c r="AE9" s="280"/>
      <c r="AF9" s="167">
        <v>1.4692000000000001</v>
      </c>
      <c r="AG9" s="167">
        <v>0.75249999999999995</v>
      </c>
    </row>
    <row r="10" spans="2:33" x14ac:dyDescent="0.25">
      <c r="B10" s="277"/>
      <c r="C10" s="189" t="s">
        <v>146</v>
      </c>
      <c r="D10" s="281"/>
      <c r="E10" s="282"/>
      <c r="F10" s="167">
        <v>1.4232</v>
      </c>
      <c r="G10" s="167">
        <v>0.8468</v>
      </c>
      <c r="L10" s="277"/>
      <c r="M10" s="189" t="s">
        <v>146</v>
      </c>
      <c r="N10" s="281"/>
      <c r="O10" s="282"/>
      <c r="P10" s="167">
        <v>1.5253000000000001</v>
      </c>
      <c r="Q10" s="167">
        <v>0.79620000000000002</v>
      </c>
      <c r="T10" s="286"/>
      <c r="U10" s="189" t="s">
        <v>146</v>
      </c>
      <c r="V10" s="288"/>
      <c r="W10" s="289"/>
      <c r="X10" s="167">
        <v>1.3844000000000001</v>
      </c>
      <c r="Y10" s="167">
        <v>0.83840000000000003</v>
      </c>
      <c r="AB10" s="277"/>
      <c r="AC10" s="189" t="s">
        <v>146</v>
      </c>
      <c r="AD10" s="281"/>
      <c r="AE10" s="282"/>
      <c r="AF10" s="167">
        <v>1.2202</v>
      </c>
      <c r="AG10" s="167">
        <v>0.8327</v>
      </c>
    </row>
    <row r="11" spans="2:33" x14ac:dyDescent="0.25">
      <c r="B11" s="278"/>
      <c r="C11" s="189" t="s">
        <v>147</v>
      </c>
      <c r="D11" s="283"/>
      <c r="E11" s="284"/>
      <c r="F11" s="167">
        <v>1.5</v>
      </c>
      <c r="G11" s="167">
        <v>0.82250000000000001</v>
      </c>
      <c r="L11" s="278"/>
      <c r="M11" s="189" t="s">
        <v>147</v>
      </c>
      <c r="N11" s="283"/>
      <c r="O11" s="284"/>
      <c r="P11" s="167">
        <v>1.5177</v>
      </c>
      <c r="Q11" s="167">
        <v>0.71150000000000002</v>
      </c>
      <c r="T11" s="287"/>
      <c r="U11" s="189" t="s">
        <v>147</v>
      </c>
      <c r="V11" s="290"/>
      <c r="W11" s="291"/>
      <c r="X11" s="167">
        <v>1.4055</v>
      </c>
      <c r="Y11" s="167">
        <v>0.78269999999999995</v>
      </c>
      <c r="AB11" s="278"/>
      <c r="AC11" s="189" t="s">
        <v>147</v>
      </c>
      <c r="AD11" s="283"/>
      <c r="AE11" s="284"/>
      <c r="AF11" s="167">
        <v>1.4232</v>
      </c>
      <c r="AG11" s="167">
        <v>0.69020000000000004</v>
      </c>
    </row>
    <row r="12" spans="2:33" ht="15" customHeight="1" x14ac:dyDescent="0.25">
      <c r="B12" s="276">
        <v>43647</v>
      </c>
      <c r="C12" s="189" t="s">
        <v>144</v>
      </c>
      <c r="D12" s="279" t="s">
        <v>326</v>
      </c>
      <c r="E12" s="280"/>
      <c r="F12" s="167">
        <v>1.4607000000000001</v>
      </c>
      <c r="G12" s="167">
        <v>0.82520000000000004</v>
      </c>
      <c r="L12" s="276">
        <v>43282</v>
      </c>
      <c r="M12" s="189" t="s">
        <v>144</v>
      </c>
      <c r="N12" s="279" t="s">
        <v>326</v>
      </c>
      <c r="O12" s="280"/>
      <c r="P12" s="167">
        <v>1.4519</v>
      </c>
      <c r="Q12" s="167">
        <v>0.83099999999999996</v>
      </c>
      <c r="T12" s="285">
        <v>42917</v>
      </c>
      <c r="U12" s="189" t="s">
        <v>144</v>
      </c>
      <c r="V12" s="279" t="s">
        <v>326</v>
      </c>
      <c r="W12" s="280"/>
      <c r="X12" s="167">
        <v>1.2908999999999999</v>
      </c>
      <c r="Y12" s="167">
        <v>0.8649</v>
      </c>
      <c r="AB12" s="276">
        <v>42552</v>
      </c>
      <c r="AC12" s="189" t="s">
        <v>144</v>
      </c>
      <c r="AD12" s="279" t="s">
        <v>326</v>
      </c>
      <c r="AE12" s="280"/>
      <c r="AF12" s="167">
        <v>1.32</v>
      </c>
      <c r="AG12" s="167">
        <v>0.86</v>
      </c>
    </row>
    <row r="13" spans="2:33" x14ac:dyDescent="0.25">
      <c r="B13" s="277"/>
      <c r="C13" s="189" t="s">
        <v>146</v>
      </c>
      <c r="D13" s="281"/>
      <c r="E13" s="282"/>
      <c r="F13" s="167">
        <v>1.5207999999999999</v>
      </c>
      <c r="G13" s="167">
        <v>0.85540000000000005</v>
      </c>
      <c r="L13" s="277"/>
      <c r="M13" s="189" t="s">
        <v>146</v>
      </c>
      <c r="N13" s="281"/>
      <c r="O13" s="282"/>
      <c r="P13" s="167">
        <v>1.4865999999999999</v>
      </c>
      <c r="Q13" s="167">
        <v>0.83919999999999995</v>
      </c>
      <c r="T13" s="286"/>
      <c r="U13" s="189" t="s">
        <v>146</v>
      </c>
      <c r="V13" s="288"/>
      <c r="W13" s="289"/>
      <c r="X13" s="167">
        <v>1.2477</v>
      </c>
      <c r="Y13" s="167">
        <v>0.83289999999999997</v>
      </c>
      <c r="AB13" s="277"/>
      <c r="AC13" s="189" t="s">
        <v>146</v>
      </c>
      <c r="AD13" s="281"/>
      <c r="AE13" s="282"/>
      <c r="AF13" s="167">
        <v>1.22</v>
      </c>
      <c r="AG13" s="167">
        <v>0.83</v>
      </c>
    </row>
    <row r="14" spans="2:33" x14ac:dyDescent="0.25">
      <c r="B14" s="278"/>
      <c r="C14" s="189" t="s">
        <v>147</v>
      </c>
      <c r="D14" s="283"/>
      <c r="E14" s="284"/>
      <c r="F14" s="167">
        <v>1.4629000000000001</v>
      </c>
      <c r="G14" s="167">
        <v>0.82520000000000004</v>
      </c>
      <c r="L14" s="278"/>
      <c r="M14" s="189" t="s">
        <v>147</v>
      </c>
      <c r="N14" s="283"/>
      <c r="O14" s="284"/>
      <c r="P14" s="167">
        <v>1.4261999999999999</v>
      </c>
      <c r="Q14" s="167">
        <v>0.78320000000000001</v>
      </c>
      <c r="T14" s="287"/>
      <c r="U14" s="189" t="s">
        <v>147</v>
      </c>
      <c r="V14" s="290"/>
      <c r="W14" s="291"/>
      <c r="X14" s="167">
        <v>1.1772</v>
      </c>
      <c r="Y14" s="167">
        <v>0.77180000000000004</v>
      </c>
      <c r="AB14" s="278"/>
      <c r="AC14" s="189" t="s">
        <v>147</v>
      </c>
      <c r="AD14" s="283"/>
      <c r="AE14" s="284"/>
      <c r="AF14" s="167">
        <v>0.75</v>
      </c>
      <c r="AG14" s="167">
        <v>0.72</v>
      </c>
    </row>
    <row r="15" spans="2:33" ht="15" customHeight="1" x14ac:dyDescent="0.25">
      <c r="B15" s="276">
        <v>43678</v>
      </c>
      <c r="C15" s="189" t="s">
        <v>144</v>
      </c>
      <c r="D15" s="279" t="s">
        <v>326</v>
      </c>
      <c r="E15" s="280"/>
      <c r="F15" s="167">
        <v>1.3926000000000001</v>
      </c>
      <c r="G15" s="167">
        <v>0.87</v>
      </c>
      <c r="L15" s="276">
        <v>43313</v>
      </c>
      <c r="M15" s="189" t="s">
        <v>144</v>
      </c>
      <c r="N15" s="279" t="s">
        <v>326</v>
      </c>
      <c r="O15" s="280"/>
      <c r="P15" s="167">
        <v>1.3968</v>
      </c>
      <c r="Q15" s="167">
        <v>0.81659999999999999</v>
      </c>
      <c r="T15" s="285">
        <v>42948</v>
      </c>
      <c r="U15" s="189" t="s">
        <v>144</v>
      </c>
      <c r="V15" s="279" t="s">
        <v>326</v>
      </c>
      <c r="W15" s="280"/>
      <c r="X15" s="167">
        <v>1.2907</v>
      </c>
      <c r="Y15" s="167">
        <v>0.82979999999999998</v>
      </c>
      <c r="AB15" s="276">
        <v>42583</v>
      </c>
      <c r="AC15" s="189" t="s">
        <v>144</v>
      </c>
      <c r="AD15" s="279" t="s">
        <v>326</v>
      </c>
      <c r="AE15" s="280"/>
      <c r="AF15" s="167">
        <v>1.1656</v>
      </c>
      <c r="AG15" s="167">
        <v>0.82020000000000004</v>
      </c>
    </row>
    <row r="16" spans="2:33" x14ac:dyDescent="0.25">
      <c r="B16" s="277"/>
      <c r="C16" s="189" t="s">
        <v>146</v>
      </c>
      <c r="D16" s="281"/>
      <c r="E16" s="282"/>
      <c r="F16" s="167">
        <v>1.3763000000000001</v>
      </c>
      <c r="G16" s="167">
        <v>0.88</v>
      </c>
      <c r="L16" s="277"/>
      <c r="M16" s="189" t="s">
        <v>146</v>
      </c>
      <c r="N16" s="281"/>
      <c r="O16" s="282"/>
      <c r="P16" s="167">
        <v>1.2847999999999999</v>
      </c>
      <c r="Q16" s="167">
        <v>0.84930000000000005</v>
      </c>
      <c r="T16" s="286"/>
      <c r="U16" s="189" t="s">
        <v>146</v>
      </c>
      <c r="V16" s="288"/>
      <c r="W16" s="289"/>
      <c r="X16" s="167">
        <v>1.3037000000000001</v>
      </c>
      <c r="Y16" s="167">
        <v>0.80379999999999996</v>
      </c>
      <c r="AB16" s="277"/>
      <c r="AC16" s="189" t="s">
        <v>146</v>
      </c>
      <c r="AD16" s="281"/>
      <c r="AE16" s="282"/>
      <c r="AF16" s="167">
        <v>1.1213</v>
      </c>
      <c r="AG16" s="167">
        <v>0.81969999999999998</v>
      </c>
    </row>
    <row r="17" spans="2:33" x14ac:dyDescent="0.25">
      <c r="B17" s="278"/>
      <c r="C17" s="189" t="s">
        <v>147</v>
      </c>
      <c r="D17" s="283"/>
      <c r="E17" s="284"/>
      <c r="F17" s="167">
        <v>1.5024999999999999</v>
      </c>
      <c r="G17" s="167">
        <v>0.84</v>
      </c>
      <c r="L17" s="278"/>
      <c r="M17" s="189" t="s">
        <v>147</v>
      </c>
      <c r="N17" s="283"/>
      <c r="O17" s="284"/>
      <c r="P17" s="167">
        <v>1.4603999999999999</v>
      </c>
      <c r="Q17" s="167">
        <v>0.78339999999999999</v>
      </c>
      <c r="T17" s="287"/>
      <c r="U17" s="189" t="s">
        <v>147</v>
      </c>
      <c r="V17" s="290"/>
      <c r="W17" s="291"/>
      <c r="X17" s="167">
        <v>1.3857999999999999</v>
      </c>
      <c r="Y17" s="167">
        <v>0.77429999999999999</v>
      </c>
      <c r="AB17" s="278"/>
      <c r="AC17" s="189" t="s">
        <v>147</v>
      </c>
      <c r="AD17" s="283"/>
      <c r="AE17" s="284"/>
      <c r="AF17" s="167">
        <v>0.44979999999999998</v>
      </c>
      <c r="AG17" s="167">
        <v>0.68869999999999998</v>
      </c>
    </row>
    <row r="18" spans="2:33" ht="15" customHeight="1" x14ac:dyDescent="0.25">
      <c r="B18" s="276">
        <v>43709</v>
      </c>
      <c r="C18" s="189" t="s">
        <v>144</v>
      </c>
      <c r="D18" s="279" t="s">
        <v>145</v>
      </c>
      <c r="E18" s="280"/>
      <c r="F18" s="167">
        <v>1.4087000000000001</v>
      </c>
      <c r="G18" s="167">
        <v>0.82</v>
      </c>
      <c r="L18" s="276">
        <v>43344</v>
      </c>
      <c r="M18" s="189" t="s">
        <v>144</v>
      </c>
      <c r="N18" s="279" t="s">
        <v>145</v>
      </c>
      <c r="O18" s="280"/>
      <c r="P18" s="167">
        <v>1.5044</v>
      </c>
      <c r="Q18" s="167">
        <v>0.84040000000000004</v>
      </c>
      <c r="T18" s="285">
        <v>42979</v>
      </c>
      <c r="U18" s="189" t="s">
        <v>144</v>
      </c>
      <c r="V18" s="279" t="s">
        <v>145</v>
      </c>
      <c r="W18" s="280"/>
      <c r="X18" s="167">
        <v>1.3268</v>
      </c>
      <c r="Y18" s="167">
        <v>0.81279999999999997</v>
      </c>
      <c r="AB18" s="276">
        <v>42614</v>
      </c>
      <c r="AC18" s="189" t="s">
        <v>144</v>
      </c>
      <c r="AD18" s="279" t="s">
        <v>145</v>
      </c>
      <c r="AE18" s="280"/>
      <c r="AF18" s="167">
        <v>1.1917</v>
      </c>
      <c r="AG18" s="167">
        <v>0.70689999999999997</v>
      </c>
    </row>
    <row r="19" spans="2:33" x14ac:dyDescent="0.25">
      <c r="B19" s="277"/>
      <c r="C19" s="189" t="s">
        <v>146</v>
      </c>
      <c r="D19" s="281"/>
      <c r="E19" s="282"/>
      <c r="F19" s="167">
        <v>1.4201999999999999</v>
      </c>
      <c r="G19" s="167">
        <v>0.8</v>
      </c>
      <c r="L19" s="277"/>
      <c r="M19" s="189" t="s">
        <v>146</v>
      </c>
      <c r="N19" s="281"/>
      <c r="O19" s="282"/>
      <c r="P19" s="167">
        <v>1.4492</v>
      </c>
      <c r="Q19" s="167">
        <v>0.85880000000000001</v>
      </c>
      <c r="T19" s="286"/>
      <c r="U19" s="189" t="s">
        <v>146</v>
      </c>
      <c r="V19" s="288"/>
      <c r="W19" s="289"/>
      <c r="X19" s="167">
        <v>1.4077999999999999</v>
      </c>
      <c r="Y19" s="167">
        <v>0.85399999999999998</v>
      </c>
      <c r="AB19" s="277"/>
      <c r="AC19" s="189" t="s">
        <v>146</v>
      </c>
      <c r="AD19" s="281"/>
      <c r="AE19" s="282"/>
      <c r="AF19" s="167">
        <v>1.4966999999999999</v>
      </c>
      <c r="AG19" s="167">
        <v>0.61780000000000002</v>
      </c>
    </row>
    <row r="20" spans="2:33" x14ac:dyDescent="0.25">
      <c r="B20" s="278"/>
      <c r="C20" s="189" t="s">
        <v>147</v>
      </c>
      <c r="D20" s="283"/>
      <c r="E20" s="284"/>
      <c r="F20" s="167">
        <v>1.3383</v>
      </c>
      <c r="G20" s="167">
        <v>0.8</v>
      </c>
      <c r="L20" s="278"/>
      <c r="M20" s="189" t="s">
        <v>147</v>
      </c>
      <c r="N20" s="283"/>
      <c r="O20" s="284"/>
      <c r="P20" s="167">
        <v>1.3761000000000001</v>
      </c>
      <c r="Q20" s="167">
        <v>0.80610000000000004</v>
      </c>
      <c r="T20" s="287"/>
      <c r="U20" s="189" t="s">
        <v>147</v>
      </c>
      <c r="V20" s="290"/>
      <c r="W20" s="291"/>
      <c r="X20" s="167">
        <v>1.4473</v>
      </c>
      <c r="Y20" s="167">
        <v>0.77139999999999997</v>
      </c>
      <c r="AB20" s="278"/>
      <c r="AC20" s="189" t="s">
        <v>147</v>
      </c>
      <c r="AD20" s="283"/>
      <c r="AE20" s="284"/>
      <c r="AF20" s="167">
        <v>1.3627</v>
      </c>
      <c r="AG20" s="167">
        <v>0.5716</v>
      </c>
    </row>
    <row r="21" spans="2:33" ht="15" customHeight="1" x14ac:dyDescent="0.25">
      <c r="B21" s="276">
        <v>43739</v>
      </c>
      <c r="C21" s="189" t="s">
        <v>144</v>
      </c>
      <c r="D21" s="279" t="s">
        <v>326</v>
      </c>
      <c r="E21" s="280"/>
      <c r="F21" s="167">
        <v>1.4197</v>
      </c>
      <c r="G21" s="167">
        <v>0.83640000000000003</v>
      </c>
      <c r="L21" s="276">
        <v>43374</v>
      </c>
      <c r="M21" s="189" t="s">
        <v>144</v>
      </c>
      <c r="N21" s="279" t="s">
        <v>326</v>
      </c>
      <c r="O21" s="280"/>
      <c r="P21" s="167">
        <v>1.4116</v>
      </c>
      <c r="Q21" s="167">
        <v>0.86250000000000004</v>
      </c>
      <c r="T21" s="285">
        <v>43009</v>
      </c>
      <c r="U21" s="189" t="s">
        <v>144</v>
      </c>
      <c r="V21" s="279" t="s">
        <v>326</v>
      </c>
      <c r="W21" s="280"/>
      <c r="X21" s="167">
        <v>1.4328000000000001</v>
      </c>
      <c r="Y21" s="167">
        <v>0.84740000000000004</v>
      </c>
      <c r="AB21" s="276">
        <v>42644</v>
      </c>
      <c r="AC21" s="189" t="s">
        <v>144</v>
      </c>
      <c r="AD21" s="279" t="s">
        <v>326</v>
      </c>
      <c r="AE21" s="280"/>
      <c r="AF21" s="167">
        <v>1.1937</v>
      </c>
      <c r="AG21" s="167">
        <v>0.76119999999999999</v>
      </c>
    </row>
    <row r="22" spans="2:33" x14ac:dyDescent="0.25">
      <c r="B22" s="277"/>
      <c r="C22" s="189" t="s">
        <v>146</v>
      </c>
      <c r="D22" s="281"/>
      <c r="E22" s="282"/>
      <c r="F22" s="167">
        <v>1.5263</v>
      </c>
      <c r="G22" s="167">
        <v>0.86419999999999997</v>
      </c>
      <c r="L22" s="277"/>
      <c r="M22" s="189" t="s">
        <v>146</v>
      </c>
      <c r="N22" s="281"/>
      <c r="O22" s="282"/>
      <c r="P22" s="167">
        <v>1.4455</v>
      </c>
      <c r="Q22" s="167">
        <v>0.85270000000000001</v>
      </c>
      <c r="T22" s="286"/>
      <c r="U22" s="189" t="s">
        <v>146</v>
      </c>
      <c r="V22" s="288"/>
      <c r="W22" s="289"/>
      <c r="X22" s="167">
        <v>1.4913000000000001</v>
      </c>
      <c r="Y22" s="167">
        <v>0.83389999999999997</v>
      </c>
      <c r="AB22" s="277"/>
      <c r="AC22" s="189" t="s">
        <v>146</v>
      </c>
      <c r="AD22" s="281"/>
      <c r="AE22" s="282"/>
      <c r="AF22" s="167">
        <v>1.1859</v>
      </c>
      <c r="AG22" s="167">
        <v>0.72199999999999998</v>
      </c>
    </row>
    <row r="23" spans="2:33" x14ac:dyDescent="0.25">
      <c r="B23" s="278"/>
      <c r="C23" s="189" t="s">
        <v>147</v>
      </c>
      <c r="D23" s="283"/>
      <c r="E23" s="284"/>
      <c r="F23" s="167">
        <v>1.4876</v>
      </c>
      <c r="G23" s="167">
        <v>0.81889999999999996</v>
      </c>
      <c r="L23" s="278"/>
      <c r="M23" s="189" t="s">
        <v>147</v>
      </c>
      <c r="N23" s="283"/>
      <c r="O23" s="284"/>
      <c r="P23" s="167">
        <v>1.4331</v>
      </c>
      <c r="Q23" s="167">
        <v>0.81359999999999999</v>
      </c>
      <c r="T23" s="287"/>
      <c r="U23" s="189" t="s">
        <v>147</v>
      </c>
      <c r="V23" s="290"/>
      <c r="W23" s="291"/>
      <c r="X23" s="167">
        <v>1.4826999999999999</v>
      </c>
      <c r="Y23" s="167">
        <v>0.77810000000000001</v>
      </c>
      <c r="AB23" s="278"/>
      <c r="AC23" s="189" t="s">
        <v>147</v>
      </c>
      <c r="AD23" s="283"/>
      <c r="AE23" s="284"/>
      <c r="AF23" s="167">
        <v>1.4095</v>
      </c>
      <c r="AG23" s="167">
        <v>0.67479999999999996</v>
      </c>
    </row>
    <row r="24" spans="2:33" ht="15" customHeight="1" x14ac:dyDescent="0.25">
      <c r="B24" s="276">
        <v>43770</v>
      </c>
      <c r="C24" s="189" t="s">
        <v>144</v>
      </c>
      <c r="D24" s="279" t="s">
        <v>145</v>
      </c>
      <c r="E24" s="280"/>
      <c r="F24" s="167">
        <v>1.5222</v>
      </c>
      <c r="G24" s="167">
        <v>0.84350000000000003</v>
      </c>
      <c r="L24" s="276">
        <v>43405</v>
      </c>
      <c r="M24" s="189" t="s">
        <v>144</v>
      </c>
      <c r="N24" s="279" t="s">
        <v>145</v>
      </c>
      <c r="O24" s="280"/>
      <c r="P24" s="167">
        <v>1.5034000000000001</v>
      </c>
      <c r="Q24" s="167">
        <v>0.84389999999999998</v>
      </c>
      <c r="T24" s="285">
        <v>43040</v>
      </c>
      <c r="U24" s="189" t="s">
        <v>144</v>
      </c>
      <c r="V24" s="279" t="s">
        <v>145</v>
      </c>
      <c r="W24" s="280"/>
      <c r="X24" s="167">
        <v>1.1695</v>
      </c>
      <c r="Y24" s="167">
        <v>0.87060000000000004</v>
      </c>
      <c r="AB24" s="276">
        <v>42675</v>
      </c>
      <c r="AC24" s="189" t="s">
        <v>144</v>
      </c>
      <c r="AD24" s="279" t="s">
        <v>145</v>
      </c>
      <c r="AE24" s="280"/>
      <c r="AF24" s="167">
        <v>1.5079</v>
      </c>
      <c r="AG24" s="167">
        <v>0.86570000000000003</v>
      </c>
    </row>
    <row r="25" spans="2:33" x14ac:dyDescent="0.25">
      <c r="B25" s="277"/>
      <c r="C25" s="189" t="s">
        <v>146</v>
      </c>
      <c r="D25" s="281"/>
      <c r="E25" s="282"/>
      <c r="F25" s="167">
        <v>0.86660000000000004</v>
      </c>
      <c r="G25" s="167">
        <v>0.6653</v>
      </c>
      <c r="L25" s="277"/>
      <c r="M25" s="189" t="s">
        <v>146</v>
      </c>
      <c r="N25" s="281"/>
      <c r="O25" s="282"/>
      <c r="P25" s="167">
        <v>1.5077</v>
      </c>
      <c r="Q25" s="167">
        <v>0.83779999999999999</v>
      </c>
      <c r="T25" s="286"/>
      <c r="U25" s="189" t="s">
        <v>146</v>
      </c>
      <c r="V25" s="288"/>
      <c r="W25" s="289"/>
      <c r="X25" s="167">
        <v>0.69679999999999997</v>
      </c>
      <c r="Y25" s="167">
        <v>0.8488</v>
      </c>
      <c r="AB25" s="277"/>
      <c r="AC25" s="189" t="s">
        <v>146</v>
      </c>
      <c r="AD25" s="281"/>
      <c r="AE25" s="282"/>
      <c r="AF25" s="167">
        <v>0.88680000000000003</v>
      </c>
      <c r="AG25" s="167">
        <v>0.82299999999999995</v>
      </c>
    </row>
    <row r="26" spans="2:33" x14ac:dyDescent="0.25">
      <c r="B26" s="278"/>
      <c r="C26" s="189" t="s">
        <v>147</v>
      </c>
      <c r="D26" s="283"/>
      <c r="E26" s="284"/>
      <c r="F26" s="167">
        <v>1.3783000000000001</v>
      </c>
      <c r="G26" s="167">
        <v>0.8085</v>
      </c>
      <c r="L26" s="278"/>
      <c r="M26" s="189" t="s">
        <v>147</v>
      </c>
      <c r="N26" s="283"/>
      <c r="O26" s="284"/>
      <c r="P26" s="167">
        <v>0.93430000000000002</v>
      </c>
      <c r="Q26" s="167">
        <v>0.78759999999999997</v>
      </c>
      <c r="T26" s="287"/>
      <c r="U26" s="189" t="s">
        <v>147</v>
      </c>
      <c r="V26" s="290"/>
      <c r="W26" s="291"/>
      <c r="X26" s="167">
        <v>1.4619</v>
      </c>
      <c r="Y26" s="167">
        <v>0.8125</v>
      </c>
      <c r="AB26" s="278"/>
      <c r="AC26" s="189" t="s">
        <v>147</v>
      </c>
      <c r="AD26" s="283"/>
      <c r="AE26" s="284"/>
      <c r="AF26" s="167">
        <v>1.0468</v>
      </c>
      <c r="AG26" s="167">
        <v>0.79830000000000001</v>
      </c>
    </row>
    <row r="27" spans="2:33" ht="15" customHeight="1" x14ac:dyDescent="0.25">
      <c r="B27" s="276">
        <v>43800</v>
      </c>
      <c r="C27" s="189" t="s">
        <v>144</v>
      </c>
      <c r="D27" s="279" t="s">
        <v>326</v>
      </c>
      <c r="E27" s="280"/>
      <c r="F27" s="167">
        <v>1.5333000000000001</v>
      </c>
      <c r="G27" s="167">
        <v>0.86119999999999997</v>
      </c>
      <c r="L27" s="276">
        <v>43435</v>
      </c>
      <c r="M27" s="189" t="s">
        <v>144</v>
      </c>
      <c r="N27" s="279" t="s">
        <v>326</v>
      </c>
      <c r="O27" s="280"/>
      <c r="P27" s="167">
        <v>1.4346000000000001</v>
      </c>
      <c r="Q27" s="167">
        <v>0.82620000000000005</v>
      </c>
      <c r="T27" s="285">
        <v>43070</v>
      </c>
      <c r="U27" s="189" t="s">
        <v>144</v>
      </c>
      <c r="V27" s="279" t="s">
        <v>326</v>
      </c>
      <c r="W27" s="280"/>
      <c r="X27" s="167">
        <v>1.4155</v>
      </c>
      <c r="Y27" s="167">
        <v>0.83309999999999995</v>
      </c>
      <c r="AB27" s="276">
        <v>42705</v>
      </c>
      <c r="AC27" s="189" t="s">
        <v>144</v>
      </c>
      <c r="AD27" s="279" t="s">
        <v>326</v>
      </c>
      <c r="AE27" s="280"/>
      <c r="AF27" s="167">
        <v>1.4092</v>
      </c>
      <c r="AG27" s="167">
        <v>0.85670000000000002</v>
      </c>
    </row>
    <row r="28" spans="2:33" x14ac:dyDescent="0.25">
      <c r="B28" s="277"/>
      <c r="C28" s="189" t="s">
        <v>146</v>
      </c>
      <c r="D28" s="281"/>
      <c r="E28" s="282"/>
      <c r="F28" s="167">
        <v>1.5407999999999999</v>
      </c>
      <c r="G28" s="167">
        <v>0.8548</v>
      </c>
      <c r="L28" s="277"/>
      <c r="M28" s="189" t="s">
        <v>146</v>
      </c>
      <c r="N28" s="281"/>
      <c r="O28" s="282"/>
      <c r="P28" s="167">
        <v>1.4281999999999999</v>
      </c>
      <c r="Q28" s="167">
        <v>0.83579999999999999</v>
      </c>
      <c r="T28" s="286"/>
      <c r="U28" s="189" t="s">
        <v>146</v>
      </c>
      <c r="V28" s="288"/>
      <c r="W28" s="289"/>
      <c r="X28" s="167">
        <v>1.4670000000000001</v>
      </c>
      <c r="Y28" s="167">
        <v>0.8296</v>
      </c>
      <c r="AB28" s="277"/>
      <c r="AC28" s="189" t="s">
        <v>146</v>
      </c>
      <c r="AD28" s="281"/>
      <c r="AE28" s="282"/>
      <c r="AF28" s="167">
        <v>1.1748000000000001</v>
      </c>
      <c r="AG28" s="167">
        <v>0.86260000000000003</v>
      </c>
    </row>
    <row r="29" spans="2:33" x14ac:dyDescent="0.25">
      <c r="B29" s="278"/>
      <c r="C29" s="189" t="s">
        <v>147</v>
      </c>
      <c r="D29" s="283"/>
      <c r="E29" s="284"/>
      <c r="F29" s="167">
        <v>1.4366000000000001</v>
      </c>
      <c r="G29" s="167">
        <v>0.83909999999999996</v>
      </c>
      <c r="L29" s="278"/>
      <c r="M29" s="189" t="s">
        <v>147</v>
      </c>
      <c r="N29" s="283"/>
      <c r="O29" s="284"/>
      <c r="P29" s="167">
        <v>1.4758</v>
      </c>
      <c r="Q29" s="167">
        <v>0.79310000000000003</v>
      </c>
      <c r="T29" s="287"/>
      <c r="U29" s="189" t="s">
        <v>147</v>
      </c>
      <c r="V29" s="290"/>
      <c r="W29" s="291"/>
      <c r="X29" s="167">
        <v>1.4500999999999999</v>
      </c>
      <c r="Y29" s="167">
        <v>0.78369999999999995</v>
      </c>
      <c r="AB29" s="278"/>
      <c r="AC29" s="189" t="s">
        <v>147</v>
      </c>
      <c r="AD29" s="283"/>
      <c r="AE29" s="284"/>
      <c r="AF29" s="167">
        <v>1.2559</v>
      </c>
      <c r="AG29" s="167">
        <v>0.77070000000000005</v>
      </c>
    </row>
    <row r="30" spans="2:33" ht="15" customHeight="1" x14ac:dyDescent="0.25">
      <c r="B30" s="276">
        <v>43831</v>
      </c>
      <c r="C30" s="189" t="s">
        <v>144</v>
      </c>
      <c r="D30" s="279" t="s">
        <v>326</v>
      </c>
      <c r="E30" s="280"/>
      <c r="F30" s="167">
        <v>1.4333</v>
      </c>
      <c r="G30" s="167">
        <v>0.83240000000000003</v>
      </c>
      <c r="L30" s="276">
        <v>43466</v>
      </c>
      <c r="M30" s="189" t="s">
        <v>144</v>
      </c>
      <c r="N30" s="279" t="s">
        <v>326</v>
      </c>
      <c r="O30" s="280"/>
      <c r="P30" s="167">
        <v>1.5316000000000001</v>
      </c>
      <c r="Q30" s="167">
        <v>0.86739999999999995</v>
      </c>
      <c r="T30" s="285">
        <v>43101</v>
      </c>
      <c r="U30" s="189" t="s">
        <v>144</v>
      </c>
      <c r="V30" s="279" t="s">
        <v>326</v>
      </c>
      <c r="W30" s="280"/>
      <c r="X30" s="167">
        <v>1.3487</v>
      </c>
      <c r="Y30" s="167">
        <v>0.80389999999999995</v>
      </c>
      <c r="AB30" s="285">
        <v>42736</v>
      </c>
      <c r="AC30" s="189" t="s">
        <v>144</v>
      </c>
      <c r="AD30" s="279" t="s">
        <v>326</v>
      </c>
      <c r="AE30" s="280"/>
      <c r="AF30" s="167">
        <v>1.2797000000000001</v>
      </c>
      <c r="AG30" s="167">
        <v>0.82399999999999995</v>
      </c>
    </row>
    <row r="31" spans="2:33" x14ac:dyDescent="0.25">
      <c r="B31" s="277"/>
      <c r="C31" s="189" t="s">
        <v>146</v>
      </c>
      <c r="D31" s="281"/>
      <c r="E31" s="282"/>
      <c r="F31" s="167">
        <v>1.4332</v>
      </c>
      <c r="G31" s="167">
        <v>0.83760000000000001</v>
      </c>
      <c r="L31" s="277"/>
      <c r="M31" s="189" t="s">
        <v>146</v>
      </c>
      <c r="N31" s="281"/>
      <c r="O31" s="282"/>
      <c r="P31" s="167">
        <v>0</v>
      </c>
      <c r="Q31" s="167">
        <v>0</v>
      </c>
      <c r="T31" s="286"/>
      <c r="U31" s="189" t="s">
        <v>146</v>
      </c>
      <c r="V31" s="288"/>
      <c r="W31" s="289"/>
      <c r="X31" s="167">
        <v>1.4159999999999999</v>
      </c>
      <c r="Y31" s="167">
        <v>0.7964</v>
      </c>
      <c r="AB31" s="286"/>
      <c r="AC31" s="189" t="s">
        <v>146</v>
      </c>
      <c r="AD31" s="288"/>
      <c r="AE31" s="289"/>
      <c r="AF31" s="167">
        <v>1.4</v>
      </c>
      <c r="AG31" s="167">
        <v>0.83140000000000003</v>
      </c>
    </row>
    <row r="32" spans="2:33" x14ac:dyDescent="0.25">
      <c r="B32" s="278"/>
      <c r="C32" s="189" t="s">
        <v>147</v>
      </c>
      <c r="D32" s="283"/>
      <c r="E32" s="284"/>
      <c r="F32" s="167">
        <v>1.4956</v>
      </c>
      <c r="G32" s="167">
        <v>0.83609999999999995</v>
      </c>
      <c r="L32" s="278"/>
      <c r="M32" s="189" t="s">
        <v>147</v>
      </c>
      <c r="N32" s="283"/>
      <c r="O32" s="284"/>
      <c r="P32" s="167">
        <v>1.4915</v>
      </c>
      <c r="Q32" s="167">
        <v>0.83620000000000005</v>
      </c>
      <c r="T32" s="287"/>
      <c r="U32" s="189" t="s">
        <v>147</v>
      </c>
      <c r="V32" s="290"/>
      <c r="W32" s="291"/>
      <c r="X32" s="167">
        <v>1.357</v>
      </c>
      <c r="Y32" s="167">
        <v>0.72640000000000005</v>
      </c>
      <c r="AB32" s="287"/>
      <c r="AC32" s="189" t="s">
        <v>147</v>
      </c>
      <c r="AD32" s="290"/>
      <c r="AE32" s="291"/>
      <c r="AF32" s="167">
        <v>1.3443000000000001</v>
      </c>
      <c r="AG32" s="167">
        <v>0.73799999999999999</v>
      </c>
    </row>
    <row r="33" spans="2:33" ht="15" customHeight="1" x14ac:dyDescent="0.25">
      <c r="B33" s="276">
        <v>43862</v>
      </c>
      <c r="C33" s="189" t="s">
        <v>144</v>
      </c>
      <c r="D33" s="279" t="s">
        <v>327</v>
      </c>
      <c r="E33" s="280"/>
      <c r="F33" s="167">
        <v>1.4759</v>
      </c>
      <c r="G33" s="167">
        <v>0.81359999999999999</v>
      </c>
      <c r="L33" s="276">
        <v>43497</v>
      </c>
      <c r="M33" s="189" t="s">
        <v>144</v>
      </c>
      <c r="N33" s="279" t="s">
        <v>327</v>
      </c>
      <c r="O33" s="280"/>
      <c r="P33" s="167">
        <v>0.93669999999999998</v>
      </c>
      <c r="Q33" s="167">
        <v>0.61580000000000001</v>
      </c>
      <c r="T33" s="285">
        <v>43132</v>
      </c>
      <c r="U33" s="189" t="s">
        <v>144</v>
      </c>
      <c r="V33" s="279" t="s">
        <v>327</v>
      </c>
      <c r="W33" s="280"/>
      <c r="X33" s="167">
        <v>1.4433</v>
      </c>
      <c r="Y33" s="167">
        <v>0.88959999999999995</v>
      </c>
      <c r="AB33" s="276">
        <v>42767</v>
      </c>
      <c r="AC33" s="189" t="s">
        <v>144</v>
      </c>
      <c r="AD33" s="279" t="s">
        <v>327</v>
      </c>
      <c r="AE33" s="280"/>
      <c r="AF33" s="167">
        <v>1.3677999999999999</v>
      </c>
      <c r="AG33" s="167">
        <v>0.84599999999999997</v>
      </c>
    </row>
    <row r="34" spans="2:33" x14ac:dyDescent="0.25">
      <c r="B34" s="277"/>
      <c r="C34" s="189" t="s">
        <v>146</v>
      </c>
      <c r="D34" s="281"/>
      <c r="E34" s="282"/>
      <c r="F34" s="167">
        <v>1.4598</v>
      </c>
      <c r="G34" s="167">
        <v>0.82569999999999999</v>
      </c>
      <c r="L34" s="277"/>
      <c r="M34" s="189" t="s">
        <v>146</v>
      </c>
      <c r="N34" s="281"/>
      <c r="O34" s="282"/>
      <c r="P34" s="167">
        <v>1.5336000000000001</v>
      </c>
      <c r="Q34" s="167">
        <v>0.68459999999999999</v>
      </c>
      <c r="T34" s="286"/>
      <c r="U34" s="189" t="s">
        <v>146</v>
      </c>
      <c r="V34" s="288"/>
      <c r="W34" s="289"/>
      <c r="X34" s="167">
        <v>1.3814</v>
      </c>
      <c r="Y34" s="167">
        <v>0.86719999999999997</v>
      </c>
      <c r="AB34" s="277"/>
      <c r="AC34" s="189" t="s">
        <v>146</v>
      </c>
      <c r="AD34" s="281"/>
      <c r="AE34" s="282"/>
      <c r="AF34" s="167">
        <v>1.4523999999999999</v>
      </c>
      <c r="AG34" s="167">
        <v>0.85250000000000004</v>
      </c>
    </row>
    <row r="35" spans="2:33" x14ac:dyDescent="0.25">
      <c r="B35" s="278"/>
      <c r="C35" s="189" t="s">
        <v>147</v>
      </c>
      <c r="D35" s="283"/>
      <c r="E35" s="284"/>
      <c r="F35" s="167">
        <v>1.5383</v>
      </c>
      <c r="G35" s="167">
        <v>0.80400000000000005</v>
      </c>
      <c r="L35" s="278"/>
      <c r="M35" s="189" t="s">
        <v>147</v>
      </c>
      <c r="N35" s="283"/>
      <c r="O35" s="284"/>
      <c r="P35" s="167">
        <v>1.0344</v>
      </c>
      <c r="Q35" s="167">
        <v>0.70509999999999995</v>
      </c>
      <c r="T35" s="287"/>
      <c r="U35" s="189" t="s">
        <v>147</v>
      </c>
      <c r="V35" s="290"/>
      <c r="W35" s="291"/>
      <c r="X35" s="167">
        <v>9.6100000000000005E-2</v>
      </c>
      <c r="Y35" s="167">
        <v>0.84150000000000003</v>
      </c>
      <c r="AB35" s="278"/>
      <c r="AC35" s="189" t="s">
        <v>147</v>
      </c>
      <c r="AD35" s="283"/>
      <c r="AE35" s="284"/>
      <c r="AF35" s="167">
        <v>1.1263000000000001</v>
      </c>
      <c r="AG35" s="167">
        <v>0.95779999999999998</v>
      </c>
    </row>
    <row r="36" spans="2:33" ht="15" customHeight="1" x14ac:dyDescent="0.25">
      <c r="B36" s="276">
        <v>43891</v>
      </c>
      <c r="C36" s="189" t="s">
        <v>144</v>
      </c>
      <c r="D36" s="279" t="s">
        <v>326</v>
      </c>
      <c r="E36" s="280"/>
      <c r="F36" s="167"/>
      <c r="G36" s="167"/>
      <c r="L36" s="276">
        <v>43525</v>
      </c>
      <c r="M36" s="189" t="s">
        <v>144</v>
      </c>
      <c r="N36" s="279" t="s">
        <v>326</v>
      </c>
      <c r="O36" s="280"/>
      <c r="P36" s="167">
        <v>0.35049999999999998</v>
      </c>
      <c r="Q36" s="167">
        <v>0.64600000000000002</v>
      </c>
      <c r="T36" s="285">
        <v>43160</v>
      </c>
      <c r="U36" s="189" t="s">
        <v>144</v>
      </c>
      <c r="V36" s="279" t="s">
        <v>326</v>
      </c>
      <c r="W36" s="280"/>
      <c r="X36" s="167">
        <v>1.4139999999999999</v>
      </c>
      <c r="Y36" s="211">
        <v>0.86439999999999995</v>
      </c>
      <c r="AB36" s="276">
        <v>42795</v>
      </c>
      <c r="AC36" s="189" t="s">
        <v>144</v>
      </c>
      <c r="AD36" s="279" t="s">
        <v>326</v>
      </c>
      <c r="AE36" s="280"/>
      <c r="AF36" s="167">
        <v>1.3983000000000001</v>
      </c>
      <c r="AG36" s="167">
        <v>0.85260000000000002</v>
      </c>
    </row>
    <row r="37" spans="2:33" x14ac:dyDescent="0.25">
      <c r="B37" s="277"/>
      <c r="C37" s="189" t="s">
        <v>146</v>
      </c>
      <c r="D37" s="281"/>
      <c r="E37" s="282"/>
      <c r="F37" s="167"/>
      <c r="G37" s="167"/>
      <c r="L37" s="277"/>
      <c r="M37" s="189" t="s">
        <v>146</v>
      </c>
      <c r="N37" s="281"/>
      <c r="O37" s="282"/>
      <c r="P37" s="167">
        <v>1.5253000000000001</v>
      </c>
      <c r="Q37" s="167">
        <v>0.74580000000000002</v>
      </c>
      <c r="T37" s="286"/>
      <c r="U37" s="189" t="s">
        <v>146</v>
      </c>
      <c r="V37" s="288"/>
      <c r="W37" s="289"/>
      <c r="X37" s="167">
        <v>1.4945999999999999</v>
      </c>
      <c r="Y37" s="211">
        <v>0.85629999999999995</v>
      </c>
      <c r="AB37" s="277"/>
      <c r="AC37" s="189" t="s">
        <v>146</v>
      </c>
      <c r="AD37" s="281"/>
      <c r="AE37" s="282"/>
      <c r="AF37" s="167">
        <v>1.343</v>
      </c>
      <c r="AG37" s="167">
        <v>0.85270000000000001</v>
      </c>
    </row>
    <row r="38" spans="2:33" x14ac:dyDescent="0.25">
      <c r="B38" s="278"/>
      <c r="C38" s="189" t="s">
        <v>147</v>
      </c>
      <c r="D38" s="283"/>
      <c r="E38" s="284"/>
      <c r="F38" s="167"/>
      <c r="G38" s="167"/>
      <c r="L38" s="278"/>
      <c r="M38" s="189" t="s">
        <v>147</v>
      </c>
      <c r="N38" s="283"/>
      <c r="O38" s="284"/>
      <c r="P38" s="167">
        <v>1.5424</v>
      </c>
      <c r="Q38" s="167">
        <v>0.77249999999999996</v>
      </c>
      <c r="T38" s="287"/>
      <c r="U38" s="189" t="s">
        <v>147</v>
      </c>
      <c r="V38" s="290"/>
      <c r="W38" s="291"/>
      <c r="X38" s="167">
        <v>1.5122</v>
      </c>
      <c r="Y38" s="211">
        <v>0.82199999999999995</v>
      </c>
      <c r="AB38" s="278"/>
      <c r="AC38" s="189" t="s">
        <v>147</v>
      </c>
      <c r="AD38" s="283"/>
      <c r="AE38" s="284"/>
      <c r="AF38" s="167">
        <v>1.478</v>
      </c>
      <c r="AG38" s="167">
        <v>0.80289999999999995</v>
      </c>
    </row>
    <row r="39" spans="2:33" x14ac:dyDescent="0.25">
      <c r="D39">
        <f>365*15</f>
        <v>5475</v>
      </c>
      <c r="F39" s="212">
        <f>SUM(F3:F38)/33</f>
        <v>1.4300969696969701</v>
      </c>
      <c r="G39" s="212">
        <f>SUM(G3:G38)/33</f>
        <v>0.83194242424242404</v>
      </c>
      <c r="N39">
        <f>365*15</f>
        <v>5475</v>
      </c>
      <c r="P39" s="212">
        <f>SUM(P3:P38)/36</f>
        <v>1.3364444444444445</v>
      </c>
      <c r="Q39" s="212">
        <f>SUM(Q3:Q38)/36</f>
        <v>0.77734444444444462</v>
      </c>
      <c r="U39" s="89"/>
      <c r="V39" s="89"/>
      <c r="W39" s="89"/>
      <c r="X39" s="213">
        <f>SUM(X3:X38)/36</f>
        <v>1.3262777777777777</v>
      </c>
      <c r="Y39" s="213">
        <f>SUM(Y3:Y38)/36</f>
        <v>0.82241944444444437</v>
      </c>
      <c r="AB39" s="89"/>
      <c r="AC39" s="89"/>
      <c r="AD39" s="89"/>
      <c r="AE39" s="89"/>
      <c r="AF39" s="213">
        <f t="shared" ref="AF39:AG39" si="0">SUM(AF3:AF38)/36</f>
        <v>1.2346083333333333</v>
      </c>
      <c r="AG39" s="213">
        <f t="shared" si="0"/>
        <v>0.78209166666666663</v>
      </c>
    </row>
  </sheetData>
  <mergeCells count="100">
    <mergeCell ref="AB33:AB35"/>
    <mergeCell ref="AD33:AE35"/>
    <mergeCell ref="B36:B38"/>
    <mergeCell ref="D36:E38"/>
    <mergeCell ref="L36:L38"/>
    <mergeCell ref="N36:O38"/>
    <mergeCell ref="T36:T38"/>
    <mergeCell ref="V36:W38"/>
    <mergeCell ref="AB36:AB38"/>
    <mergeCell ref="AD36:AE38"/>
    <mergeCell ref="B33:B35"/>
    <mergeCell ref="D33:E35"/>
    <mergeCell ref="L33:L35"/>
    <mergeCell ref="N33:O35"/>
    <mergeCell ref="T33:T35"/>
    <mergeCell ref="V33:W35"/>
    <mergeCell ref="AB27:AB29"/>
    <mergeCell ref="AD27:AE29"/>
    <mergeCell ref="B30:B32"/>
    <mergeCell ref="D30:E32"/>
    <mergeCell ref="L30:L32"/>
    <mergeCell ref="N30:O32"/>
    <mergeCell ref="T30:T32"/>
    <mergeCell ref="V30:W32"/>
    <mergeCell ref="AB30:AB32"/>
    <mergeCell ref="AD30:AE32"/>
    <mergeCell ref="B27:B29"/>
    <mergeCell ref="D27:E29"/>
    <mergeCell ref="L27:L29"/>
    <mergeCell ref="N27:O29"/>
    <mergeCell ref="T27:T29"/>
    <mergeCell ref="V27:W29"/>
    <mergeCell ref="AB21:AB23"/>
    <mergeCell ref="AD21:AE23"/>
    <mergeCell ref="B24:B26"/>
    <mergeCell ref="D24:E26"/>
    <mergeCell ref="L24:L26"/>
    <mergeCell ref="N24:O26"/>
    <mergeCell ref="T24:T26"/>
    <mergeCell ref="V24:W26"/>
    <mergeCell ref="AB24:AB26"/>
    <mergeCell ref="AD24:AE26"/>
    <mergeCell ref="B21:B23"/>
    <mergeCell ref="D21:E23"/>
    <mergeCell ref="L21:L23"/>
    <mergeCell ref="N21:O23"/>
    <mergeCell ref="T21:T23"/>
    <mergeCell ref="V21:W23"/>
    <mergeCell ref="AB15:AB17"/>
    <mergeCell ref="AD15:AE17"/>
    <mergeCell ref="B18:B20"/>
    <mergeCell ref="D18:E20"/>
    <mergeCell ref="L18:L20"/>
    <mergeCell ref="N18:O20"/>
    <mergeCell ref="T18:T20"/>
    <mergeCell ref="V18:W20"/>
    <mergeCell ref="AB18:AB20"/>
    <mergeCell ref="AD18:AE20"/>
    <mergeCell ref="B15:B17"/>
    <mergeCell ref="D15:E17"/>
    <mergeCell ref="L15:L17"/>
    <mergeCell ref="N15:O17"/>
    <mergeCell ref="T15:T17"/>
    <mergeCell ref="V15:W17"/>
    <mergeCell ref="V12:W14"/>
    <mergeCell ref="AB12:AB14"/>
    <mergeCell ref="AD12:AE14"/>
    <mergeCell ref="B9:B11"/>
    <mergeCell ref="D9:E11"/>
    <mergeCell ref="L9:L11"/>
    <mergeCell ref="N9:O11"/>
    <mergeCell ref="T9:T11"/>
    <mergeCell ref="V9:W11"/>
    <mergeCell ref="B12:B14"/>
    <mergeCell ref="D12:E14"/>
    <mergeCell ref="L12:L14"/>
    <mergeCell ref="N12:O14"/>
    <mergeCell ref="T12:T14"/>
    <mergeCell ref="V6:W8"/>
    <mergeCell ref="AB6:AB8"/>
    <mergeCell ref="AD6:AE8"/>
    <mergeCell ref="AB9:AB11"/>
    <mergeCell ref="AD9:AE11"/>
    <mergeCell ref="B6:B8"/>
    <mergeCell ref="D6:E8"/>
    <mergeCell ref="L6:L8"/>
    <mergeCell ref="N6:O8"/>
    <mergeCell ref="T6:T8"/>
    <mergeCell ref="D2:E2"/>
    <mergeCell ref="N2:O2"/>
    <mergeCell ref="V2:W2"/>
    <mergeCell ref="AD2:AE2"/>
    <mergeCell ref="B3:B5"/>
    <mergeCell ref="D3:E5"/>
    <mergeCell ref="L3:L5"/>
    <mergeCell ref="N3:O5"/>
    <mergeCell ref="T3:T5"/>
    <mergeCell ref="V3:W5"/>
    <mergeCell ref="AB3:AB5"/>
    <mergeCell ref="AD3:AE5"/>
  </mergeCells>
  <pageMargins left="0.7" right="0.7" top="0.75" bottom="0.75" header="0.3" footer="0.3"/>
  <pageSetup paperSize="9" orientation="portrait" horizontalDpi="180" verticalDpi="18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H25"/>
  <sheetViews>
    <sheetView topLeftCell="A4" workbookViewId="0">
      <selection activeCell="C6" sqref="C6:H25"/>
    </sheetView>
  </sheetViews>
  <sheetFormatPr defaultRowHeight="15" x14ac:dyDescent="0.25"/>
  <cols>
    <col min="4" max="4" width="11.5703125" customWidth="1"/>
    <col min="5" max="5" width="32" customWidth="1"/>
    <col min="6" max="6" width="13.140625" customWidth="1"/>
    <col min="7" max="7" width="12.85546875" customWidth="1"/>
    <col min="8" max="8" width="27.85546875" customWidth="1"/>
  </cols>
  <sheetData>
    <row r="6" spans="3:8" ht="21" x14ac:dyDescent="0.35">
      <c r="C6" s="214" t="s">
        <v>340</v>
      </c>
    </row>
    <row r="9" spans="3:8" ht="57" x14ac:dyDescent="0.25">
      <c r="C9" s="215" t="s">
        <v>329</v>
      </c>
      <c r="D9" s="215" t="s">
        <v>339</v>
      </c>
      <c r="E9" s="216" t="s">
        <v>331</v>
      </c>
      <c r="F9" s="216" t="s">
        <v>332</v>
      </c>
      <c r="G9" s="216" t="s">
        <v>333</v>
      </c>
      <c r="H9" s="217" t="s">
        <v>334</v>
      </c>
    </row>
    <row r="10" spans="3:8" x14ac:dyDescent="0.25">
      <c r="C10" s="187">
        <v>1</v>
      </c>
      <c r="D10" s="220">
        <v>43556</v>
      </c>
      <c r="E10" s="187">
        <f>30*15</f>
        <v>450</v>
      </c>
      <c r="F10" s="221">
        <f>(Sheet30!F3+Sheet30!F4+Sheet30!F5)/3</f>
        <v>1.4514333333333334</v>
      </c>
      <c r="G10" s="221">
        <f>(Sheet30!G3+Sheet30!G4+Sheet30!G5)/3</f>
        <v>0.86256666666666659</v>
      </c>
      <c r="H10" s="89"/>
    </row>
    <row r="11" spans="3:8" x14ac:dyDescent="0.25">
      <c r="C11" s="187">
        <v>2</v>
      </c>
      <c r="D11" s="220">
        <v>43586</v>
      </c>
      <c r="E11" s="187">
        <f>15*31</f>
        <v>465</v>
      </c>
      <c r="F11" s="221">
        <f>(Sheet30!F6+Sheet30!F7+Sheet30!F8)/3</f>
        <v>1.3510666666666669</v>
      </c>
      <c r="G11" s="221">
        <f>(Sheet30!G6+Sheet30!G7+Sheet30!G8)/3</f>
        <v>0.82513333333333339</v>
      </c>
      <c r="H11" s="89"/>
    </row>
    <row r="12" spans="3:8" x14ac:dyDescent="0.25">
      <c r="C12" s="187">
        <v>3</v>
      </c>
      <c r="D12" s="220">
        <v>43617</v>
      </c>
      <c r="E12" s="187">
        <f>15*30</f>
        <v>450</v>
      </c>
      <c r="F12" s="221">
        <f>(Sheet30!F9+Sheet30!F10+Sheet30!F11)/3</f>
        <v>1.4517333333333333</v>
      </c>
      <c r="G12" s="221">
        <f>(Sheet30!G9+Sheet30!G10+Sheet30!G11)/3</f>
        <v>0.84463333333333335</v>
      </c>
      <c r="H12" s="89"/>
    </row>
    <row r="13" spans="3:8" x14ac:dyDescent="0.25">
      <c r="C13" s="187">
        <v>4</v>
      </c>
      <c r="D13" s="220">
        <v>43647</v>
      </c>
      <c r="E13" s="187">
        <f>31*15</f>
        <v>465</v>
      </c>
      <c r="F13" s="221">
        <f>(Sheet30!F12+Sheet30!F13+Sheet30!F14)/3</f>
        <v>1.4814666666666667</v>
      </c>
      <c r="G13" s="221">
        <f>(Sheet30!G12+Sheet30!G13+Sheet30!G14)/3</f>
        <v>0.83526666666666671</v>
      </c>
      <c r="H13" s="89"/>
    </row>
    <row r="14" spans="3:8" x14ac:dyDescent="0.25">
      <c r="C14" s="187">
        <v>5</v>
      </c>
      <c r="D14" s="220">
        <v>43678</v>
      </c>
      <c r="E14" s="187">
        <f>31*15</f>
        <v>465</v>
      </c>
      <c r="F14" s="221">
        <f>(Sheet30!F15+Sheet30!F16+Sheet30!F17)/3</f>
        <v>1.4238</v>
      </c>
      <c r="G14" s="221">
        <f>(Sheet30!G15+Sheet30!G16+Sheet30!G17)/3</f>
        <v>0.86333333333333329</v>
      </c>
      <c r="H14" s="89"/>
    </row>
    <row r="15" spans="3:8" x14ac:dyDescent="0.25">
      <c r="C15" s="187">
        <v>6</v>
      </c>
      <c r="D15" s="220">
        <v>43709</v>
      </c>
      <c r="E15" s="187">
        <f>30*15</f>
        <v>450</v>
      </c>
      <c r="F15" s="221">
        <f>(Sheet30!F18+Sheet30!F19+Sheet30!F20)/3</f>
        <v>1.3890666666666667</v>
      </c>
      <c r="G15" s="221">
        <f>(Sheet30!G18+Sheet30!G19+Sheet30!G20)/3</f>
        <v>0.80666666666666664</v>
      </c>
      <c r="H15" s="89"/>
    </row>
    <row r="16" spans="3:8" x14ac:dyDescent="0.25">
      <c r="C16" s="187">
        <v>7</v>
      </c>
      <c r="D16" s="220">
        <v>43739</v>
      </c>
      <c r="E16" s="187">
        <f>31*15</f>
        <v>465</v>
      </c>
      <c r="F16" s="221">
        <f>(Sheet30!F21+Sheet30!F22+Sheet30!F23)/3</f>
        <v>1.4778666666666667</v>
      </c>
      <c r="G16" s="221">
        <f>(Sheet30!G21+Sheet30!G22+Sheet30!G23)/3</f>
        <v>0.83983333333333332</v>
      </c>
      <c r="H16" s="89"/>
    </row>
    <row r="17" spans="3:8" x14ac:dyDescent="0.25">
      <c r="C17" s="187">
        <v>8</v>
      </c>
      <c r="D17" s="220">
        <v>43770</v>
      </c>
      <c r="E17" s="187">
        <f>30*15</f>
        <v>450</v>
      </c>
      <c r="F17" s="221">
        <f>(Sheet30!F24+Sheet30!F25+Sheet30!F26)/3</f>
        <v>1.2557</v>
      </c>
      <c r="G17" s="221">
        <f>(Sheet30!G24+Sheet30!G25+Sheet30!G26)/3</f>
        <v>0.77243333333333331</v>
      </c>
      <c r="H17" s="89"/>
    </row>
    <row r="18" spans="3:8" x14ac:dyDescent="0.25">
      <c r="C18" s="187">
        <v>9</v>
      </c>
      <c r="D18" s="220">
        <v>43800</v>
      </c>
      <c r="E18" s="187">
        <f>31*15</f>
        <v>465</v>
      </c>
      <c r="F18" s="221">
        <f>(Sheet30!F27+Sheet30!F28+Sheet30!F29)/3</f>
        <v>1.5035666666666667</v>
      </c>
      <c r="G18" s="221">
        <f>(Sheet30!G27+Sheet30!G28+Sheet30!G29)/3</f>
        <v>0.85170000000000001</v>
      </c>
      <c r="H18" s="89"/>
    </row>
    <row r="19" spans="3:8" x14ac:dyDescent="0.25">
      <c r="C19" s="187">
        <v>10</v>
      </c>
      <c r="D19" s="220">
        <v>43831</v>
      </c>
      <c r="E19" s="187">
        <f>31*15</f>
        <v>465</v>
      </c>
      <c r="F19" s="221">
        <f>(Sheet30!F30+Sheet30!F31+Sheet30!F32)/3</f>
        <v>1.4540333333333333</v>
      </c>
      <c r="G19" s="221">
        <f>(Sheet30!G30+Sheet30!G31+Sheet30!G32)/3</f>
        <v>0.8353666666666667</v>
      </c>
      <c r="H19" s="89"/>
    </row>
    <row r="20" spans="3:8" x14ac:dyDescent="0.25">
      <c r="C20" s="187">
        <v>11</v>
      </c>
      <c r="D20" s="222">
        <v>43862</v>
      </c>
      <c r="E20" s="187">
        <f>29*15</f>
        <v>435</v>
      </c>
      <c r="F20" s="221">
        <f>(Sheet30!F33+Sheet30!F34+Sheet30!F35)/3</f>
        <v>1.4913333333333334</v>
      </c>
      <c r="G20" s="221">
        <f>(Sheet30!G33+Sheet30!G34+Sheet30!G35)/3</f>
        <v>0.81443333333333323</v>
      </c>
      <c r="H20" s="89"/>
    </row>
    <row r="24" spans="3:8" x14ac:dyDescent="0.25">
      <c r="H24" s="219" t="s">
        <v>338</v>
      </c>
    </row>
    <row r="25" spans="3:8" x14ac:dyDescent="0.25">
      <c r="H25" s="219" t="s">
        <v>116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horizontalDpi="180" verticalDpi="18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34"/>
  <sheetViews>
    <sheetView workbookViewId="0">
      <selection sqref="A1:XFD1048576"/>
    </sheetView>
  </sheetViews>
  <sheetFormatPr defaultRowHeight="15" x14ac:dyDescent="0.25"/>
  <cols>
    <col min="5" max="5" width="14.5703125" customWidth="1"/>
    <col min="6" max="6" width="36.7109375" customWidth="1"/>
    <col min="7" max="7" width="12.85546875" customWidth="1"/>
  </cols>
  <sheetData>
    <row r="6" spans="4:8" ht="21" x14ac:dyDescent="0.35">
      <c r="E6" s="214" t="s">
        <v>328</v>
      </c>
    </row>
    <row r="9" spans="4:8" ht="42.75" x14ac:dyDescent="0.25">
      <c r="D9" s="215" t="s">
        <v>329</v>
      </c>
      <c r="E9" s="215" t="s">
        <v>330</v>
      </c>
      <c r="F9" s="216" t="s">
        <v>331</v>
      </c>
      <c r="G9" s="216" t="s">
        <v>332</v>
      </c>
      <c r="H9" s="216" t="s">
        <v>333</v>
      </c>
    </row>
    <row r="10" spans="4:8" x14ac:dyDescent="0.25">
      <c r="D10" s="187">
        <v>1</v>
      </c>
      <c r="E10" s="187" t="s">
        <v>335</v>
      </c>
      <c r="F10" s="187">
        <v>5475</v>
      </c>
      <c r="G10" s="218">
        <v>1.3364444444444445</v>
      </c>
      <c r="H10" s="218">
        <v>0.77734444444444462</v>
      </c>
    </row>
    <row r="11" spans="4:8" x14ac:dyDescent="0.25">
      <c r="D11" s="187">
        <v>2</v>
      </c>
      <c r="E11" s="187" t="s">
        <v>336</v>
      </c>
      <c r="F11" s="187">
        <v>5475</v>
      </c>
      <c r="G11" s="218">
        <v>1.3262777777777777</v>
      </c>
      <c r="H11" s="218">
        <v>0.82241944444444437</v>
      </c>
    </row>
    <row r="12" spans="4:8" x14ac:dyDescent="0.25">
      <c r="D12" s="187">
        <v>3</v>
      </c>
      <c r="E12" s="187" t="s">
        <v>337</v>
      </c>
      <c r="F12" s="187">
        <v>5475</v>
      </c>
      <c r="G12" s="218">
        <v>1.2346083333333333</v>
      </c>
      <c r="H12" s="218">
        <v>0.78209166666666663</v>
      </c>
    </row>
    <row r="13" spans="4:8" x14ac:dyDescent="0.25">
      <c r="D13" s="187"/>
      <c r="E13" s="187"/>
      <c r="F13" s="187"/>
      <c r="G13" s="187"/>
      <c r="H13" s="187"/>
    </row>
    <row r="33" spans="6:6" x14ac:dyDescent="0.25">
      <c r="F33" s="219" t="s">
        <v>338</v>
      </c>
    </row>
    <row r="34" spans="6:6" x14ac:dyDescent="0.25">
      <c r="F34" s="219" t="s">
        <v>116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5"/>
  <sheetViews>
    <sheetView topLeftCell="A22" workbookViewId="0">
      <selection activeCell="D34" sqref="D34"/>
    </sheetView>
  </sheetViews>
  <sheetFormatPr defaultRowHeight="15" x14ac:dyDescent="0.25"/>
  <cols>
    <col min="2" max="2" width="14.140625" customWidth="1"/>
    <col min="3" max="3" width="17.5703125" customWidth="1"/>
    <col min="4" max="4" width="23.28515625" customWidth="1"/>
    <col min="5" max="5" width="22.85546875" customWidth="1"/>
    <col min="6" max="6" width="12.7109375" customWidth="1"/>
    <col min="7" max="8" width="13.28515625" customWidth="1"/>
    <col min="9" max="9" width="13.7109375" customWidth="1"/>
    <col min="10" max="10" width="16.7109375" customWidth="1"/>
    <col min="11" max="11" width="16.28515625" customWidth="1"/>
    <col min="12" max="12" width="16.7109375" customWidth="1"/>
    <col min="15" max="15" width="13.7109375" customWidth="1"/>
    <col min="16" max="16" width="15.140625" customWidth="1"/>
  </cols>
  <sheetData>
    <row r="1" spans="2:16" ht="20.25" x14ac:dyDescent="0.3">
      <c r="B1" t="s">
        <v>359</v>
      </c>
      <c r="E1" s="234" t="s">
        <v>360</v>
      </c>
    </row>
    <row r="2" spans="2:16" ht="20.25" x14ac:dyDescent="0.3">
      <c r="B2" s="233"/>
      <c r="C2" s="233"/>
      <c r="D2" s="233"/>
      <c r="E2" s="234" t="s">
        <v>361</v>
      </c>
      <c r="G2" s="233"/>
      <c r="H2" s="233"/>
    </row>
    <row r="4" spans="2:16" ht="20.25" customHeight="1" x14ac:dyDescent="0.4">
      <c r="B4" s="235" t="s">
        <v>362</v>
      </c>
      <c r="C4" s="192"/>
      <c r="D4" s="233"/>
      <c r="E4" s="236"/>
      <c r="F4" s="233"/>
      <c r="G4" s="233"/>
      <c r="H4" s="233"/>
    </row>
    <row r="5" spans="2:16" ht="20.25" customHeight="1" x14ac:dyDescent="0.4">
      <c r="B5" s="235" t="s">
        <v>363</v>
      </c>
      <c r="C5" s="192"/>
      <c r="D5" s="233"/>
      <c r="E5" s="236"/>
      <c r="F5" s="233"/>
      <c r="G5" s="233"/>
      <c r="H5" s="233"/>
    </row>
    <row r="7" spans="2:16" ht="0.75" customHeight="1" x14ac:dyDescent="0.25"/>
    <row r="8" spans="2:16" ht="18.75" x14ac:dyDescent="0.3">
      <c r="D8" s="237" t="s">
        <v>349</v>
      </c>
    </row>
    <row r="10" spans="2:16" ht="60" x14ac:dyDescent="0.25">
      <c r="B10" s="191" t="s">
        <v>341</v>
      </c>
      <c r="C10" s="191" t="s">
        <v>342</v>
      </c>
      <c r="D10" s="191" t="s">
        <v>343</v>
      </c>
      <c r="E10" s="223" t="s">
        <v>348</v>
      </c>
      <c r="F10" s="223" t="s">
        <v>344</v>
      </c>
      <c r="G10" s="223" t="s">
        <v>345</v>
      </c>
      <c r="H10" s="223" t="s">
        <v>347</v>
      </c>
      <c r="I10" s="223" t="s">
        <v>346</v>
      </c>
      <c r="J10" s="223" t="s">
        <v>352</v>
      </c>
      <c r="K10" s="223" t="s">
        <v>353</v>
      </c>
      <c r="L10" s="229" t="s">
        <v>354</v>
      </c>
      <c r="O10" s="230">
        <v>833333.3</v>
      </c>
      <c r="P10" s="231">
        <v>862193.73</v>
      </c>
    </row>
    <row r="11" spans="2:16" s="224" customFormat="1" ht="45" x14ac:dyDescent="0.25">
      <c r="B11" s="187" t="s">
        <v>54</v>
      </c>
      <c r="C11" s="225" t="s">
        <v>350</v>
      </c>
      <c r="D11" s="226" t="s">
        <v>357</v>
      </c>
      <c r="E11" s="187">
        <f>8*3*31</f>
        <v>744</v>
      </c>
      <c r="F11" s="227">
        <f>(51.3+44+31.05)/3</f>
        <v>42.116666666666667</v>
      </c>
      <c r="G11" s="187">
        <f>(35.1+33.15+17.1)/3</f>
        <v>28.45</v>
      </c>
      <c r="H11" s="187">
        <f>57/60</f>
        <v>0.95</v>
      </c>
      <c r="I11" s="187">
        <f>(110.1+108.15+114)/3</f>
        <v>110.75</v>
      </c>
      <c r="J11" s="227">
        <f>E11-(F11+G11+H11)</f>
        <v>672.48333333333335</v>
      </c>
      <c r="K11" s="228">
        <f>J11/E11</f>
        <v>0.90387544802867381</v>
      </c>
      <c r="L11" s="228">
        <f>P10/O10</f>
        <v>1.0346325173853006</v>
      </c>
    </row>
    <row r="12" spans="2:16" x14ac:dyDescent="0.25">
      <c r="F12" t="s">
        <v>351</v>
      </c>
    </row>
    <row r="15" spans="2:16" ht="18.75" x14ac:dyDescent="0.3">
      <c r="D15" s="237" t="s">
        <v>355</v>
      </c>
    </row>
    <row r="17" spans="2:16" ht="60" x14ac:dyDescent="0.25">
      <c r="B17" s="191" t="s">
        <v>341</v>
      </c>
      <c r="C17" s="191" t="s">
        <v>342</v>
      </c>
      <c r="D17" s="191" t="s">
        <v>343</v>
      </c>
      <c r="E17" s="223" t="s">
        <v>348</v>
      </c>
      <c r="F17" s="223" t="s">
        <v>344</v>
      </c>
      <c r="G17" s="223" t="s">
        <v>345</v>
      </c>
      <c r="H17" s="223" t="s">
        <v>347</v>
      </c>
      <c r="I17" s="223" t="s">
        <v>346</v>
      </c>
      <c r="J17" s="223" t="s">
        <v>352</v>
      </c>
      <c r="K17" s="226" t="s">
        <v>353</v>
      </c>
      <c r="L17" s="229" t="s">
        <v>354</v>
      </c>
      <c r="O17" s="230">
        <v>833333.3</v>
      </c>
      <c r="P17" s="231">
        <v>772986.59</v>
      </c>
    </row>
    <row r="18" spans="2:16" ht="45" x14ac:dyDescent="0.25">
      <c r="B18" s="187" t="s">
        <v>54</v>
      </c>
      <c r="C18" s="225" t="s">
        <v>350</v>
      </c>
      <c r="D18" s="226" t="s">
        <v>358</v>
      </c>
      <c r="E18" s="187">
        <f>8*3*29</f>
        <v>696</v>
      </c>
      <c r="F18" s="227">
        <f>(33+4.05+13.35)/3</f>
        <v>16.8</v>
      </c>
      <c r="G18" s="187">
        <f>(45+8.5+13.1)/3</f>
        <v>22.2</v>
      </c>
      <c r="H18" s="187">
        <f>54/60</f>
        <v>0.9</v>
      </c>
      <c r="I18" s="227">
        <f>(119.3+110.35+131.05)/3</f>
        <v>120.23333333333333</v>
      </c>
      <c r="J18" s="227">
        <f>E18-(F18+G18+H18)</f>
        <v>656.1</v>
      </c>
      <c r="K18" s="228">
        <f>J18/E18</f>
        <v>0.94267241379310351</v>
      </c>
      <c r="L18" s="228">
        <f>P17/O17</f>
        <v>0.92758394510335773</v>
      </c>
    </row>
    <row r="21" spans="2:16" x14ac:dyDescent="0.25">
      <c r="B21" t="s">
        <v>356</v>
      </c>
    </row>
    <row r="25" spans="2:16" x14ac:dyDescent="0.25">
      <c r="K25" t="s">
        <v>53</v>
      </c>
    </row>
    <row r="26" spans="2:16" x14ac:dyDescent="0.25">
      <c r="K26" t="s">
        <v>116</v>
      </c>
    </row>
    <row r="28" spans="2:16" ht="20.25" x14ac:dyDescent="0.3">
      <c r="E28" s="234" t="s">
        <v>360</v>
      </c>
    </row>
    <row r="29" spans="2:16" ht="20.25" x14ac:dyDescent="0.3">
      <c r="E29" s="234" t="s">
        <v>361</v>
      </c>
    </row>
    <row r="34" spans="2:16" ht="18.75" x14ac:dyDescent="0.3">
      <c r="D34" s="237" t="s">
        <v>364</v>
      </c>
    </row>
    <row r="36" spans="2:16" ht="60" x14ac:dyDescent="0.25">
      <c r="B36" s="232" t="s">
        <v>341</v>
      </c>
      <c r="C36" s="232" t="s">
        <v>342</v>
      </c>
      <c r="D36" s="232" t="s">
        <v>343</v>
      </c>
      <c r="E36" s="223" t="s">
        <v>348</v>
      </c>
      <c r="F36" s="223" t="s">
        <v>344</v>
      </c>
      <c r="G36" s="223" t="s">
        <v>345</v>
      </c>
      <c r="H36" s="223" t="s">
        <v>347</v>
      </c>
      <c r="I36" s="223" t="s">
        <v>346</v>
      </c>
      <c r="J36" s="223" t="s">
        <v>352</v>
      </c>
      <c r="K36" s="226" t="s">
        <v>353</v>
      </c>
      <c r="L36" s="229" t="s">
        <v>354</v>
      </c>
      <c r="O36" s="230">
        <v>833333.3</v>
      </c>
      <c r="P36" s="231">
        <v>860562.42</v>
      </c>
    </row>
    <row r="37" spans="2:16" ht="45" x14ac:dyDescent="0.25">
      <c r="B37" s="187" t="s">
        <v>54</v>
      </c>
      <c r="C37" s="225" t="s">
        <v>350</v>
      </c>
      <c r="D37" s="226" t="s">
        <v>365</v>
      </c>
      <c r="E37" s="187">
        <f>8*3*31</f>
        <v>744</v>
      </c>
      <c r="F37" s="227">
        <f>(33+4.05+13.35)/3</f>
        <v>16.8</v>
      </c>
      <c r="G37" s="187">
        <f>(45+8.5+13.1)/3</f>
        <v>22.2</v>
      </c>
      <c r="H37" s="187">
        <v>0</v>
      </c>
      <c r="I37" s="227">
        <f>(119.3+110.35+131.05)/3</f>
        <v>120.23333333333333</v>
      </c>
      <c r="J37" s="227">
        <f>E37-(F37+G37+H37)</f>
        <v>705</v>
      </c>
      <c r="K37" s="228">
        <f>J37/E37</f>
        <v>0.94758064516129037</v>
      </c>
      <c r="L37" s="228">
        <f>P36/O36</f>
        <v>1.0326749453069979</v>
      </c>
    </row>
    <row r="39" spans="2:16" x14ac:dyDescent="0.25">
      <c r="B39" t="s">
        <v>356</v>
      </c>
    </row>
    <row r="44" spans="2:16" x14ac:dyDescent="0.25">
      <c r="K44" t="s">
        <v>53</v>
      </c>
    </row>
    <row r="45" spans="2:16" x14ac:dyDescent="0.25">
      <c r="K45" t="s">
        <v>116</v>
      </c>
    </row>
  </sheetData>
  <pageMargins left="0.70866141732283472" right="0.70866141732283472" top="0.74803149606299213" bottom="0.74803149606299213" header="0.31496062992125984" footer="0.31496062992125984"/>
  <pageSetup paperSize="9" scale="55" orientation="landscape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8"/>
  <sheetViews>
    <sheetView topLeftCell="A28" workbookViewId="0">
      <selection activeCell="B3" sqref="B3:K48"/>
    </sheetView>
  </sheetViews>
  <sheetFormatPr defaultRowHeight="15" x14ac:dyDescent="0.25"/>
  <cols>
    <col min="2" max="2" width="14.140625" customWidth="1"/>
    <col min="3" max="3" width="16.28515625" customWidth="1"/>
    <col min="4" max="4" width="12" customWidth="1"/>
    <col min="5" max="5" width="12.28515625" customWidth="1"/>
    <col min="6" max="6" width="11.42578125" customWidth="1"/>
    <col min="7" max="7" width="9.5703125" customWidth="1"/>
    <col min="8" max="8" width="14.28515625" customWidth="1"/>
    <col min="9" max="9" width="12" customWidth="1"/>
    <col min="10" max="10" width="13.140625" customWidth="1"/>
    <col min="11" max="11" width="13.5703125" customWidth="1"/>
  </cols>
  <sheetData>
    <row r="1" spans="2:11" x14ac:dyDescent="0.25">
      <c r="D1" s="240"/>
      <c r="E1" s="240"/>
      <c r="F1" s="292"/>
    </row>
    <row r="2" spans="2:11" x14ac:dyDescent="0.25">
      <c r="D2" s="240"/>
      <c r="E2" s="240"/>
      <c r="F2" s="292"/>
    </row>
    <row r="3" spans="2:11" ht="18.75" x14ac:dyDescent="0.3">
      <c r="B3" s="237" t="s">
        <v>369</v>
      </c>
      <c r="D3" s="241"/>
      <c r="E3" s="241"/>
      <c r="F3" s="241"/>
    </row>
    <row r="4" spans="2:11" x14ac:dyDescent="0.25">
      <c r="D4" s="241"/>
      <c r="E4" s="241"/>
      <c r="F4" s="241"/>
    </row>
    <row r="5" spans="2:11" ht="60" x14ac:dyDescent="0.25">
      <c r="B5" s="238" t="s">
        <v>366</v>
      </c>
      <c r="C5" s="223" t="s">
        <v>370</v>
      </c>
      <c r="D5" s="223" t="s">
        <v>344</v>
      </c>
      <c r="E5" s="223" t="s">
        <v>345</v>
      </c>
      <c r="F5" s="223" t="s">
        <v>347</v>
      </c>
      <c r="G5" s="223" t="s">
        <v>346</v>
      </c>
      <c r="H5" s="223" t="s">
        <v>352</v>
      </c>
      <c r="I5" s="223" t="s">
        <v>353</v>
      </c>
      <c r="J5" s="223" t="s">
        <v>367</v>
      </c>
      <c r="K5" s="229" t="s">
        <v>368</v>
      </c>
    </row>
    <row r="6" spans="2:11" x14ac:dyDescent="0.25">
      <c r="B6" s="242">
        <v>42826</v>
      </c>
      <c r="C6" s="243">
        <f>8*3*30</f>
        <v>720</v>
      </c>
      <c r="D6" s="227">
        <f>(81.2+100.15+34.45)/3</f>
        <v>71.933333333333337</v>
      </c>
      <c r="E6" s="227">
        <f>(31.15+42+78.55)/3</f>
        <v>50.566666666666663</v>
      </c>
      <c r="F6" s="227">
        <v>0</v>
      </c>
      <c r="G6" s="227">
        <f>(96+85.5+156.35)/3</f>
        <v>112.61666666666667</v>
      </c>
      <c r="H6" s="227">
        <f>C6-(D6+E6+F6)</f>
        <v>597.5</v>
      </c>
      <c r="I6" s="228">
        <f>H6/C6</f>
        <v>0.82986111111111116</v>
      </c>
      <c r="J6" s="239">
        <f>H6-G6</f>
        <v>484.88333333333333</v>
      </c>
      <c r="K6" s="228">
        <f>J6/C6</f>
        <v>0.67344907407407406</v>
      </c>
    </row>
    <row r="7" spans="2:11" x14ac:dyDescent="0.25">
      <c r="B7" s="242">
        <v>42856</v>
      </c>
      <c r="C7" s="243">
        <f t="shared" ref="C7:C17" si="0">8*3*31</f>
        <v>744</v>
      </c>
      <c r="D7" s="227">
        <f>(47.3+61.5+3.15)/3</f>
        <v>37.31666666666667</v>
      </c>
      <c r="E7" s="227">
        <f>(71.45+37.5+69.1)/3</f>
        <v>59.35</v>
      </c>
      <c r="F7" s="227">
        <v>0</v>
      </c>
      <c r="G7" s="227">
        <f>(81.3+82.45+170.05)/3</f>
        <v>111.26666666666667</v>
      </c>
      <c r="H7" s="227">
        <f t="shared" ref="H7:H17" si="1">C7-(D7+E7+F7)</f>
        <v>647.33333333333337</v>
      </c>
      <c r="I7" s="228">
        <f t="shared" ref="I7:I17" si="2">H7/C7</f>
        <v>0.8700716845878137</v>
      </c>
      <c r="J7" s="239">
        <f t="shared" ref="J7:J17" si="3">H7-G7</f>
        <v>536.06666666666672</v>
      </c>
      <c r="K7" s="228">
        <f t="shared" ref="K7:K17" si="4">J7/C7</f>
        <v>0.72051971326164876</v>
      </c>
    </row>
    <row r="8" spans="2:11" x14ac:dyDescent="0.25">
      <c r="B8" s="242">
        <v>42887</v>
      </c>
      <c r="C8" s="243">
        <f>8*3*30</f>
        <v>720</v>
      </c>
      <c r="D8" s="227">
        <f>(62.45+62.5+22.4)/3</f>
        <v>49.116666666666667</v>
      </c>
      <c r="E8" s="227">
        <f>(30.05+35+64.3)/3</f>
        <v>43.116666666666667</v>
      </c>
      <c r="F8" s="227">
        <v>0</v>
      </c>
      <c r="G8" s="227">
        <f>(98.45+100.25+137.45)/3</f>
        <v>112.05</v>
      </c>
      <c r="H8" s="227">
        <f t="shared" si="1"/>
        <v>627.76666666666665</v>
      </c>
      <c r="I8" s="228">
        <f t="shared" si="2"/>
        <v>0.87189814814814814</v>
      </c>
      <c r="J8" s="239">
        <f t="shared" si="3"/>
        <v>515.7166666666667</v>
      </c>
      <c r="K8" s="228">
        <f t="shared" si="4"/>
        <v>0.71627314814814824</v>
      </c>
    </row>
    <row r="9" spans="2:11" x14ac:dyDescent="0.25">
      <c r="B9" s="242">
        <v>42917</v>
      </c>
      <c r="C9" s="243">
        <f t="shared" si="0"/>
        <v>744</v>
      </c>
      <c r="D9" s="227">
        <f>(62.45+62.5+22.4)/3</f>
        <v>49.116666666666667</v>
      </c>
      <c r="E9" s="227">
        <f>(30.05+35+64.3)/3</f>
        <v>43.116666666666667</v>
      </c>
      <c r="F9" s="227">
        <v>0</v>
      </c>
      <c r="G9" s="227">
        <f>(98.45+100.25+137.45)/3</f>
        <v>112.05</v>
      </c>
      <c r="H9" s="227">
        <f t="shared" si="1"/>
        <v>651.76666666666665</v>
      </c>
      <c r="I9" s="228">
        <f t="shared" si="2"/>
        <v>0.87603046594982081</v>
      </c>
      <c r="J9" s="239">
        <f t="shared" si="3"/>
        <v>539.7166666666667</v>
      </c>
      <c r="K9" s="228">
        <f t="shared" si="4"/>
        <v>0.72542562724014337</v>
      </c>
    </row>
    <row r="10" spans="2:11" x14ac:dyDescent="0.25">
      <c r="B10" s="242">
        <v>42948</v>
      </c>
      <c r="C10" s="243">
        <f t="shared" si="0"/>
        <v>744</v>
      </c>
      <c r="D10" s="227">
        <f>(81.5+65.45+48.35)/3</f>
        <v>65.099999999999994</v>
      </c>
      <c r="E10" s="227">
        <f>(61.5+71.5+50.45)/3</f>
        <v>61.15</v>
      </c>
      <c r="F10" s="227">
        <v>0</v>
      </c>
      <c r="G10" s="227">
        <f>(102.1+118.5+145.4)/3</f>
        <v>122</v>
      </c>
      <c r="H10" s="227">
        <f t="shared" si="1"/>
        <v>617.75</v>
      </c>
      <c r="I10" s="228">
        <f t="shared" si="2"/>
        <v>0.83030913978494625</v>
      </c>
      <c r="J10" s="239">
        <f t="shared" si="3"/>
        <v>495.75</v>
      </c>
      <c r="K10" s="228">
        <f t="shared" si="4"/>
        <v>0.66633064516129037</v>
      </c>
    </row>
    <row r="11" spans="2:11" x14ac:dyDescent="0.25">
      <c r="B11" s="242">
        <v>42979</v>
      </c>
      <c r="C11" s="243">
        <f>8*3*30</f>
        <v>720</v>
      </c>
      <c r="D11" s="227">
        <f>(75.45+38.2+27.05)/3</f>
        <v>46.900000000000006</v>
      </c>
      <c r="E11" s="227">
        <f t="shared" ref="E11" si="5">(35.1+33.15+17.1)/3</f>
        <v>28.45</v>
      </c>
      <c r="F11" s="227">
        <v>0</v>
      </c>
      <c r="G11" s="227">
        <f t="shared" ref="G11" si="6">(110.1+108.15+114)/3</f>
        <v>110.75</v>
      </c>
      <c r="H11" s="227">
        <f t="shared" si="1"/>
        <v>644.65</v>
      </c>
      <c r="I11" s="228">
        <f t="shared" si="2"/>
        <v>0.89534722222222218</v>
      </c>
      <c r="J11" s="239">
        <f t="shared" si="3"/>
        <v>533.9</v>
      </c>
      <c r="K11" s="228">
        <f t="shared" si="4"/>
        <v>0.74152777777777779</v>
      </c>
    </row>
    <row r="12" spans="2:11" x14ac:dyDescent="0.25">
      <c r="B12" s="242">
        <v>43009</v>
      </c>
      <c r="C12" s="243">
        <f t="shared" si="0"/>
        <v>744</v>
      </c>
      <c r="D12" s="227">
        <f>(37.55+3.5+19)/3</f>
        <v>20.016666666666666</v>
      </c>
      <c r="E12" s="227">
        <f>(47.05+47.45+41.25)/3</f>
        <v>45.25</v>
      </c>
      <c r="F12" s="227">
        <v>0</v>
      </c>
      <c r="G12" s="227">
        <f>(111.35+92.45+148.45)/3</f>
        <v>117.41666666666667</v>
      </c>
      <c r="H12" s="227">
        <f t="shared" si="1"/>
        <v>678.73333333333335</v>
      </c>
      <c r="I12" s="228">
        <f t="shared" si="2"/>
        <v>0.91227598566308243</v>
      </c>
      <c r="J12" s="239">
        <f t="shared" si="3"/>
        <v>561.31666666666672</v>
      </c>
      <c r="K12" s="228">
        <f t="shared" si="4"/>
        <v>0.75445788530465951</v>
      </c>
    </row>
    <row r="13" spans="2:11" x14ac:dyDescent="0.25">
      <c r="B13" s="242">
        <v>43040</v>
      </c>
      <c r="C13" s="243">
        <f>8*3*30</f>
        <v>720</v>
      </c>
      <c r="D13" s="227">
        <f>(17.25+13.3+16.45)/3</f>
        <v>15.666666666666666</v>
      </c>
      <c r="E13" s="227">
        <f>(176.1+393.35+45.3)/3</f>
        <v>204.91666666666666</v>
      </c>
      <c r="F13" s="227">
        <v>0</v>
      </c>
      <c r="G13" s="227">
        <f>(68.05+47.4+123.25)/3</f>
        <v>79.566666666666663</v>
      </c>
      <c r="H13" s="227">
        <f t="shared" si="1"/>
        <v>499.41666666666669</v>
      </c>
      <c r="I13" s="228">
        <f t="shared" si="2"/>
        <v>0.69363425925925926</v>
      </c>
      <c r="J13" s="239">
        <f t="shared" si="3"/>
        <v>419.85</v>
      </c>
      <c r="K13" s="228">
        <f t="shared" si="4"/>
        <v>0.583125</v>
      </c>
    </row>
    <row r="14" spans="2:11" x14ac:dyDescent="0.25">
      <c r="B14" s="242">
        <v>43070</v>
      </c>
      <c r="C14" s="243">
        <f t="shared" si="0"/>
        <v>744</v>
      </c>
      <c r="D14" s="227">
        <f>(61.5+43+29.45)/3</f>
        <v>44.65</v>
      </c>
      <c r="E14" s="227">
        <f>(23.45+18.4+39.45)/3</f>
        <v>27.099999999999998</v>
      </c>
      <c r="F14" s="227">
        <v>30</v>
      </c>
      <c r="G14" s="227">
        <f>(109.45+116.2+145.45)/3</f>
        <v>123.7</v>
      </c>
      <c r="H14" s="227">
        <f t="shared" si="1"/>
        <v>642.25</v>
      </c>
      <c r="I14" s="228">
        <f t="shared" si="2"/>
        <v>0.863239247311828</v>
      </c>
      <c r="J14" s="239">
        <f t="shared" si="3"/>
        <v>518.54999999999995</v>
      </c>
      <c r="K14" s="228">
        <f t="shared" si="4"/>
        <v>0.69697580645161283</v>
      </c>
    </row>
    <row r="15" spans="2:11" x14ac:dyDescent="0.25">
      <c r="B15" s="242">
        <v>43101</v>
      </c>
      <c r="C15" s="243">
        <f t="shared" si="0"/>
        <v>744</v>
      </c>
      <c r="D15" s="227">
        <f>(86.25+70.25+96.1)/3</f>
        <v>84.2</v>
      </c>
      <c r="E15" s="227">
        <f>(30.2+14.5+16.45)/3</f>
        <v>20.383333333333336</v>
      </c>
      <c r="F15" s="227">
        <f>80/60</f>
        <v>1.3333333333333333</v>
      </c>
      <c r="G15" s="227">
        <f>(122.55+135+172.25)/3</f>
        <v>143.26666666666668</v>
      </c>
      <c r="H15" s="227">
        <f t="shared" si="1"/>
        <v>638.08333333333337</v>
      </c>
      <c r="I15" s="228">
        <f t="shared" si="2"/>
        <v>0.85763888888888895</v>
      </c>
      <c r="J15" s="239">
        <f t="shared" si="3"/>
        <v>494.81666666666672</v>
      </c>
      <c r="K15" s="228">
        <f t="shared" si="4"/>
        <v>0.66507616487455201</v>
      </c>
    </row>
    <row r="16" spans="2:11" x14ac:dyDescent="0.25">
      <c r="B16" s="242">
        <v>43132</v>
      </c>
      <c r="C16" s="243">
        <f>8*3*28</f>
        <v>672</v>
      </c>
      <c r="D16" s="227">
        <f>(39.05+50.55+43.205)/3</f>
        <v>44.268333333333338</v>
      </c>
      <c r="E16" s="227">
        <f>(26.35+40.5+588)/3</f>
        <v>218.28333333333333</v>
      </c>
      <c r="F16" s="227">
        <v>0</v>
      </c>
      <c r="G16" s="227">
        <f>(66.5+77+140)/3</f>
        <v>94.5</v>
      </c>
      <c r="H16" s="227">
        <f t="shared" si="1"/>
        <v>409.44833333333332</v>
      </c>
      <c r="I16" s="228">
        <f t="shared" si="2"/>
        <v>0.60929811507936504</v>
      </c>
      <c r="J16" s="239">
        <f t="shared" si="3"/>
        <v>314.94833333333332</v>
      </c>
      <c r="K16" s="228">
        <f t="shared" si="4"/>
        <v>0.46867311507936504</v>
      </c>
    </row>
    <row r="17" spans="2:11" x14ac:dyDescent="0.25">
      <c r="B17" s="244">
        <v>43160</v>
      </c>
      <c r="C17" s="243">
        <f t="shared" si="0"/>
        <v>744</v>
      </c>
      <c r="D17" s="227">
        <f>(61.25+12.2+12)/3</f>
        <v>28.483333333333334</v>
      </c>
      <c r="E17" s="227">
        <f>(24.4+36.4+28.4)/3</f>
        <v>29.733333333333331</v>
      </c>
      <c r="F17" s="227">
        <v>0</v>
      </c>
      <c r="G17" s="227">
        <f>(89.15+99.45+125.1)/3</f>
        <v>104.56666666666668</v>
      </c>
      <c r="H17" s="227">
        <f t="shared" si="1"/>
        <v>685.7833333333333</v>
      </c>
      <c r="I17" s="228">
        <f t="shared" si="2"/>
        <v>0.92175179211469527</v>
      </c>
      <c r="J17" s="239">
        <f t="shared" si="3"/>
        <v>581.21666666666658</v>
      </c>
      <c r="K17" s="228">
        <f t="shared" si="4"/>
        <v>0.78120519713261638</v>
      </c>
    </row>
    <row r="18" spans="2:11" x14ac:dyDescent="0.25">
      <c r="C18" s="245">
        <f>SUM(C6:C17)</f>
        <v>8760</v>
      </c>
      <c r="D18" s="247">
        <f t="shared" ref="D18:F18" si="7">SUM(D6:D17)</f>
        <v>556.76833333333332</v>
      </c>
      <c r="E18" s="247">
        <f t="shared" si="7"/>
        <v>831.41666666666663</v>
      </c>
      <c r="F18" s="247">
        <f t="shared" si="7"/>
        <v>31.333333333333332</v>
      </c>
      <c r="G18" s="247">
        <f>SUM(G6:G17)</f>
        <v>1343.75</v>
      </c>
      <c r="H18" s="247">
        <f>SUM(H6:H17)</f>
        <v>7340.4816666666666</v>
      </c>
      <c r="I18" s="246">
        <f>SUM(I6:I17)/12</f>
        <v>0.83594633834343179</v>
      </c>
      <c r="J18" s="247">
        <f>SUM(J6:J17)</f>
        <v>5996.7316666666666</v>
      </c>
      <c r="K18" s="246">
        <f>SUM(K6:K17)/12</f>
        <v>0.68275326287549065</v>
      </c>
    </row>
    <row r="20" spans="2:11" ht="60" x14ac:dyDescent="0.25">
      <c r="B20" s="238" t="s">
        <v>366</v>
      </c>
      <c r="C20" s="223" t="s">
        <v>371</v>
      </c>
      <c r="D20" s="223" t="s">
        <v>344</v>
      </c>
      <c r="E20" s="223" t="s">
        <v>345</v>
      </c>
      <c r="F20" s="223" t="s">
        <v>347</v>
      </c>
      <c r="G20" s="223" t="s">
        <v>346</v>
      </c>
      <c r="H20" s="223" t="s">
        <v>352</v>
      </c>
      <c r="I20" s="223" t="s">
        <v>353</v>
      </c>
      <c r="J20" s="223" t="s">
        <v>367</v>
      </c>
      <c r="K20" s="229" t="s">
        <v>368</v>
      </c>
    </row>
    <row r="21" spans="2:11" x14ac:dyDescent="0.25">
      <c r="B21" s="242">
        <v>43191</v>
      </c>
      <c r="C21" s="243">
        <f>8*3*30</f>
        <v>720</v>
      </c>
      <c r="D21" s="227">
        <f>(41.55+31.4+17.25)/3</f>
        <v>30.066666666666663</v>
      </c>
      <c r="E21" s="227">
        <f>(20.3+41.5+239.55)/3</f>
        <v>100.45</v>
      </c>
      <c r="F21" s="187">
        <f>90/60</f>
        <v>1.5</v>
      </c>
      <c r="G21" s="227">
        <f>(100.55+100.4+98.1)/3</f>
        <v>99.683333333333323</v>
      </c>
      <c r="H21" s="227">
        <f>C21-(D21+E21+F21)</f>
        <v>587.98333333333335</v>
      </c>
      <c r="I21" s="228">
        <f>H21/C21</f>
        <v>0.81664351851851857</v>
      </c>
      <c r="J21" s="239">
        <f>H21-G21</f>
        <v>488.3</v>
      </c>
      <c r="K21" s="228">
        <f>J21/C21</f>
        <v>0.67819444444444443</v>
      </c>
    </row>
    <row r="22" spans="2:11" x14ac:dyDescent="0.25">
      <c r="B22" s="242">
        <v>43221</v>
      </c>
      <c r="C22" s="243">
        <f t="shared" ref="C22:C32" si="8">8*3*31</f>
        <v>744</v>
      </c>
      <c r="D22" s="227">
        <f>(27.5+27.1+55.35)/3</f>
        <v>36.65</v>
      </c>
      <c r="E22" s="227">
        <f>(15.35+44.5+9.2)/3</f>
        <v>23.016666666666666</v>
      </c>
      <c r="F22" s="227">
        <f>35/60</f>
        <v>0.58333333333333337</v>
      </c>
      <c r="G22" s="227">
        <f>(108.03+96.28+143.18)/3</f>
        <v>115.83</v>
      </c>
      <c r="H22" s="227">
        <f t="shared" ref="H22:H32" si="9">C22-(D22+E22+F22)</f>
        <v>683.75</v>
      </c>
      <c r="I22" s="228">
        <f t="shared" ref="I22:I32" si="10">H22/C22</f>
        <v>0.91901881720430112</v>
      </c>
      <c r="J22" s="239">
        <f t="shared" ref="J22:J32" si="11">H22-G22</f>
        <v>567.91999999999996</v>
      </c>
      <c r="K22" s="228">
        <f t="shared" ref="K22:K32" si="12">J22/C22</f>
        <v>0.76333333333333331</v>
      </c>
    </row>
    <row r="23" spans="2:11" x14ac:dyDescent="0.25">
      <c r="B23" s="242">
        <v>43252</v>
      </c>
      <c r="C23" s="243">
        <f>8*3*30</f>
        <v>720</v>
      </c>
      <c r="D23" s="227">
        <f>(46+9.55+5.4)/3</f>
        <v>20.316666666666666</v>
      </c>
      <c r="E23" s="227">
        <f>(53.55+23.25+30.45)/3</f>
        <v>35.75</v>
      </c>
      <c r="F23" s="227">
        <v>41</v>
      </c>
      <c r="G23" s="227">
        <f>(140.2+139.5+197)/3</f>
        <v>158.9</v>
      </c>
      <c r="H23" s="227">
        <f t="shared" si="9"/>
        <v>622.93333333333339</v>
      </c>
      <c r="I23" s="228">
        <f t="shared" si="10"/>
        <v>0.86518518518518528</v>
      </c>
      <c r="J23" s="239">
        <f t="shared" si="11"/>
        <v>464.03333333333342</v>
      </c>
      <c r="K23" s="228">
        <f t="shared" si="12"/>
        <v>0.64449074074074086</v>
      </c>
    </row>
    <row r="24" spans="2:11" x14ac:dyDescent="0.25">
      <c r="B24" s="242">
        <v>43282</v>
      </c>
      <c r="C24" s="243">
        <f t="shared" si="8"/>
        <v>744</v>
      </c>
      <c r="D24" s="227">
        <f>(27.05+32.45+53.05)/3</f>
        <v>37.516666666666666</v>
      </c>
      <c r="E24" s="227">
        <f>(41.4+19.45+27.35)/3</f>
        <v>29.399999999999995</v>
      </c>
      <c r="F24" s="227">
        <f>35/60</f>
        <v>0.58333333333333337</v>
      </c>
      <c r="G24" s="227">
        <f>(114.05+111.15+143.35)/3</f>
        <v>122.84999999999998</v>
      </c>
      <c r="H24" s="227">
        <f t="shared" si="9"/>
        <v>676.5</v>
      </c>
      <c r="I24" s="228">
        <f t="shared" si="10"/>
        <v>0.90927419354838712</v>
      </c>
      <c r="J24" s="239">
        <f t="shared" si="11"/>
        <v>553.65</v>
      </c>
      <c r="K24" s="228">
        <f t="shared" si="12"/>
        <v>0.7441532258064516</v>
      </c>
    </row>
    <row r="25" spans="2:11" x14ac:dyDescent="0.25">
      <c r="B25" s="242">
        <v>43313</v>
      </c>
      <c r="C25" s="243">
        <f t="shared" si="8"/>
        <v>744</v>
      </c>
      <c r="D25" s="227">
        <f>(69.5+121.05+33.4)/3</f>
        <v>74.650000000000006</v>
      </c>
      <c r="E25" s="227">
        <f>(24.15+25.1+31.1)/3</f>
        <v>26.783333333333331</v>
      </c>
      <c r="F25" s="227">
        <f>289/60</f>
        <v>4.8166666666666664</v>
      </c>
      <c r="G25" s="227">
        <f>(119.1+90+147.05)/3</f>
        <v>118.71666666666665</v>
      </c>
      <c r="H25" s="227">
        <f t="shared" si="9"/>
        <v>637.75</v>
      </c>
      <c r="I25" s="228">
        <f t="shared" si="10"/>
        <v>0.85719086021505375</v>
      </c>
      <c r="J25" s="239">
        <f t="shared" si="11"/>
        <v>519.0333333333333</v>
      </c>
      <c r="K25" s="228">
        <f t="shared" si="12"/>
        <v>0.69762544802867377</v>
      </c>
    </row>
    <row r="26" spans="2:11" x14ac:dyDescent="0.25">
      <c r="B26" s="242">
        <v>43344</v>
      </c>
      <c r="C26" s="243">
        <f>8*3*30</f>
        <v>720</v>
      </c>
      <c r="D26" s="227">
        <f>(10.2+20.25+78.3)/3</f>
        <v>36.25</v>
      </c>
      <c r="E26" s="227">
        <f>(32.4+47.2+22.05)/3</f>
        <v>33.883333333333333</v>
      </c>
      <c r="F26" s="227">
        <v>0</v>
      </c>
      <c r="G26" s="227">
        <f>(107.55+92.1+119.4)/3</f>
        <v>106.34999999999998</v>
      </c>
      <c r="H26" s="227">
        <f t="shared" si="9"/>
        <v>649.86666666666667</v>
      </c>
      <c r="I26" s="228">
        <f t="shared" si="10"/>
        <v>0.90259259259259261</v>
      </c>
      <c r="J26" s="239">
        <f t="shared" si="11"/>
        <v>543.51666666666665</v>
      </c>
      <c r="K26" s="228">
        <f t="shared" si="12"/>
        <v>0.75488425925925928</v>
      </c>
    </row>
    <row r="27" spans="2:11" x14ac:dyDescent="0.25">
      <c r="B27" s="242">
        <v>43374</v>
      </c>
      <c r="C27" s="243">
        <f t="shared" si="8"/>
        <v>744</v>
      </c>
      <c r="D27" s="227">
        <f>(49.05+50.3+26.1)/3</f>
        <v>41.816666666666663</v>
      </c>
      <c r="E27" s="227">
        <f>(38.15+21.1+41.1)/3</f>
        <v>33.449999999999996</v>
      </c>
      <c r="F27" s="227">
        <v>0</v>
      </c>
      <c r="G27" s="227">
        <f>(90.2+99+124.2)/3</f>
        <v>104.46666666666665</v>
      </c>
      <c r="H27" s="227">
        <f t="shared" si="9"/>
        <v>668.73333333333335</v>
      </c>
      <c r="I27" s="228">
        <f t="shared" si="10"/>
        <v>0.89883512544802868</v>
      </c>
      <c r="J27" s="239">
        <f t="shared" si="11"/>
        <v>564.26666666666665</v>
      </c>
      <c r="K27" s="228">
        <f t="shared" si="12"/>
        <v>0.75842293906810032</v>
      </c>
    </row>
    <row r="28" spans="2:11" x14ac:dyDescent="0.25">
      <c r="B28" s="242">
        <v>43405</v>
      </c>
      <c r="C28" s="243">
        <f>8*3*30</f>
        <v>720</v>
      </c>
      <c r="D28" s="227">
        <f>(22.35+22.35+264)/3</f>
        <v>102.89999999999999</v>
      </c>
      <c r="E28" s="227">
        <f>(20.3+18.35+35.15)/3</f>
        <v>24.600000000000005</v>
      </c>
      <c r="F28" s="227">
        <f>342/60</f>
        <v>5.7</v>
      </c>
      <c r="G28" s="227">
        <f>(105.55+110+89.3)/3</f>
        <v>101.61666666666667</v>
      </c>
      <c r="H28" s="227">
        <f t="shared" si="9"/>
        <v>586.79999999999995</v>
      </c>
      <c r="I28" s="228">
        <f t="shared" si="10"/>
        <v>0.81499999999999995</v>
      </c>
      <c r="J28" s="239">
        <f t="shared" si="11"/>
        <v>485.18333333333328</v>
      </c>
      <c r="K28" s="228">
        <f t="shared" si="12"/>
        <v>0.67386574074074068</v>
      </c>
    </row>
    <row r="29" spans="2:11" x14ac:dyDescent="0.25">
      <c r="B29" s="242">
        <v>43435</v>
      </c>
      <c r="C29" s="243">
        <f t="shared" si="8"/>
        <v>744</v>
      </c>
      <c r="D29" s="227">
        <f>(46.4+27.4+21.35)/3</f>
        <v>31.716666666666669</v>
      </c>
      <c r="E29" s="227">
        <f>(30.1+52.05+36)/3</f>
        <v>39.383333333333333</v>
      </c>
      <c r="F29" s="227">
        <v>0.48333333333333334</v>
      </c>
      <c r="G29" s="227">
        <f>(115.5+109+141.55)/3</f>
        <v>122.01666666666667</v>
      </c>
      <c r="H29" s="227">
        <f t="shared" si="9"/>
        <v>672.41666666666663</v>
      </c>
      <c r="I29" s="228">
        <f t="shared" si="10"/>
        <v>0.90378584229390679</v>
      </c>
      <c r="J29" s="239">
        <f t="shared" si="11"/>
        <v>550.4</v>
      </c>
      <c r="K29" s="228">
        <f t="shared" si="12"/>
        <v>0.7397849462365591</v>
      </c>
    </row>
    <row r="30" spans="2:11" x14ac:dyDescent="0.25">
      <c r="B30" s="242">
        <v>43466</v>
      </c>
      <c r="C30" s="243">
        <f t="shared" si="8"/>
        <v>744</v>
      </c>
      <c r="D30" s="227">
        <f>(15.3+0+17.1)/3</f>
        <v>10.800000000000002</v>
      </c>
      <c r="E30" s="227">
        <f>(313.1+744+32.55)/3</f>
        <v>363.21666666666664</v>
      </c>
      <c r="F30" s="227">
        <v>0</v>
      </c>
      <c r="G30" s="227">
        <f>(94.4+0+113.55)/3</f>
        <v>69.316666666666663</v>
      </c>
      <c r="H30" s="227">
        <f t="shared" si="9"/>
        <v>369.98333333333335</v>
      </c>
      <c r="I30" s="228">
        <f t="shared" si="10"/>
        <v>0.4972894265232975</v>
      </c>
      <c r="J30" s="239">
        <f t="shared" si="11"/>
        <v>300.66666666666669</v>
      </c>
      <c r="K30" s="228">
        <f t="shared" si="12"/>
        <v>0.40412186379928317</v>
      </c>
    </row>
    <row r="31" spans="2:11" x14ac:dyDescent="0.25">
      <c r="B31" s="242">
        <v>43497</v>
      </c>
      <c r="C31" s="243">
        <f>8*3*28</f>
        <v>672</v>
      </c>
      <c r="D31" s="227">
        <f>(6.45+8.15+10.3)/3</f>
        <v>8.3000000000000007</v>
      </c>
      <c r="E31" s="227">
        <f>(271.4+19.3+45.3)/3</f>
        <v>112</v>
      </c>
      <c r="F31" s="227">
        <f>29/60</f>
        <v>0.48333333333333334</v>
      </c>
      <c r="G31" s="227">
        <f>(151.15+203.15+181.25)/3</f>
        <v>178.51666666666665</v>
      </c>
      <c r="H31" s="227">
        <f t="shared" si="9"/>
        <v>551.2166666666667</v>
      </c>
      <c r="I31" s="228">
        <f t="shared" si="10"/>
        <v>0.82026289682539688</v>
      </c>
      <c r="J31" s="239">
        <f t="shared" si="11"/>
        <v>372.70000000000005</v>
      </c>
      <c r="K31" s="228">
        <f t="shared" si="12"/>
        <v>0.55461309523809532</v>
      </c>
    </row>
    <row r="32" spans="2:11" x14ac:dyDescent="0.25">
      <c r="B32" s="242">
        <v>43525</v>
      </c>
      <c r="C32" s="243">
        <f t="shared" si="8"/>
        <v>744</v>
      </c>
      <c r="D32" s="227">
        <f>(2+31.3+8.45)/3</f>
        <v>13.916666666666666</v>
      </c>
      <c r="E32" s="227">
        <f>(579+3+17.5)/3</f>
        <v>199.83333333333334</v>
      </c>
      <c r="F32" s="227">
        <f>374/60</f>
        <v>6.2333333333333334</v>
      </c>
      <c r="G32" s="227">
        <f>(57.3+180.25+163.15)/3</f>
        <v>133.56666666666669</v>
      </c>
      <c r="H32" s="227">
        <f t="shared" si="9"/>
        <v>524.01666666666665</v>
      </c>
      <c r="I32" s="228">
        <f t="shared" si="10"/>
        <v>0.70432347670250894</v>
      </c>
      <c r="J32" s="239">
        <f t="shared" si="11"/>
        <v>390.44999999999993</v>
      </c>
      <c r="K32" s="228">
        <f t="shared" si="12"/>
        <v>0.52479838709677407</v>
      </c>
    </row>
    <row r="33" spans="2:11" x14ac:dyDescent="0.25">
      <c r="C33" s="245">
        <f>SUM(C21:C32)</f>
        <v>8760</v>
      </c>
      <c r="D33" s="247">
        <f t="shared" ref="D33" si="13">SUM(D21:D32)</f>
        <v>444.90000000000003</v>
      </c>
      <c r="E33" s="247">
        <f t="shared" ref="E33" si="14">SUM(E21:E32)</f>
        <v>1021.7666666666668</v>
      </c>
      <c r="F33" s="247">
        <f t="shared" ref="F33" si="15">SUM(F21:F32)</f>
        <v>61.38333333333334</v>
      </c>
      <c r="G33" s="247">
        <f>SUM(G21:G32)</f>
        <v>1431.83</v>
      </c>
      <c r="H33" s="247">
        <f>SUM(H21:H32)</f>
        <v>7231.9500000000007</v>
      </c>
      <c r="I33" s="246">
        <f>SUM(I21:I32)/12</f>
        <v>0.82578349458809808</v>
      </c>
      <c r="J33" s="247">
        <f>SUM(J21:J32)</f>
        <v>5800.12</v>
      </c>
      <c r="K33" s="246">
        <f>SUM(K21:K32)/12</f>
        <v>0.66152403531603798</v>
      </c>
    </row>
    <row r="35" spans="2:11" ht="60" x14ac:dyDescent="0.25">
      <c r="B35" s="238" t="s">
        <v>366</v>
      </c>
      <c r="C35" s="223" t="s">
        <v>372</v>
      </c>
      <c r="D35" s="223" t="s">
        <v>373</v>
      </c>
      <c r="E35" s="223" t="s">
        <v>345</v>
      </c>
      <c r="F35" s="223" t="s">
        <v>347</v>
      </c>
      <c r="G35" s="223" t="s">
        <v>346</v>
      </c>
      <c r="H35" s="223" t="s">
        <v>352</v>
      </c>
      <c r="I35" s="223" t="s">
        <v>353</v>
      </c>
      <c r="J35" s="223" t="s">
        <v>367</v>
      </c>
      <c r="K35" s="229" t="s">
        <v>368</v>
      </c>
    </row>
    <row r="36" spans="2:11" x14ac:dyDescent="0.25">
      <c r="B36" s="242">
        <v>43556</v>
      </c>
      <c r="C36" s="243">
        <f>8*3*30</f>
        <v>720</v>
      </c>
      <c r="D36" s="227">
        <f>(14.4+2.2+108.55)/3</f>
        <v>41.716666666666669</v>
      </c>
      <c r="E36" s="227">
        <f>(22.4+18.45+32.15)/3</f>
        <v>24.333333333333332</v>
      </c>
      <c r="F36" s="227">
        <v>0</v>
      </c>
      <c r="G36" s="227">
        <f>(97.55+95.45+85.25)/3</f>
        <v>92.75</v>
      </c>
      <c r="H36" s="227">
        <f>C36-(D36+E36+F36)</f>
        <v>653.95000000000005</v>
      </c>
      <c r="I36" s="228">
        <f>H36/C36</f>
        <v>0.90826388888888898</v>
      </c>
      <c r="J36" s="239">
        <f>H36-G36</f>
        <v>561.20000000000005</v>
      </c>
      <c r="K36" s="228">
        <f>J36/C36</f>
        <v>0.7794444444444445</v>
      </c>
    </row>
    <row r="37" spans="2:11" x14ac:dyDescent="0.25">
      <c r="B37" s="242">
        <v>43586</v>
      </c>
      <c r="C37" s="243">
        <f t="shared" ref="C37:C47" si="16">8*3*31</f>
        <v>744</v>
      </c>
      <c r="D37" s="227">
        <f>(44.2+47.25+20.3)/3</f>
        <v>37.25</v>
      </c>
      <c r="E37" s="227">
        <f>(178.1+20.3+15.35)/3</f>
        <v>71.25</v>
      </c>
      <c r="F37" s="227">
        <f>25/60</f>
        <v>0.41666666666666669</v>
      </c>
      <c r="G37" s="227">
        <f>(66.2+97.05+120.15)/3</f>
        <v>94.466666666666654</v>
      </c>
      <c r="H37" s="227">
        <f t="shared" ref="H37:H47" si="17">C37-(D37+E37+F37)</f>
        <v>635.08333333333337</v>
      </c>
      <c r="I37" s="228">
        <f t="shared" ref="I37:I47" si="18">H37/C37</f>
        <v>0.85360663082437283</v>
      </c>
      <c r="J37" s="239">
        <f t="shared" ref="J37:J47" si="19">H37-G37</f>
        <v>540.61666666666667</v>
      </c>
      <c r="K37" s="228">
        <f t="shared" ref="K37:K47" si="20">J37/C37</f>
        <v>0.72663530465949822</v>
      </c>
    </row>
    <row r="38" spans="2:11" x14ac:dyDescent="0.25">
      <c r="B38" s="242">
        <v>43617</v>
      </c>
      <c r="C38" s="243">
        <f>8*3*30</f>
        <v>720</v>
      </c>
      <c r="D38" s="227">
        <f>(50.55+65+36.15)/3</f>
        <v>50.566666666666663</v>
      </c>
      <c r="E38" s="227">
        <f>(24+14.1+8.1)/3</f>
        <v>15.4</v>
      </c>
      <c r="F38" s="227">
        <f>89/60</f>
        <v>1.4833333333333334</v>
      </c>
      <c r="G38" s="227">
        <f>(87.25+98.1+119.5)/3</f>
        <v>101.61666666666667</v>
      </c>
      <c r="H38" s="227">
        <f t="shared" si="17"/>
        <v>652.54999999999995</v>
      </c>
      <c r="I38" s="228">
        <f t="shared" si="18"/>
        <v>0.90631944444444434</v>
      </c>
      <c r="J38" s="239">
        <f t="shared" si="19"/>
        <v>550.93333333333328</v>
      </c>
      <c r="K38" s="228">
        <f t="shared" si="20"/>
        <v>0.76518518518518508</v>
      </c>
    </row>
    <row r="39" spans="2:11" x14ac:dyDescent="0.25">
      <c r="B39" s="242">
        <v>43647</v>
      </c>
      <c r="C39" s="243">
        <f t="shared" si="16"/>
        <v>744</v>
      </c>
      <c r="D39" s="227">
        <f>(36.05+14.45+35.05)/3</f>
        <v>28.516666666666666</v>
      </c>
      <c r="E39" s="227">
        <f>(28.3+21.45+28.3)/3</f>
        <v>26.016666666666666</v>
      </c>
      <c r="F39" s="227">
        <f>72/60</f>
        <v>1.2</v>
      </c>
      <c r="G39" s="227">
        <f>(118.3+102.2+118.45)/3</f>
        <v>112.98333333333333</v>
      </c>
      <c r="H39" s="227">
        <f t="shared" si="17"/>
        <v>688.26666666666665</v>
      </c>
      <c r="I39" s="228">
        <f t="shared" si="18"/>
        <v>0.92508960573476695</v>
      </c>
      <c r="J39" s="239">
        <f t="shared" si="19"/>
        <v>575.2833333333333</v>
      </c>
      <c r="K39" s="228">
        <f t="shared" si="20"/>
        <v>0.77323028673835126</v>
      </c>
    </row>
    <row r="40" spans="2:11" x14ac:dyDescent="0.25">
      <c r="B40" s="242">
        <v>43678</v>
      </c>
      <c r="C40" s="243">
        <f t="shared" si="16"/>
        <v>744</v>
      </c>
      <c r="D40" s="227">
        <f>(72.35+83.3+34.5)/3</f>
        <v>63.383333333333326</v>
      </c>
      <c r="E40" s="227">
        <f>(23.3+19.5+10.05)/3</f>
        <v>17.616666666666664</v>
      </c>
      <c r="F40" s="227">
        <f>77/60</f>
        <v>1.2833333333333334</v>
      </c>
      <c r="G40" s="227">
        <f>(81.2+79.45+114.15)/3</f>
        <v>91.600000000000009</v>
      </c>
      <c r="H40" s="227">
        <f t="shared" si="17"/>
        <v>661.7166666666667</v>
      </c>
      <c r="I40" s="228">
        <f t="shared" si="18"/>
        <v>0.88940412186379936</v>
      </c>
      <c r="J40" s="239">
        <f t="shared" si="19"/>
        <v>570.11666666666667</v>
      </c>
      <c r="K40" s="228">
        <f t="shared" si="20"/>
        <v>0.76628584229390684</v>
      </c>
    </row>
    <row r="41" spans="2:11" x14ac:dyDescent="0.25">
      <c r="B41" s="242">
        <v>43709</v>
      </c>
      <c r="C41" s="243">
        <f>8*3*30</f>
        <v>720</v>
      </c>
      <c r="D41" s="227">
        <f>(32+27.25+73.1)/3</f>
        <v>44.116666666666667</v>
      </c>
      <c r="E41" s="227">
        <f>(32.55+31.55+24.2)/3</f>
        <v>29.433333333333334</v>
      </c>
      <c r="F41" s="227">
        <f>609/60</f>
        <v>10.15</v>
      </c>
      <c r="G41" s="227">
        <f>(118.25+131.05+125.55)/3</f>
        <v>124.95</v>
      </c>
      <c r="H41" s="227">
        <f t="shared" si="17"/>
        <v>636.29999999999995</v>
      </c>
      <c r="I41" s="228">
        <f t="shared" si="18"/>
        <v>0.88374999999999992</v>
      </c>
      <c r="J41" s="239">
        <f t="shared" si="19"/>
        <v>511.34999999999997</v>
      </c>
      <c r="K41" s="228">
        <f t="shared" si="20"/>
        <v>0.71020833333333333</v>
      </c>
    </row>
    <row r="42" spans="2:11" x14ac:dyDescent="0.25">
      <c r="B42" s="242">
        <v>43739</v>
      </c>
      <c r="C42" s="243">
        <f t="shared" si="16"/>
        <v>744</v>
      </c>
      <c r="D42" s="227">
        <f>(39.55+16.45+19.2)/3</f>
        <v>25.066666666666666</v>
      </c>
      <c r="E42" s="227">
        <f>(43.5+17+32.25)/3</f>
        <v>30.916666666666668</v>
      </c>
      <c r="F42" s="227">
        <f>22/60</f>
        <v>0.36666666666666664</v>
      </c>
      <c r="G42" s="227">
        <f>(108+96.35+125.25)/3</f>
        <v>109.86666666666667</v>
      </c>
      <c r="H42" s="227">
        <f t="shared" si="17"/>
        <v>687.65</v>
      </c>
      <c r="I42" s="228">
        <f t="shared" si="18"/>
        <v>0.92426075268817198</v>
      </c>
      <c r="J42" s="239">
        <f t="shared" si="19"/>
        <v>577.7833333333333</v>
      </c>
      <c r="K42" s="228">
        <f t="shared" si="20"/>
        <v>0.77659050179211464</v>
      </c>
    </row>
    <row r="43" spans="2:11" x14ac:dyDescent="0.25">
      <c r="B43" s="242">
        <v>43770</v>
      </c>
      <c r="C43" s="243">
        <f>8*3*30</f>
        <v>720</v>
      </c>
      <c r="D43" s="227">
        <f>(22.4+8.45+3.25)/3</f>
        <v>11.366666666666665</v>
      </c>
      <c r="E43" s="227">
        <f>(12.2+13.1+24.1)/3</f>
        <v>16.466666666666665</v>
      </c>
      <c r="F43" s="227">
        <f>66/60</f>
        <v>1.1000000000000001</v>
      </c>
      <c r="G43" s="227">
        <f>(91.5+39.1+93.3)/3</f>
        <v>74.633333333333326</v>
      </c>
      <c r="H43" s="227">
        <f t="shared" si="17"/>
        <v>691.06666666666672</v>
      </c>
      <c r="I43" s="228">
        <f t="shared" si="18"/>
        <v>0.9598148148148149</v>
      </c>
      <c r="J43" s="239">
        <f t="shared" si="19"/>
        <v>616.43333333333339</v>
      </c>
      <c r="K43" s="228">
        <f t="shared" si="20"/>
        <v>0.85615740740740753</v>
      </c>
    </row>
    <row r="44" spans="2:11" x14ac:dyDescent="0.25">
      <c r="B44" s="242">
        <v>43800</v>
      </c>
      <c r="C44" s="243">
        <f t="shared" si="16"/>
        <v>744</v>
      </c>
      <c r="D44" s="227">
        <f>(19.1+8.1+58.39)/3</f>
        <v>28.53</v>
      </c>
      <c r="E44" s="227">
        <f>(11.3+19.05+17.21)/3</f>
        <v>15.853333333333333</v>
      </c>
      <c r="F44" s="227">
        <f>40/60</f>
        <v>0.66666666666666663</v>
      </c>
      <c r="G44" s="227">
        <f>(99+104+107.1)/3</f>
        <v>103.36666666666667</v>
      </c>
      <c r="H44" s="227">
        <f t="shared" si="17"/>
        <v>698.95</v>
      </c>
      <c r="I44" s="228">
        <f t="shared" si="18"/>
        <v>0.93944892473118291</v>
      </c>
      <c r="J44" s="239">
        <f t="shared" si="19"/>
        <v>595.58333333333337</v>
      </c>
      <c r="K44" s="228">
        <f t="shared" si="20"/>
        <v>0.80051523297491045</v>
      </c>
    </row>
    <row r="45" spans="2:11" x14ac:dyDescent="0.25">
      <c r="B45" s="242">
        <v>43831</v>
      </c>
      <c r="C45" s="243">
        <f t="shared" si="16"/>
        <v>744</v>
      </c>
      <c r="D45" s="227">
        <f t="shared" ref="D45" si="21">(51.3+44+31.05)/3</f>
        <v>42.116666666666667</v>
      </c>
      <c r="E45" s="227">
        <f t="shared" ref="E45" si="22">(35.1+33.15+17.1)/3</f>
        <v>28.45</v>
      </c>
      <c r="F45" s="227">
        <f>15/60</f>
        <v>0.25</v>
      </c>
      <c r="G45" s="227">
        <f>(110.1+108.15+114)/3</f>
        <v>110.75</v>
      </c>
      <c r="H45" s="227">
        <f t="shared" si="17"/>
        <v>673.18333333333339</v>
      </c>
      <c r="I45" s="228">
        <f t="shared" si="18"/>
        <v>0.90481630824372772</v>
      </c>
      <c r="J45" s="239">
        <f t="shared" si="19"/>
        <v>562.43333333333339</v>
      </c>
      <c r="K45" s="228">
        <f t="shared" si="20"/>
        <v>0.75595878136200723</v>
      </c>
    </row>
    <row r="46" spans="2:11" x14ac:dyDescent="0.25">
      <c r="B46" s="242">
        <v>43862</v>
      </c>
      <c r="C46" s="243">
        <f>8*3*29</f>
        <v>696</v>
      </c>
      <c r="D46" s="227">
        <f>(33+4.05+13.35)/3</f>
        <v>16.8</v>
      </c>
      <c r="E46" s="227">
        <f>(45+8.5+13.1)/3</f>
        <v>22.2</v>
      </c>
      <c r="F46" s="227">
        <f>65/60</f>
        <v>1.0833333333333333</v>
      </c>
      <c r="G46" s="227">
        <f>(119.3+110.35+131.05)/3</f>
        <v>120.23333333333333</v>
      </c>
      <c r="H46" s="227">
        <f t="shared" si="17"/>
        <v>655.91666666666663</v>
      </c>
      <c r="I46" s="228">
        <f t="shared" si="18"/>
        <v>0.94240900383141757</v>
      </c>
      <c r="J46" s="239">
        <f t="shared" si="19"/>
        <v>535.68333333333328</v>
      </c>
      <c r="K46" s="228">
        <f t="shared" si="20"/>
        <v>0.76965996168582362</v>
      </c>
    </row>
    <row r="47" spans="2:11" x14ac:dyDescent="0.25">
      <c r="B47" s="242">
        <v>43891</v>
      </c>
      <c r="C47" s="243">
        <f t="shared" si="16"/>
        <v>744</v>
      </c>
      <c r="D47" s="227">
        <f>(27.1+18+12.3)/3</f>
        <v>19.133333333333336</v>
      </c>
      <c r="E47" s="227">
        <f>(257+16.5+171.1)/3</f>
        <v>148.20000000000002</v>
      </c>
      <c r="F47" s="227">
        <f>57/60</f>
        <v>0.95</v>
      </c>
      <c r="G47" s="227">
        <f>(111.25+130.15+121.05)/3</f>
        <v>120.81666666666666</v>
      </c>
      <c r="H47" s="227">
        <f t="shared" si="17"/>
        <v>575.7166666666667</v>
      </c>
      <c r="I47" s="228">
        <f t="shared" si="18"/>
        <v>0.77381272401433698</v>
      </c>
      <c r="J47" s="239">
        <f t="shared" si="19"/>
        <v>454.90000000000003</v>
      </c>
      <c r="K47" s="228">
        <f t="shared" si="20"/>
        <v>0.61142473118279572</v>
      </c>
    </row>
    <row r="48" spans="2:11" x14ac:dyDescent="0.25">
      <c r="C48" s="245">
        <f>SUM(C36:C47)</f>
        <v>8784</v>
      </c>
      <c r="D48" s="247">
        <f t="shared" ref="D48" si="23">SUM(D36:D47)</f>
        <v>408.56333333333333</v>
      </c>
      <c r="E48" s="247">
        <f t="shared" ref="E48" si="24">SUM(E36:E47)</f>
        <v>446.13666666666666</v>
      </c>
      <c r="F48" s="247">
        <f t="shared" ref="F48" si="25">SUM(F36:F47)</f>
        <v>18.950000000000003</v>
      </c>
      <c r="G48" s="247">
        <f>SUM(G36:G47)</f>
        <v>1258.0333333333333</v>
      </c>
      <c r="H48" s="247">
        <f>SUM(H36:H47)</f>
        <v>7910.35</v>
      </c>
      <c r="I48" s="246">
        <f>SUM(I36:I47)/12</f>
        <v>0.90091635167332706</v>
      </c>
      <c r="J48" s="247">
        <f>SUM(J36:J47)</f>
        <v>6652.3166666666666</v>
      </c>
      <c r="K48" s="246">
        <f>SUM(K36:K47)/12</f>
        <v>0.75760800108831494</v>
      </c>
    </row>
  </sheetData>
  <mergeCells count="1">
    <mergeCell ref="F1:F2"/>
  </mergeCells>
  <pageMargins left="0.31496062992125984" right="0.31496062992125984" top="0.35433070866141736" bottom="0.35433070866141736" header="0.31496062992125984" footer="0.31496062992125984"/>
  <pageSetup paperSize="9" scale="71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8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194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28</v>
      </c>
      <c r="F4" s="22">
        <v>27</v>
      </c>
      <c r="G4" s="22">
        <v>30</v>
      </c>
      <c r="H4" s="22">
        <v>22</v>
      </c>
      <c r="I4" s="22">
        <v>32</v>
      </c>
      <c r="J4" s="22">
        <v>28</v>
      </c>
      <c r="K4" s="22">
        <v>120</v>
      </c>
      <c r="L4" s="22">
        <v>72</v>
      </c>
      <c r="M4" s="93">
        <f>K4+L4</f>
        <v>192</v>
      </c>
      <c r="N4" s="104"/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2</v>
      </c>
      <c r="J5" s="22"/>
      <c r="K5" s="22">
        <v>0</v>
      </c>
      <c r="L5" s="22">
        <v>5</v>
      </c>
      <c r="M5" s="93">
        <f t="shared" ref="M5:M7" si="0">K5+L5</f>
        <v>5</v>
      </c>
      <c r="N5" s="104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5</v>
      </c>
      <c r="F6" s="22">
        <v>2</v>
      </c>
      <c r="G6" s="22">
        <v>4</v>
      </c>
      <c r="H6" s="22">
        <v>7</v>
      </c>
      <c r="I6" s="22">
        <v>2</v>
      </c>
      <c r="J6" s="22"/>
      <c r="K6" s="22">
        <v>20</v>
      </c>
      <c r="L6" s="22">
        <v>0</v>
      </c>
      <c r="M6" s="93">
        <f t="shared" si="0"/>
        <v>20</v>
      </c>
      <c r="N6" s="104"/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/>
      <c r="E7" s="22"/>
      <c r="F7" s="22">
        <v>3</v>
      </c>
      <c r="G7" s="22">
        <v>1</v>
      </c>
      <c r="H7" s="22">
        <v>2</v>
      </c>
      <c r="I7" s="22">
        <v>3</v>
      </c>
      <c r="J7" s="22"/>
      <c r="K7" s="22">
        <v>7</v>
      </c>
      <c r="L7" s="22">
        <v>2</v>
      </c>
      <c r="M7" s="93">
        <f t="shared" si="0"/>
        <v>9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2" customHeight="1" x14ac:dyDescent="0.25">
      <c r="A9" s="33"/>
      <c r="B9" s="34" t="s">
        <v>14</v>
      </c>
      <c r="C9" s="22"/>
      <c r="D9" s="22">
        <v>21</v>
      </c>
      <c r="E9" s="22">
        <v>20</v>
      </c>
      <c r="F9" s="22">
        <v>21</v>
      </c>
      <c r="G9" s="22">
        <v>8</v>
      </c>
      <c r="H9" s="22">
        <v>30</v>
      </c>
      <c r="I9" s="22">
        <v>26</v>
      </c>
      <c r="J9" s="22">
        <v>25</v>
      </c>
      <c r="K9" s="22">
        <v>116</v>
      </c>
      <c r="L9" s="22">
        <v>35</v>
      </c>
      <c r="M9" s="93">
        <f t="shared" ref="M9:M12" si="2">K9+L9</f>
        <v>151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5</v>
      </c>
      <c r="F10" s="22">
        <v>4</v>
      </c>
      <c r="G10" s="22">
        <v>6</v>
      </c>
      <c r="H10" s="22">
        <v>7</v>
      </c>
      <c r="I10" s="22">
        <v>8</v>
      </c>
      <c r="J10" s="22">
        <v>5</v>
      </c>
      <c r="K10" s="22">
        <v>36</v>
      </c>
      <c r="L10" s="22">
        <v>3</v>
      </c>
      <c r="M10" s="93">
        <f t="shared" si="2"/>
        <v>39</v>
      </c>
      <c r="N10" s="82"/>
      <c r="O10" s="250" t="s">
        <v>72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5</v>
      </c>
      <c r="F11" s="22">
        <v>4</v>
      </c>
      <c r="G11" s="22"/>
      <c r="H11" s="22">
        <v>8</v>
      </c>
      <c r="I11" s="22">
        <v>9</v>
      </c>
      <c r="J11" s="22">
        <v>6</v>
      </c>
      <c r="K11" s="22">
        <v>25</v>
      </c>
      <c r="L11" s="22">
        <v>10</v>
      </c>
      <c r="M11" s="93">
        <f t="shared" si="2"/>
        <v>35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2</v>
      </c>
      <c r="F12" s="22">
        <v>2</v>
      </c>
      <c r="G12" s="22"/>
      <c r="H12" s="22"/>
      <c r="I12" s="22">
        <v>4</v>
      </c>
      <c r="J12" s="22" t="s">
        <v>13</v>
      </c>
      <c r="K12" s="22">
        <v>8</v>
      </c>
      <c r="L12" s="22">
        <v>0</v>
      </c>
      <c r="M12" s="93">
        <f t="shared" si="2"/>
        <v>8</v>
      </c>
      <c r="N12" s="82"/>
      <c r="O12" s="82"/>
      <c r="P12" s="82"/>
      <c r="Q12" s="37"/>
    </row>
    <row r="13" spans="1:17" ht="32.2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>
        <v>12</v>
      </c>
      <c r="K13" s="18">
        <v>3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110</v>
      </c>
      <c r="L14" s="22">
        <v>80</v>
      </c>
      <c r="M14" s="93">
        <f t="shared" ref="M14:M17" si="3">K14+L14</f>
        <v>190</v>
      </c>
      <c r="N14" s="103"/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27</v>
      </c>
      <c r="L15" s="22">
        <v>0</v>
      </c>
      <c r="M15" s="93">
        <f t="shared" si="3"/>
        <v>27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8</v>
      </c>
      <c r="L16" s="22">
        <v>0</v>
      </c>
      <c r="M16" s="93">
        <f t="shared" si="3"/>
        <v>8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36</v>
      </c>
      <c r="L17" s="22">
        <v>33</v>
      </c>
      <c r="M17" s="93">
        <f t="shared" si="3"/>
        <v>69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533</v>
      </c>
      <c r="O18" s="252" t="s">
        <v>71</v>
      </c>
      <c r="P18" s="253"/>
      <c r="Q18" s="65" t="s">
        <v>70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71</v>
      </c>
      <c r="O19" s="69">
        <v>1645</v>
      </c>
      <c r="P19" s="46" t="s">
        <v>195</v>
      </c>
      <c r="Q19" s="65" t="s">
        <v>196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63</v>
      </c>
      <c r="O20" s="77" t="s">
        <v>65</v>
      </c>
      <c r="P20" s="75">
        <v>79</v>
      </c>
      <c r="Q20" s="65">
        <v>5411.83</v>
      </c>
    </row>
    <row r="21" spans="1:20" ht="25.5" customHeight="1" x14ac:dyDescent="0.25">
      <c r="A21" s="16" t="s">
        <v>46</v>
      </c>
      <c r="B21" s="66">
        <v>206.24652777777777</v>
      </c>
      <c r="C21" s="66">
        <v>206.54166666666666</v>
      </c>
      <c r="D21" s="66">
        <f t="shared" ref="D21:D23" si="4">C21-B21</f>
        <v>0.29513888888888573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206.95138888888889</v>
      </c>
      <c r="I21" s="66">
        <v>207.20833333333334</v>
      </c>
      <c r="J21" s="71">
        <f>I21-H21-K21</f>
        <v>0.25694444444445708</v>
      </c>
      <c r="K21" s="66"/>
      <c r="L21" s="73">
        <f>D21+G21+J21</f>
        <v>0.84375</v>
      </c>
      <c r="M21" s="155" t="s">
        <v>47</v>
      </c>
      <c r="N21" s="65">
        <f>M17+M12+M7</f>
        <v>86</v>
      </c>
      <c r="O21" s="78" t="s">
        <v>69</v>
      </c>
      <c r="P21" s="75">
        <v>215</v>
      </c>
      <c r="Q21" s="65">
        <v>5312.37</v>
      </c>
    </row>
    <row r="22" spans="1:20" ht="27" customHeight="1" x14ac:dyDescent="0.25">
      <c r="A22" s="16" t="s">
        <v>48</v>
      </c>
      <c r="B22" s="66">
        <v>206.25694444444446</v>
      </c>
      <c r="C22" s="66">
        <v>206.41666666666666</v>
      </c>
      <c r="D22" s="66">
        <f t="shared" si="4"/>
        <v>0.15972222222220012</v>
      </c>
      <c r="E22" s="66">
        <v>206.58680555555554</v>
      </c>
      <c r="F22" s="66">
        <v>206.875</v>
      </c>
      <c r="G22" s="66">
        <f t="shared" ref="G22:G23" si="5">F22-E22</f>
        <v>0.28819444444445708</v>
      </c>
      <c r="H22" s="66">
        <v>207</v>
      </c>
      <c r="I22" s="66">
        <v>207.20833333333334</v>
      </c>
      <c r="J22" s="71">
        <f>I22-H22-K22</f>
        <v>0.20833333333334281</v>
      </c>
      <c r="K22" s="75"/>
      <c r="L22" s="73">
        <f>D22+G22+J22</f>
        <v>0.65625</v>
      </c>
      <c r="M22" s="49" t="s">
        <v>49</v>
      </c>
      <c r="N22" s="65">
        <v>31445.63</v>
      </c>
      <c r="O22" s="80" t="s">
        <v>66</v>
      </c>
      <c r="P22" s="75">
        <v>163</v>
      </c>
      <c r="Q22" s="65">
        <v>4111.6499999999996</v>
      </c>
    </row>
    <row r="23" spans="1:20" ht="27" customHeight="1" x14ac:dyDescent="0.25">
      <c r="A23" s="158" t="s">
        <v>50</v>
      </c>
      <c r="B23" s="66">
        <v>206.25</v>
      </c>
      <c r="C23" s="66">
        <v>206.54166666666666</v>
      </c>
      <c r="D23" s="66">
        <f t="shared" si="4"/>
        <v>0.29166666666665719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0.875</v>
      </c>
      <c r="M23" s="155" t="s">
        <v>64</v>
      </c>
      <c r="N23" s="85">
        <v>8</v>
      </c>
      <c r="O23" s="86" t="s">
        <v>67</v>
      </c>
      <c r="P23" s="76">
        <v>325</v>
      </c>
      <c r="Q23" s="65">
        <v>9913.36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0.74652777777774304</v>
      </c>
      <c r="E24" s="68"/>
      <c r="F24" s="68"/>
      <c r="G24" s="66">
        <f>SUM(G21:G23)</f>
        <v>0.87152777777777146</v>
      </c>
      <c r="H24" s="68"/>
      <c r="I24" s="68"/>
      <c r="J24" s="71">
        <f>SUM(J21:J23)</f>
        <v>0.7569444444444855</v>
      </c>
      <c r="K24" s="75"/>
      <c r="L24" s="83">
        <f>SUM(L21:L23)</f>
        <v>2.375</v>
      </c>
      <c r="M24" s="65" t="s">
        <v>79</v>
      </c>
      <c r="N24" s="65">
        <v>30209.5</v>
      </c>
      <c r="P24" s="79" t="s">
        <v>68</v>
      </c>
      <c r="Q24" s="43">
        <v>50604.01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N24+Sheet3!O25</f>
        <v>109917.26</v>
      </c>
      <c r="P25" s="155" t="s">
        <v>78</v>
      </c>
      <c r="Q25" s="87">
        <v>56015.839999999997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91</v>
      </c>
      <c r="Q26" s="69">
        <f>Q24+Sheet3!Q26</f>
        <v>150412.26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</v>
      </c>
      <c r="M27" s="55"/>
      <c r="N27" s="88">
        <f>N22/L27</f>
        <v>551.67771929824562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19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197</v>
      </c>
    </row>
    <row r="3" spans="1:17" ht="28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180</v>
      </c>
      <c r="L4" s="22">
        <v>20</v>
      </c>
      <c r="M4" s="93">
        <f>K4+L4</f>
        <v>200</v>
      </c>
      <c r="N4" s="104"/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7</v>
      </c>
      <c r="L5" s="22">
        <v>0</v>
      </c>
      <c r="M5" s="93">
        <f t="shared" ref="M5:M7" si="0">K5+L5</f>
        <v>7</v>
      </c>
      <c r="N5" s="104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12</v>
      </c>
      <c r="L6" s="22">
        <v>0</v>
      </c>
      <c r="M6" s="93">
        <f t="shared" si="0"/>
        <v>12</v>
      </c>
      <c r="N6" s="104"/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32</v>
      </c>
      <c r="L7" s="22">
        <v>7</v>
      </c>
      <c r="M7" s="93">
        <f t="shared" si="0"/>
        <v>39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8.75" customHeight="1" x14ac:dyDescent="0.25">
      <c r="A9" s="33"/>
      <c r="B9" s="34" t="s">
        <v>14</v>
      </c>
      <c r="C9" s="22"/>
      <c r="D9" s="22">
        <v>18</v>
      </c>
      <c r="E9" s="22">
        <v>20</v>
      </c>
      <c r="F9" s="22">
        <v>18</v>
      </c>
      <c r="G9" s="22">
        <v>16</v>
      </c>
      <c r="H9" s="22">
        <v>14</v>
      </c>
      <c r="I9" s="22">
        <v>16</v>
      </c>
      <c r="J9" s="22">
        <v>15</v>
      </c>
      <c r="K9" s="22">
        <v>62</v>
      </c>
      <c r="L9" s="22">
        <v>55</v>
      </c>
      <c r="M9" s="93">
        <f t="shared" ref="M9:M12" si="2">K9+L9</f>
        <v>117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2</v>
      </c>
      <c r="F10" s="22">
        <v>1</v>
      </c>
      <c r="G10" s="22"/>
      <c r="H10" s="22">
        <v>6</v>
      </c>
      <c r="I10" s="22">
        <v>5</v>
      </c>
      <c r="J10" s="22">
        <v>5</v>
      </c>
      <c r="K10" s="22">
        <v>16</v>
      </c>
      <c r="L10" s="22">
        <v>5</v>
      </c>
      <c r="M10" s="93">
        <f t="shared" si="2"/>
        <v>21</v>
      </c>
      <c r="N10" s="82"/>
      <c r="O10" s="250" t="s">
        <v>168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4</v>
      </c>
      <c r="E11" s="22">
        <v>5</v>
      </c>
      <c r="F11" s="22">
        <v>8</v>
      </c>
      <c r="G11" s="22">
        <v>4</v>
      </c>
      <c r="H11" s="22">
        <v>3</v>
      </c>
      <c r="I11" s="22">
        <v>2</v>
      </c>
      <c r="J11" s="22"/>
      <c r="K11" s="22">
        <v>16</v>
      </c>
      <c r="L11" s="22">
        <v>10</v>
      </c>
      <c r="M11" s="93">
        <f t="shared" si="2"/>
        <v>26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2</v>
      </c>
      <c r="F12" s="22">
        <v>1</v>
      </c>
      <c r="G12" s="22"/>
      <c r="H12" s="22">
        <v>10</v>
      </c>
      <c r="I12" s="22"/>
      <c r="J12" s="22">
        <v>10</v>
      </c>
      <c r="K12" s="22">
        <v>15</v>
      </c>
      <c r="L12" s="22">
        <v>11</v>
      </c>
      <c r="M12" s="93">
        <f t="shared" si="2"/>
        <v>26</v>
      </c>
      <c r="N12" s="82"/>
      <c r="O12" s="82"/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75</v>
      </c>
      <c r="L14" s="22">
        <v>62</v>
      </c>
      <c r="M14" s="93">
        <f t="shared" ref="M14:M17" si="3">K14+L14</f>
        <v>137</v>
      </c>
      <c r="N14" s="103"/>
      <c r="O14" s="101"/>
      <c r="P14" s="82"/>
      <c r="Q14" s="37"/>
    </row>
    <row r="15" spans="1:17" ht="18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</v>
      </c>
      <c r="L15" s="22">
        <v>17</v>
      </c>
      <c r="M15" s="93">
        <f t="shared" si="3"/>
        <v>20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10</v>
      </c>
      <c r="L16" s="22">
        <v>5</v>
      </c>
      <c r="M16" s="93">
        <f t="shared" si="3"/>
        <v>15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49</v>
      </c>
      <c r="L17" s="22">
        <v>18</v>
      </c>
      <c r="M17" s="93">
        <f t="shared" si="3"/>
        <v>67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454</v>
      </c>
      <c r="O18" s="252" t="s">
        <v>71</v>
      </c>
      <c r="P18" s="253"/>
      <c r="Q18" s="65" t="s">
        <v>70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48</v>
      </c>
      <c r="O19" s="69">
        <v>1417.95</v>
      </c>
      <c r="P19" s="46" t="s">
        <v>77</v>
      </c>
      <c r="Q19" s="65" t="s">
        <v>198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53</v>
      </c>
      <c r="O20" s="77" t="s">
        <v>65</v>
      </c>
      <c r="P20" s="75">
        <v>80</v>
      </c>
      <c r="Q20" s="65">
        <v>5611.63</v>
      </c>
    </row>
    <row r="21" spans="1:20" ht="25.5" customHeight="1" x14ac:dyDescent="0.25">
      <c r="A21" s="16" t="s">
        <v>46</v>
      </c>
      <c r="B21" s="66">
        <v>206.25</v>
      </c>
      <c r="C21" s="66">
        <v>206.40625</v>
      </c>
      <c r="D21" s="66">
        <f t="shared" ref="D21:D23" si="4">C21-B21</f>
        <v>0.15625</v>
      </c>
      <c r="E21" s="66">
        <v>206.60416666666666</v>
      </c>
      <c r="F21" s="66">
        <v>206.77083333333334</v>
      </c>
      <c r="G21" s="66">
        <f>F21-E21</f>
        <v>0.16666666666668561</v>
      </c>
      <c r="H21" s="66">
        <v>206.94097222222223</v>
      </c>
      <c r="I21" s="66">
        <v>207.20833333333334</v>
      </c>
      <c r="J21" s="71">
        <f>I21-H21-K21</f>
        <v>0.26736111111111427</v>
      </c>
      <c r="K21" s="66"/>
      <c r="L21" s="73">
        <f>D21+G21+J21</f>
        <v>0.59027777777779988</v>
      </c>
      <c r="M21" s="155" t="s">
        <v>47</v>
      </c>
      <c r="N21" s="65">
        <f>M17+M12+M7</f>
        <v>132</v>
      </c>
      <c r="O21" s="78" t="s">
        <v>69</v>
      </c>
      <c r="P21" s="75">
        <v>217</v>
      </c>
      <c r="Q21" s="65">
        <v>5507.66</v>
      </c>
    </row>
    <row r="22" spans="1:20" ht="27" customHeight="1" x14ac:dyDescent="0.25">
      <c r="A22" s="16" t="s">
        <v>48</v>
      </c>
      <c r="B22" s="66">
        <v>206.24652777777777</v>
      </c>
      <c r="C22" s="66">
        <v>206.54166666666666</v>
      </c>
      <c r="D22" s="66">
        <f t="shared" si="4"/>
        <v>0.29513888888888573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/>
      <c r="I22" s="66"/>
      <c r="J22" s="71"/>
      <c r="K22" s="75"/>
      <c r="L22" s="73">
        <f>D22+G22+J22</f>
        <v>0.58680555555554292</v>
      </c>
      <c r="M22" s="49" t="s">
        <v>49</v>
      </c>
      <c r="N22" s="65">
        <v>26767.95</v>
      </c>
      <c r="O22" s="80" t="s">
        <v>66</v>
      </c>
      <c r="P22" s="75">
        <v>195</v>
      </c>
      <c r="Q22" s="65">
        <v>4813.8900000000003</v>
      </c>
    </row>
    <row r="23" spans="1:20" ht="27" customHeight="1" x14ac:dyDescent="0.25">
      <c r="A23" s="158" t="s">
        <v>50</v>
      </c>
      <c r="B23" s="66">
        <v>206.24652777777777</v>
      </c>
      <c r="C23" s="66">
        <v>206.375</v>
      </c>
      <c r="D23" s="66">
        <f t="shared" si="4"/>
        <v>0.12847222222222854</v>
      </c>
      <c r="E23" s="66">
        <v>206.58333333333334</v>
      </c>
      <c r="F23" s="66">
        <v>206.83333333333334</v>
      </c>
      <c r="G23" s="66">
        <f t="shared" si="5"/>
        <v>0.25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0.67013888888891415</v>
      </c>
      <c r="M23" s="155" t="s">
        <v>64</v>
      </c>
      <c r="N23" s="85">
        <v>8</v>
      </c>
      <c r="O23" s="86" t="s">
        <v>67</v>
      </c>
      <c r="P23" s="76">
        <v>303</v>
      </c>
      <c r="Q23" s="65">
        <v>9301.9699999999993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0.57986111111111427</v>
      </c>
      <c r="E24" s="68"/>
      <c r="F24" s="68"/>
      <c r="G24" s="66">
        <f>SUM(G21:G23)</f>
        <v>0.70833333333334281</v>
      </c>
      <c r="H24" s="68"/>
      <c r="I24" s="68"/>
      <c r="J24" s="71">
        <f>SUM(J21:J23)</f>
        <v>0.55902777777779988</v>
      </c>
      <c r="K24" s="75"/>
      <c r="L24" s="83">
        <f>SUM(L21:L23)</f>
        <v>1.847222222222257</v>
      </c>
      <c r="M24" s="65" t="s">
        <v>79</v>
      </c>
      <c r="N24" s="65">
        <v>29509.785</v>
      </c>
      <c r="P24" s="79" t="s">
        <v>68</v>
      </c>
      <c r="Q24" s="43">
        <v>49543.98</v>
      </c>
    </row>
    <row r="25" spans="1:20" ht="20.25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N24+Sheet4!O25</f>
        <v>139427.04499999998</v>
      </c>
      <c r="P25" s="155" t="s">
        <v>78</v>
      </c>
      <c r="Q25" s="87">
        <v>55155.61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46000</v>
      </c>
      <c r="P26" s="51" t="s">
        <v>91</v>
      </c>
      <c r="Q26" s="69">
        <f>Q24+Sheet4!Q26</f>
        <v>199956.24000000002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44.2</v>
      </c>
      <c r="M27" s="55"/>
      <c r="N27" s="88">
        <f>N22/L27</f>
        <v>605.60972850678729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4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8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199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>
        <v>2</v>
      </c>
      <c r="D4" s="22">
        <v>29</v>
      </c>
      <c r="E4" s="22">
        <v>30</v>
      </c>
      <c r="F4" s="22">
        <v>22</v>
      </c>
      <c r="G4" s="22">
        <v>15</v>
      </c>
      <c r="H4" s="22">
        <v>10</v>
      </c>
      <c r="I4" s="22">
        <v>14</v>
      </c>
      <c r="J4" s="22">
        <v>18</v>
      </c>
      <c r="K4" s="22">
        <v>70</v>
      </c>
      <c r="L4" s="22">
        <v>70</v>
      </c>
      <c r="M4" s="93">
        <f>K4+L4</f>
        <v>140</v>
      </c>
      <c r="N4" s="104"/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4</v>
      </c>
      <c r="I5" s="22"/>
      <c r="J5" s="22">
        <v>7</v>
      </c>
      <c r="K5" s="22">
        <v>11</v>
      </c>
      <c r="L5" s="22">
        <v>0</v>
      </c>
      <c r="M5" s="93">
        <f t="shared" ref="M5:M7" si="0">K5+L5</f>
        <v>11</v>
      </c>
      <c r="N5" s="104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4</v>
      </c>
      <c r="F6" s="22">
        <v>4</v>
      </c>
      <c r="G6" s="22"/>
      <c r="H6" s="22">
        <v>2</v>
      </c>
      <c r="I6" s="22">
        <v>7</v>
      </c>
      <c r="J6" s="22">
        <v>6</v>
      </c>
      <c r="K6" s="22">
        <v>23</v>
      </c>
      <c r="L6" s="22">
        <v>5</v>
      </c>
      <c r="M6" s="93">
        <f t="shared" si="0"/>
        <v>28</v>
      </c>
      <c r="N6" s="104"/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8</v>
      </c>
      <c r="E7" s="22">
        <v>3</v>
      </c>
      <c r="F7" s="22">
        <v>4</v>
      </c>
      <c r="G7" s="22">
        <v>1</v>
      </c>
      <c r="H7" s="22">
        <v>1</v>
      </c>
      <c r="I7" s="22">
        <v>1</v>
      </c>
      <c r="J7" s="22"/>
      <c r="K7" s="22">
        <v>8</v>
      </c>
      <c r="L7" s="22">
        <v>9</v>
      </c>
      <c r="M7" s="93">
        <f t="shared" si="0"/>
        <v>17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15</v>
      </c>
      <c r="E9" s="22">
        <v>20</v>
      </c>
      <c r="F9" s="22">
        <v>20</v>
      </c>
      <c r="G9" s="22">
        <v>15</v>
      </c>
      <c r="H9" s="22">
        <v>20</v>
      </c>
      <c r="I9" s="22">
        <v>20</v>
      </c>
      <c r="J9" s="22">
        <v>15</v>
      </c>
      <c r="K9" s="22">
        <v>60</v>
      </c>
      <c r="L9" s="22">
        <v>65</v>
      </c>
      <c r="M9" s="93">
        <f t="shared" ref="M9:M12" si="2">K9+L9</f>
        <v>125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3</v>
      </c>
      <c r="F10" s="22"/>
      <c r="G10" s="22">
        <v>7</v>
      </c>
      <c r="H10" s="22">
        <v>3</v>
      </c>
      <c r="I10" s="22">
        <v>2</v>
      </c>
      <c r="J10" s="22"/>
      <c r="K10" s="22">
        <v>17</v>
      </c>
      <c r="L10" s="22">
        <v>0</v>
      </c>
      <c r="M10" s="93">
        <f t="shared" si="2"/>
        <v>17</v>
      </c>
      <c r="N10" s="82"/>
      <c r="O10" s="250" t="s">
        <v>169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8</v>
      </c>
      <c r="E11" s="22">
        <v>7</v>
      </c>
      <c r="F11" s="22">
        <v>10</v>
      </c>
      <c r="G11" s="22">
        <v>6</v>
      </c>
      <c r="H11" s="22">
        <v>9</v>
      </c>
      <c r="I11" s="22">
        <v>5</v>
      </c>
      <c r="J11" s="22"/>
      <c r="K11" s="22">
        <v>45</v>
      </c>
      <c r="L11" s="22">
        <v>0</v>
      </c>
      <c r="M11" s="93">
        <f t="shared" si="2"/>
        <v>45</v>
      </c>
      <c r="N11" s="82"/>
      <c r="O11" s="82"/>
      <c r="P11" s="82"/>
      <c r="Q11" s="181"/>
    </row>
    <row r="12" spans="1:17" ht="13.5" customHeight="1" x14ac:dyDescent="0.25">
      <c r="A12" s="36"/>
      <c r="B12" s="34" t="s">
        <v>19</v>
      </c>
      <c r="C12" s="22"/>
      <c r="D12" s="22"/>
      <c r="E12" s="22">
        <v>3</v>
      </c>
      <c r="F12" s="22">
        <v>3</v>
      </c>
      <c r="G12" s="22"/>
      <c r="H12" s="22"/>
      <c r="I12" s="22"/>
      <c r="J12" s="22"/>
      <c r="K12" s="22">
        <v>3</v>
      </c>
      <c r="L12" s="22">
        <v>8</v>
      </c>
      <c r="M12" s="93">
        <f t="shared" si="2"/>
        <v>11</v>
      </c>
      <c r="N12" s="82"/>
      <c r="O12" s="82"/>
      <c r="P12" s="82"/>
      <c r="Q12" s="182"/>
    </row>
    <row r="13" spans="1:17" ht="33.7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180"/>
      <c r="Q13" s="179"/>
    </row>
    <row r="14" spans="1:17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102</v>
      </c>
      <c r="L14" s="22">
        <v>90</v>
      </c>
      <c r="M14" s="93">
        <f t="shared" ref="M14:M17" si="3">K14+L14</f>
        <v>192</v>
      </c>
      <c r="N14" s="103"/>
      <c r="O14" s="103"/>
      <c r="P14" s="82"/>
      <c r="Q14" s="37"/>
    </row>
    <row r="15" spans="1:17" ht="15.7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33</v>
      </c>
      <c r="L15" s="22">
        <v>0</v>
      </c>
      <c r="M15" s="93">
        <f t="shared" si="3"/>
        <v>33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25</v>
      </c>
      <c r="L16" s="22">
        <v>0</v>
      </c>
      <c r="M16" s="93">
        <f t="shared" si="3"/>
        <v>25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5</v>
      </c>
      <c r="L17" s="22">
        <v>10</v>
      </c>
      <c r="M17" s="93">
        <f t="shared" si="3"/>
        <v>15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457</v>
      </c>
      <c r="O18" s="252" t="s">
        <v>71</v>
      </c>
      <c r="P18" s="253"/>
      <c r="Q18" s="65" t="s">
        <v>70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61</v>
      </c>
      <c r="O19" s="69">
        <v>1744.13</v>
      </c>
      <c r="P19" s="46" t="s">
        <v>77</v>
      </c>
      <c r="Q19" s="65" t="s">
        <v>200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98</v>
      </c>
      <c r="O20" s="77" t="s">
        <v>65</v>
      </c>
      <c r="P20" s="75">
        <v>80</v>
      </c>
      <c r="Q20" s="65">
        <v>5743.68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:D23" si="4">C21-B21</f>
        <v>0.29861111111111427</v>
      </c>
      <c r="E21" s="66">
        <v>206.59375</v>
      </c>
      <c r="F21" s="66">
        <v>206.875</v>
      </c>
      <c r="G21" s="66">
        <f>F21-E21</f>
        <v>0.28125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0.87152777777779988</v>
      </c>
      <c r="M21" s="155" t="s">
        <v>47</v>
      </c>
      <c r="N21" s="65">
        <f>M17+M12+M7</f>
        <v>43</v>
      </c>
      <c r="O21" s="78" t="s">
        <v>69</v>
      </c>
      <c r="P21" s="75">
        <v>211</v>
      </c>
      <c r="Q21" s="65">
        <v>5420.95</v>
      </c>
    </row>
    <row r="22" spans="1:20" ht="27" customHeight="1" x14ac:dyDescent="0.25">
      <c r="A22" s="16" t="s">
        <v>48</v>
      </c>
      <c r="B22" s="66"/>
      <c r="C22" s="66"/>
      <c r="D22" s="66"/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0.58680555555554292</v>
      </c>
      <c r="M22" s="49" t="s">
        <v>49</v>
      </c>
      <c r="N22" s="65">
        <v>29694.13</v>
      </c>
      <c r="O22" s="80" t="s">
        <v>66</v>
      </c>
      <c r="P22" s="75">
        <v>194</v>
      </c>
      <c r="Q22" s="65">
        <v>4744.6099999999997</v>
      </c>
    </row>
    <row r="23" spans="1:20" ht="27" customHeight="1" x14ac:dyDescent="0.25">
      <c r="A23" s="158" t="s">
        <v>50</v>
      </c>
      <c r="B23" s="66">
        <v>206.27083333333334</v>
      </c>
      <c r="C23" s="66">
        <v>206.54166666666666</v>
      </c>
      <c r="D23" s="66">
        <f t="shared" si="4"/>
        <v>0.27083333333331439</v>
      </c>
      <c r="E23" s="66">
        <v>206.59027777777777</v>
      </c>
      <c r="F23" s="66">
        <v>206.875</v>
      </c>
      <c r="G23" s="66">
        <f t="shared" si="5"/>
        <v>0.28472222222222854</v>
      </c>
      <c r="H23" s="66">
        <v>206.95833333333334</v>
      </c>
      <c r="I23" s="66">
        <v>207.20833333333334</v>
      </c>
      <c r="J23" s="71">
        <f>I23-H23-K23</f>
        <v>0.25</v>
      </c>
      <c r="K23" s="156"/>
      <c r="L23" s="157">
        <f>D23+G23+J23</f>
        <v>0.80555555555554292</v>
      </c>
      <c r="M23" s="155" t="s">
        <v>64</v>
      </c>
      <c r="N23" s="85">
        <v>8</v>
      </c>
      <c r="O23" s="86" t="s">
        <v>67</v>
      </c>
      <c r="P23" s="76">
        <v>313</v>
      </c>
      <c r="Q23" s="65">
        <v>9428.7900000000009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0.56944444444442865</v>
      </c>
      <c r="E24" s="68"/>
      <c r="F24" s="68"/>
      <c r="G24" s="66">
        <f>SUM(G21:G23)</f>
        <v>0.85763888888888573</v>
      </c>
      <c r="H24" s="68"/>
      <c r="I24" s="68"/>
      <c r="J24" s="71">
        <f>SUM(J21:J23)</f>
        <v>0.83680555555557135</v>
      </c>
      <c r="K24" s="75"/>
      <c r="L24" s="83">
        <f>SUM(L21:L23)</f>
        <v>2.2638888888888857</v>
      </c>
      <c r="M24" s="65" t="s">
        <v>79</v>
      </c>
      <c r="N24" s="65">
        <v>30089.37</v>
      </c>
      <c r="P24" s="79" t="s">
        <v>68</v>
      </c>
      <c r="Q24" s="43">
        <v>50287.58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N24+Sheet5!O25</f>
        <v>169516.41499999998</v>
      </c>
      <c r="P25" s="155" t="s">
        <v>78</v>
      </c>
      <c r="Q25" s="87">
        <v>56031.199999999997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42000</v>
      </c>
      <c r="P26" s="51" t="s">
        <v>91</v>
      </c>
      <c r="Q26" s="69">
        <f>Q24+Sheet5!Q26</f>
        <v>250243.82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54.2</v>
      </c>
      <c r="M27" s="55"/>
      <c r="N27" s="88">
        <f>N22/L27</f>
        <v>547.8621771217712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9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3.5703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201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30</v>
      </c>
      <c r="F4" s="22">
        <v>25</v>
      </c>
      <c r="G4" s="22">
        <v>14</v>
      </c>
      <c r="H4" s="22">
        <v>19</v>
      </c>
      <c r="I4" s="22">
        <v>32</v>
      </c>
      <c r="J4" s="22">
        <v>16</v>
      </c>
      <c r="K4" s="22">
        <v>124</v>
      </c>
      <c r="L4" s="22">
        <v>37</v>
      </c>
      <c r="M4" s="93">
        <f>K4+L4</f>
        <v>161</v>
      </c>
      <c r="N4" s="104"/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3</v>
      </c>
      <c r="J5" s="22">
        <v>3</v>
      </c>
      <c r="K5" s="22">
        <v>6</v>
      </c>
      <c r="L5" s="22">
        <v>0</v>
      </c>
      <c r="M5" s="93">
        <f t="shared" ref="M5:M7" si="0">K5+L5</f>
        <v>6</v>
      </c>
      <c r="N5" s="104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4</v>
      </c>
      <c r="F6" s="22">
        <v>8</v>
      </c>
      <c r="G6" s="22">
        <v>2</v>
      </c>
      <c r="H6" s="22">
        <v>1</v>
      </c>
      <c r="I6" s="22"/>
      <c r="J6" s="22"/>
      <c r="K6" s="22">
        <v>13</v>
      </c>
      <c r="L6" s="22">
        <v>5</v>
      </c>
      <c r="M6" s="93">
        <f t="shared" si="0"/>
        <v>18</v>
      </c>
      <c r="N6" s="104"/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5</v>
      </c>
      <c r="E7" s="22">
        <v>4</v>
      </c>
      <c r="F7" s="22">
        <v>6</v>
      </c>
      <c r="G7" s="22"/>
      <c r="H7" s="22">
        <v>3</v>
      </c>
      <c r="I7" s="22">
        <v>5</v>
      </c>
      <c r="J7" s="22">
        <v>3</v>
      </c>
      <c r="K7" s="22">
        <v>16</v>
      </c>
      <c r="L7" s="22">
        <v>10</v>
      </c>
      <c r="M7" s="93">
        <f t="shared" si="0"/>
        <v>26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7.25" customHeight="1" x14ac:dyDescent="0.25">
      <c r="A9" s="33"/>
      <c r="B9" s="34" t="s">
        <v>14</v>
      </c>
      <c r="C9" s="22"/>
      <c r="D9" s="22">
        <v>14</v>
      </c>
      <c r="E9" s="22">
        <v>20</v>
      </c>
      <c r="F9" s="22">
        <v>20</v>
      </c>
      <c r="G9" s="22">
        <v>15</v>
      </c>
      <c r="H9" s="22">
        <v>17</v>
      </c>
      <c r="I9" s="22">
        <v>15</v>
      </c>
      <c r="J9" s="22">
        <v>10</v>
      </c>
      <c r="K9" s="22">
        <v>65</v>
      </c>
      <c r="L9" s="22">
        <v>46</v>
      </c>
      <c r="M9" s="93">
        <f t="shared" ref="M9:M12" si="2">K9+L9</f>
        <v>111</v>
      </c>
      <c r="N9" s="82"/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4</v>
      </c>
      <c r="F10" s="22">
        <v>5</v>
      </c>
      <c r="G10" s="22">
        <v>6</v>
      </c>
      <c r="H10" s="22">
        <v>3</v>
      </c>
      <c r="I10" s="22">
        <v>4</v>
      </c>
      <c r="J10" s="22">
        <v>2</v>
      </c>
      <c r="K10" s="22">
        <v>29</v>
      </c>
      <c r="L10" s="22">
        <v>0</v>
      </c>
      <c r="M10" s="93">
        <f t="shared" si="2"/>
        <v>29</v>
      </c>
      <c r="N10" s="82"/>
      <c r="O10" s="250" t="s">
        <v>72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10</v>
      </c>
      <c r="E11" s="22">
        <v>7</v>
      </c>
      <c r="F11" s="22">
        <v>8</v>
      </c>
      <c r="G11" s="22">
        <v>2</v>
      </c>
      <c r="H11" s="22">
        <v>5</v>
      </c>
      <c r="I11" s="22">
        <v>6</v>
      </c>
      <c r="J11" s="22">
        <v>3</v>
      </c>
      <c r="K11" s="22">
        <v>41</v>
      </c>
      <c r="L11" s="22">
        <v>0</v>
      </c>
      <c r="M11" s="93">
        <f t="shared" si="2"/>
        <v>41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8</v>
      </c>
      <c r="F12" s="22">
        <v>2</v>
      </c>
      <c r="G12" s="22">
        <v>6</v>
      </c>
      <c r="H12" s="22">
        <v>7</v>
      </c>
      <c r="I12" s="22">
        <v>7</v>
      </c>
      <c r="J12" s="22">
        <v>16</v>
      </c>
      <c r="K12" s="22">
        <v>20</v>
      </c>
      <c r="L12" s="22">
        <v>0</v>
      </c>
      <c r="M12" s="93">
        <f t="shared" si="2"/>
        <v>20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23</v>
      </c>
      <c r="E14" s="22">
        <v>30</v>
      </c>
      <c r="F14" s="22">
        <v>26</v>
      </c>
      <c r="G14" s="22">
        <v>28</v>
      </c>
      <c r="H14" s="22">
        <v>34</v>
      </c>
      <c r="I14" s="22">
        <v>28</v>
      </c>
      <c r="J14" s="22">
        <v>35</v>
      </c>
      <c r="K14" s="22">
        <v>125</v>
      </c>
      <c r="L14" s="22">
        <v>78</v>
      </c>
      <c r="M14" s="93">
        <f t="shared" ref="M14:M17" si="3">K14+L14</f>
        <v>203</v>
      </c>
      <c r="N14" s="103"/>
      <c r="O14" s="101"/>
      <c r="P14" s="82"/>
      <c r="Q14" s="37"/>
    </row>
    <row r="15" spans="1:17" ht="14.25" customHeight="1" x14ac:dyDescent="0.25">
      <c r="A15" s="106" t="s">
        <v>36</v>
      </c>
      <c r="B15" s="21" t="s">
        <v>16</v>
      </c>
      <c r="C15" s="22"/>
      <c r="D15" s="22">
        <v>5</v>
      </c>
      <c r="E15" s="22">
        <v>4</v>
      </c>
      <c r="F15" s="22">
        <v>6</v>
      </c>
      <c r="G15" s="22">
        <v>6</v>
      </c>
      <c r="H15" s="22">
        <v>8</v>
      </c>
      <c r="I15" s="22">
        <v>3</v>
      </c>
      <c r="J15" s="22">
        <v>3</v>
      </c>
      <c r="K15" s="22">
        <v>35</v>
      </c>
      <c r="L15" s="22">
        <v>0</v>
      </c>
      <c r="M15" s="93">
        <f t="shared" si="3"/>
        <v>35</v>
      </c>
      <c r="N15" s="103"/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3</v>
      </c>
      <c r="E16" s="22">
        <v>7</v>
      </c>
      <c r="F16" s="22">
        <v>4</v>
      </c>
      <c r="G16" s="22">
        <v>4</v>
      </c>
      <c r="H16" s="22">
        <v>6</v>
      </c>
      <c r="I16" s="22">
        <v>3</v>
      </c>
      <c r="J16" s="22">
        <v>3</v>
      </c>
      <c r="K16" s="22">
        <v>30</v>
      </c>
      <c r="L16" s="22">
        <v>0</v>
      </c>
      <c r="M16" s="93">
        <f t="shared" si="3"/>
        <v>30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>
        <v>4</v>
      </c>
      <c r="F17" s="22">
        <v>3</v>
      </c>
      <c r="G17" s="22">
        <v>3</v>
      </c>
      <c r="H17" s="22">
        <v>4</v>
      </c>
      <c r="I17" s="22">
        <v>2</v>
      </c>
      <c r="J17" s="22"/>
      <c r="K17" s="22">
        <v>6</v>
      </c>
      <c r="L17" s="22">
        <v>11</v>
      </c>
      <c r="M17" s="93">
        <f t="shared" si="3"/>
        <v>17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475</v>
      </c>
      <c r="O18" s="252" t="s">
        <v>71</v>
      </c>
      <c r="P18" s="253"/>
      <c r="Q18" s="65" t="s">
        <v>202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70</v>
      </c>
      <c r="O19" s="69">
        <v>1727.75</v>
      </c>
      <c r="P19" s="46" t="s">
        <v>178</v>
      </c>
      <c r="Q19" s="65" t="s">
        <v>203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89</v>
      </c>
      <c r="O20" s="77" t="s">
        <v>65</v>
      </c>
      <c r="P20" s="75">
        <v>100</v>
      </c>
      <c r="Q20" s="65">
        <v>7175.81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:D23" si="4">C21-B21</f>
        <v>0.29861111111111427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0.88888888888888573</v>
      </c>
      <c r="M21" s="155" t="s">
        <v>47</v>
      </c>
      <c r="N21" s="65">
        <f>M17+M12+M7</f>
        <v>63</v>
      </c>
      <c r="O21" s="78" t="s">
        <v>69</v>
      </c>
      <c r="P21" s="75">
        <v>205</v>
      </c>
      <c r="Q21" s="65">
        <v>5166.04</v>
      </c>
    </row>
    <row r="22" spans="1:20" ht="27" customHeight="1" x14ac:dyDescent="0.25">
      <c r="A22" s="16" t="s">
        <v>48</v>
      </c>
      <c r="B22" s="66">
        <v>206.29861111111111</v>
      </c>
      <c r="C22" s="66">
        <v>206.54166666666666</v>
      </c>
      <c r="D22" s="66">
        <f t="shared" si="4"/>
        <v>0.24305555555554292</v>
      </c>
      <c r="E22" s="66">
        <v>206.60069444444446</v>
      </c>
      <c r="F22" s="66">
        <v>206.72916666666666</v>
      </c>
      <c r="G22" s="66">
        <f t="shared" ref="G22:G23" si="5">F22-E22</f>
        <v>0.12847222222220012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0.66319444444442865</v>
      </c>
      <c r="M22" s="49" t="s">
        <v>49</v>
      </c>
      <c r="N22" s="65">
        <v>29877.79</v>
      </c>
      <c r="O22" s="80" t="s">
        <v>66</v>
      </c>
      <c r="P22" s="75">
        <v>175</v>
      </c>
      <c r="Q22" s="65">
        <v>4295.2299999999996</v>
      </c>
    </row>
    <row r="23" spans="1:20" ht="27" customHeight="1" x14ac:dyDescent="0.25">
      <c r="A23" s="158" t="s">
        <v>50</v>
      </c>
      <c r="B23" s="66">
        <v>206.29166666666666</v>
      </c>
      <c r="C23" s="66">
        <v>206.54166666666666</v>
      </c>
      <c r="D23" s="66">
        <f t="shared" si="4"/>
        <v>0.25</v>
      </c>
      <c r="E23" s="66">
        <v>206.58680555555554</v>
      </c>
      <c r="F23" s="66">
        <v>206.75694444444446</v>
      </c>
      <c r="G23" s="66">
        <f t="shared" si="5"/>
        <v>0.17013888888891415</v>
      </c>
      <c r="H23" s="66">
        <v>206.875</v>
      </c>
      <c r="I23" s="66">
        <v>207.20833333333334</v>
      </c>
      <c r="J23" s="71">
        <f>I23-H23-K23</f>
        <v>0.33333333333334281</v>
      </c>
      <c r="K23" s="156"/>
      <c r="L23" s="157">
        <f>D23+G23+J23</f>
        <v>0.75347222222225696</v>
      </c>
      <c r="M23" s="155" t="s">
        <v>64</v>
      </c>
      <c r="N23" s="85">
        <v>7</v>
      </c>
      <c r="O23" s="86" t="s">
        <v>67</v>
      </c>
      <c r="P23" s="76">
        <v>327</v>
      </c>
      <c r="Q23" s="65">
        <v>9938.02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0.79166666666665719</v>
      </c>
      <c r="E24" s="68"/>
      <c r="F24" s="68"/>
      <c r="G24" s="66">
        <f>SUM(G21:G23)</f>
        <v>0.59027777777777146</v>
      </c>
      <c r="H24" s="68"/>
      <c r="I24" s="68"/>
      <c r="J24" s="71">
        <f>SUM(J21:J23)</f>
        <v>0.92361111111114269</v>
      </c>
      <c r="K24" s="75"/>
      <c r="L24" s="83">
        <f>SUM(L21:L23)</f>
        <v>2.3055555555555713</v>
      </c>
      <c r="M24" s="65" t="s">
        <v>79</v>
      </c>
      <c r="N24" s="65">
        <v>26485.51</v>
      </c>
      <c r="P24" s="79" t="s">
        <v>68</v>
      </c>
      <c r="Q24" s="43">
        <v>50129.33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N24+Sheet6!O25</f>
        <v>196001.92499999999</v>
      </c>
      <c r="P25" s="155" t="s">
        <v>78</v>
      </c>
      <c r="Q25" s="87">
        <v>57305.14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44000</v>
      </c>
      <c r="P26" s="51" t="s">
        <v>91</v>
      </c>
      <c r="Q26" s="69">
        <f>Q24+Sheet6!Q26</f>
        <v>300373.15000000002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55.2</v>
      </c>
      <c r="M27" s="55"/>
      <c r="N27" s="88">
        <f>N22/L27</f>
        <v>541.26431159420292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8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B14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204</v>
      </c>
    </row>
    <row r="3" spans="1:17" ht="29.2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 t="s">
        <v>13</v>
      </c>
      <c r="D4" s="22">
        <v>24</v>
      </c>
      <c r="E4" s="22">
        <v>26</v>
      </c>
      <c r="F4" s="22">
        <v>21</v>
      </c>
      <c r="G4" s="22">
        <v>9</v>
      </c>
      <c r="H4" s="22">
        <v>27</v>
      </c>
      <c r="I4" s="22">
        <v>28</v>
      </c>
      <c r="J4" s="22">
        <v>22</v>
      </c>
      <c r="K4" s="22">
        <v>85</v>
      </c>
      <c r="L4" s="22">
        <v>72</v>
      </c>
      <c r="M4" s="93">
        <f>K4+L4</f>
        <v>157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4</v>
      </c>
      <c r="J5" s="22">
        <v>5</v>
      </c>
      <c r="K5" s="22">
        <v>12</v>
      </c>
      <c r="L5" s="22">
        <v>0</v>
      </c>
      <c r="M5" s="93">
        <f t="shared" ref="M5:M7" si="0">K5+L5</f>
        <v>12</v>
      </c>
      <c r="N5" s="104" t="s">
        <v>205</v>
      </c>
      <c r="O5" s="66">
        <v>207.0625</v>
      </c>
      <c r="P5" s="66" t="s">
        <v>209</v>
      </c>
      <c r="Q5" s="66" t="s">
        <v>208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9</v>
      </c>
      <c r="F6" s="22">
        <v>16</v>
      </c>
      <c r="G6" s="22">
        <v>10</v>
      </c>
      <c r="H6" s="22">
        <v>2</v>
      </c>
      <c r="I6" s="22">
        <v>3</v>
      </c>
      <c r="J6" s="22">
        <v>2</v>
      </c>
      <c r="K6" s="22">
        <v>42</v>
      </c>
      <c r="L6" s="22">
        <v>5</v>
      </c>
      <c r="M6" s="93">
        <f t="shared" si="0"/>
        <v>47</v>
      </c>
      <c r="N6" s="104" t="s">
        <v>57</v>
      </c>
      <c r="O6" s="96"/>
      <c r="P6" s="65"/>
      <c r="Q6" s="248" t="s">
        <v>13</v>
      </c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5</v>
      </c>
      <c r="F7" s="22">
        <v>7</v>
      </c>
      <c r="G7" s="22">
        <v>3</v>
      </c>
      <c r="H7" s="22">
        <v>2</v>
      </c>
      <c r="I7" s="22">
        <v>2</v>
      </c>
      <c r="J7" s="22">
        <v>1</v>
      </c>
      <c r="K7" s="22">
        <v>8</v>
      </c>
      <c r="L7" s="22">
        <v>15</v>
      </c>
      <c r="M7" s="93">
        <f t="shared" si="0"/>
        <v>23</v>
      </c>
      <c r="N7" s="104" t="s">
        <v>13</v>
      </c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4.25" customHeight="1" x14ac:dyDescent="0.25">
      <c r="A9" s="33"/>
      <c r="B9" s="34" t="s">
        <v>14</v>
      </c>
      <c r="C9" s="22"/>
      <c r="D9" s="22">
        <v>15</v>
      </c>
      <c r="E9" s="22">
        <v>20</v>
      </c>
      <c r="F9" s="22">
        <v>22</v>
      </c>
      <c r="G9" s="22">
        <v>17</v>
      </c>
      <c r="H9" s="22">
        <v>18</v>
      </c>
      <c r="I9" s="22">
        <v>18</v>
      </c>
      <c r="J9" s="22">
        <v>15</v>
      </c>
      <c r="K9" s="22">
        <v>95</v>
      </c>
      <c r="L9" s="22">
        <v>30</v>
      </c>
      <c r="M9" s="93">
        <f t="shared" ref="M9:M12" si="1">K9+L9</f>
        <v>125</v>
      </c>
      <c r="N9" s="82" t="s">
        <v>57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27</v>
      </c>
      <c r="L10" s="22">
        <v>0</v>
      </c>
      <c r="M10" s="93">
        <f t="shared" si="1"/>
        <v>27</v>
      </c>
      <c r="N10" s="82" t="s">
        <v>57</v>
      </c>
      <c r="O10" s="250" t="s">
        <v>72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19</v>
      </c>
      <c r="L11" s="22">
        <v>5</v>
      </c>
      <c r="M11" s="93">
        <f t="shared" si="1"/>
        <v>24</v>
      </c>
      <c r="N11" s="82" t="s">
        <v>170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8</v>
      </c>
      <c r="L12" s="22">
        <v>5</v>
      </c>
      <c r="M12" s="93">
        <f t="shared" si="1"/>
        <v>13</v>
      </c>
      <c r="N12" s="82"/>
      <c r="O12" s="82"/>
      <c r="P12" s="82"/>
      <c r="Q12" s="37"/>
    </row>
    <row r="13" spans="1:17" ht="32.2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>
        <v>38</v>
      </c>
      <c r="E14" s="22">
        <v>34</v>
      </c>
      <c r="F14" s="22">
        <v>32</v>
      </c>
      <c r="G14" s="22">
        <v>30</v>
      </c>
      <c r="H14" s="22">
        <v>28</v>
      </c>
      <c r="I14" s="22">
        <v>35</v>
      </c>
      <c r="J14" s="22">
        <v>31</v>
      </c>
      <c r="K14" s="22">
        <v>128</v>
      </c>
      <c r="L14" s="22">
        <v>100</v>
      </c>
      <c r="M14" s="93">
        <f t="shared" ref="M14:M17" si="2">K14+L14</f>
        <v>228</v>
      </c>
      <c r="N14" s="103" t="s">
        <v>57</v>
      </c>
      <c r="O14" s="101"/>
      <c r="P14" s="82"/>
      <c r="Q14" s="37"/>
    </row>
    <row r="15" spans="1:17" ht="17.25" customHeight="1" x14ac:dyDescent="0.25">
      <c r="A15" s="106" t="s">
        <v>36</v>
      </c>
      <c r="B15" s="21" t="s">
        <v>16</v>
      </c>
      <c r="C15" s="22"/>
      <c r="D15" s="22">
        <v>5</v>
      </c>
      <c r="E15" s="22">
        <v>7</v>
      </c>
      <c r="F15" s="22">
        <v>5</v>
      </c>
      <c r="G15" s="22">
        <v>3</v>
      </c>
      <c r="H15" s="22">
        <v>1</v>
      </c>
      <c r="I15" s="22">
        <v>7</v>
      </c>
      <c r="J15" s="22">
        <v>5</v>
      </c>
      <c r="K15" s="22">
        <v>33</v>
      </c>
      <c r="L15" s="22">
        <v>0</v>
      </c>
      <c r="M15" s="93">
        <f t="shared" si="2"/>
        <v>33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>
        <v>2</v>
      </c>
      <c r="E16" s="22">
        <v>3</v>
      </c>
      <c r="F16" s="22">
        <v>3</v>
      </c>
      <c r="G16" s="22">
        <v>3</v>
      </c>
      <c r="H16" s="22"/>
      <c r="I16" s="22"/>
      <c r="J16" s="22"/>
      <c r="K16" s="22">
        <v>0</v>
      </c>
      <c r="L16" s="22">
        <v>15</v>
      </c>
      <c r="M16" s="93">
        <f t="shared" si="2"/>
        <v>15</v>
      </c>
      <c r="N16" s="103"/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2</v>
      </c>
      <c r="F17" s="22">
        <v>5</v>
      </c>
      <c r="G17" s="22">
        <v>2</v>
      </c>
      <c r="H17" s="22">
        <v>4</v>
      </c>
      <c r="I17" s="22">
        <v>5</v>
      </c>
      <c r="J17" s="22">
        <v>11</v>
      </c>
      <c r="K17" s="22">
        <v>33</v>
      </c>
      <c r="L17" s="22">
        <v>0</v>
      </c>
      <c r="M17" s="93">
        <f t="shared" si="2"/>
        <v>33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510</v>
      </c>
      <c r="O18" s="252" t="s">
        <v>71</v>
      </c>
      <c r="P18" s="253"/>
      <c r="Q18" s="65" t="s">
        <v>206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72</v>
      </c>
      <c r="O19" s="69">
        <v>1878.37</v>
      </c>
      <c r="P19" s="46" t="s">
        <v>130</v>
      </c>
      <c r="Q19" s="65" t="s">
        <v>207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86</v>
      </c>
      <c r="O20" s="77" t="s">
        <v>65</v>
      </c>
      <c r="P20" s="75">
        <v>60</v>
      </c>
      <c r="Q20" s="65">
        <v>4094.34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2" si="3">C21-B21</f>
        <v>0.29166666666665719</v>
      </c>
      <c r="E21" s="66">
        <v>206.64583333333334</v>
      </c>
      <c r="F21" s="66">
        <v>206.77083333333334</v>
      </c>
      <c r="G21" s="66">
        <f>F21-E21</f>
        <v>0.125</v>
      </c>
      <c r="H21" s="66">
        <v>206.92708333333334</v>
      </c>
      <c r="I21" s="66">
        <v>207.06944444444446</v>
      </c>
      <c r="J21" s="71">
        <f>I21-H21-K21</f>
        <v>0.14236111111111427</v>
      </c>
      <c r="K21" s="66"/>
      <c r="L21" s="73">
        <f>D21+G21+J21</f>
        <v>0.55902777777777146</v>
      </c>
      <c r="M21" s="155" t="s">
        <v>47</v>
      </c>
      <c r="N21" s="65">
        <f>M17+M12+M7</f>
        <v>69</v>
      </c>
      <c r="O21" s="78" t="s">
        <v>69</v>
      </c>
      <c r="P21" s="75">
        <v>258</v>
      </c>
      <c r="Q21" s="65">
        <v>6404.81</v>
      </c>
    </row>
    <row r="22" spans="1:20" ht="27" customHeight="1" x14ac:dyDescent="0.25">
      <c r="A22" s="16" t="s">
        <v>48</v>
      </c>
      <c r="B22" s="66">
        <v>206.32986111111111</v>
      </c>
      <c r="C22" s="66">
        <v>206.54166666666666</v>
      </c>
      <c r="D22" s="66">
        <f t="shared" si="3"/>
        <v>0.21180555555554292</v>
      </c>
      <c r="E22" s="66">
        <v>206.54166666666666</v>
      </c>
      <c r="F22" s="66">
        <v>206.82986111111111</v>
      </c>
      <c r="G22" s="66">
        <f t="shared" ref="G22:G23" si="4">F22-E22</f>
        <v>0.28819444444445708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0.79513888888888573</v>
      </c>
      <c r="M22" s="49" t="s">
        <v>49</v>
      </c>
      <c r="N22" s="65">
        <v>29528.37</v>
      </c>
      <c r="O22" s="80" t="s">
        <v>66</v>
      </c>
      <c r="P22" s="75">
        <v>184</v>
      </c>
      <c r="Q22" s="65">
        <v>4498.87</v>
      </c>
    </row>
    <row r="23" spans="1:20" ht="27" customHeight="1" x14ac:dyDescent="0.25">
      <c r="A23" s="158" t="s">
        <v>50</v>
      </c>
      <c r="B23" s="66">
        <v>206.28819444444446</v>
      </c>
      <c r="C23" s="66">
        <v>206.54166666666666</v>
      </c>
      <c r="D23" s="66">
        <f t="shared" ref="D23" si="5">C23-B23</f>
        <v>0.25347222222220012</v>
      </c>
      <c r="E23" s="66">
        <v>206.58333333333334</v>
      </c>
      <c r="F23" s="66">
        <v>206.79166666666666</v>
      </c>
      <c r="G23" s="66">
        <f t="shared" si="4"/>
        <v>0.20833333333331439</v>
      </c>
      <c r="H23" s="66">
        <v>206.91666666666666</v>
      </c>
      <c r="I23" s="66">
        <v>207.20833333333334</v>
      </c>
      <c r="J23" s="71">
        <f>I23-H23-K23</f>
        <v>0.29166666666668561</v>
      </c>
      <c r="K23" s="156"/>
      <c r="L23" s="157">
        <f>D23+G23+J23</f>
        <v>0.75347222222220012</v>
      </c>
      <c r="M23" s="155" t="s">
        <v>64</v>
      </c>
      <c r="N23" s="85">
        <v>8</v>
      </c>
      <c r="O23" s="86" t="s">
        <v>67</v>
      </c>
      <c r="P23" s="76">
        <v>371</v>
      </c>
      <c r="Q23" s="65">
        <v>11297.06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0.75694444444440023</v>
      </c>
      <c r="E24" s="68"/>
      <c r="F24" s="68"/>
      <c r="G24" s="66">
        <f>SUM(G21:G23)</f>
        <v>0.62152777777777146</v>
      </c>
      <c r="H24" s="68"/>
      <c r="I24" s="68"/>
      <c r="J24" s="71">
        <f>SUM(J21:J23)</f>
        <v>0.72916666666668561</v>
      </c>
      <c r="K24" s="75"/>
      <c r="L24" s="83">
        <f>SUM(L21:L23)</f>
        <v>2.1076388888888573</v>
      </c>
      <c r="M24" s="65" t="s">
        <v>79</v>
      </c>
      <c r="N24" s="65">
        <v>30012.3</v>
      </c>
      <c r="P24" s="79" t="s">
        <v>68</v>
      </c>
      <c r="Q24" s="43">
        <v>49156.86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N24+Sheet7!O25</f>
        <v>226014.22499999998</v>
      </c>
      <c r="P25" s="155" t="s">
        <v>78</v>
      </c>
      <c r="Q25" s="87">
        <v>53251.199999999997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91</v>
      </c>
      <c r="Q26" s="69">
        <f>Q24+Sheet7!Q26</f>
        <v>349530.01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50.35</v>
      </c>
      <c r="M27" s="55"/>
      <c r="N27" s="88">
        <f>N22/L27</f>
        <v>586.46216484607737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98425196850393704" right="0" top="0" bottom="0" header="0.31496062992125984" footer="0.31496062992125984"/>
  <pageSetup paperSize="9" scale="87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C14" workbookViewId="0">
      <selection activeCell="L30" sqref="L30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211</v>
      </c>
    </row>
    <row r="3" spans="1:17" ht="37.5" customHeight="1" x14ac:dyDescent="0.25">
      <c r="A3" s="15" t="s">
        <v>2</v>
      </c>
      <c r="B3" s="16" t="s">
        <v>3</v>
      </c>
      <c r="C3" s="17" t="s">
        <v>126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2" t="s">
        <v>90</v>
      </c>
      <c r="N3" s="19" t="s">
        <v>12</v>
      </c>
      <c r="O3" s="250" t="s">
        <v>72</v>
      </c>
      <c r="P3" s="251"/>
      <c r="Q3" s="43" t="s">
        <v>73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24</v>
      </c>
      <c r="F4" s="22">
        <v>22</v>
      </c>
      <c r="G4" s="22">
        <v>14</v>
      </c>
      <c r="H4" s="22">
        <v>18</v>
      </c>
      <c r="I4" s="22">
        <v>16</v>
      </c>
      <c r="J4" s="22">
        <v>10</v>
      </c>
      <c r="K4" s="22">
        <v>79</v>
      </c>
      <c r="L4" s="22">
        <v>45</v>
      </c>
      <c r="M4" s="93">
        <f>K4+L4</f>
        <v>124</v>
      </c>
      <c r="N4" s="104" t="s">
        <v>57</v>
      </c>
      <c r="O4" s="95" t="s">
        <v>92</v>
      </c>
      <c r="P4" s="105" t="s">
        <v>93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4</v>
      </c>
      <c r="I5" s="22">
        <v>3</v>
      </c>
      <c r="J5" s="22">
        <v>3</v>
      </c>
      <c r="K5" s="22">
        <v>8</v>
      </c>
      <c r="L5" s="22">
        <v>2</v>
      </c>
      <c r="M5" s="93">
        <f t="shared" ref="M5:M7" si="0">K5+L5</f>
        <v>10</v>
      </c>
      <c r="N5" s="104" t="s">
        <v>170</v>
      </c>
      <c r="O5" s="66">
        <v>206.20833333333334</v>
      </c>
      <c r="P5" s="66">
        <v>206.70833333333334</v>
      </c>
      <c r="Q5" s="66" t="s">
        <v>215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3">
        <f t="shared" si="0"/>
        <v>0</v>
      </c>
      <c r="N6" s="104" t="s">
        <v>57</v>
      </c>
      <c r="O6" s="96"/>
      <c r="P6" s="65"/>
      <c r="Q6" s="248"/>
    </row>
    <row r="7" spans="1:17" ht="15" customHeight="1" x14ac:dyDescent="0.25">
      <c r="A7" s="25"/>
      <c r="B7" s="21" t="s">
        <v>19</v>
      </c>
      <c r="C7" s="22"/>
      <c r="D7" s="22">
        <v>15</v>
      </c>
      <c r="E7" s="22">
        <v>16</v>
      </c>
      <c r="F7" s="22">
        <v>15</v>
      </c>
      <c r="G7" s="22"/>
      <c r="H7" s="22"/>
      <c r="I7" s="22"/>
      <c r="J7" s="22"/>
      <c r="K7" s="22">
        <v>68</v>
      </c>
      <c r="L7" s="22">
        <v>24</v>
      </c>
      <c r="M7" s="93">
        <f t="shared" si="0"/>
        <v>92</v>
      </c>
      <c r="N7" s="104"/>
      <c r="O7" s="97"/>
      <c r="P7" s="65"/>
      <c r="Q7" s="249"/>
    </row>
    <row r="8" spans="1:17" ht="28.5" customHeight="1" x14ac:dyDescent="0.25">
      <c r="A8" s="30" t="s">
        <v>2</v>
      </c>
      <c r="B8" s="31" t="s">
        <v>3</v>
      </c>
      <c r="C8" s="17" t="s">
        <v>127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2" t="s">
        <v>90</v>
      </c>
      <c r="N8" s="32" t="s">
        <v>12</v>
      </c>
      <c r="O8" s="98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15</v>
      </c>
      <c r="E9" s="22">
        <v>17</v>
      </c>
      <c r="F9" s="22">
        <v>18</v>
      </c>
      <c r="G9" s="22">
        <v>15</v>
      </c>
      <c r="H9" s="22">
        <v>30</v>
      </c>
      <c r="I9" s="22">
        <v>20</v>
      </c>
      <c r="J9" s="22">
        <v>30</v>
      </c>
      <c r="K9" s="22">
        <v>75</v>
      </c>
      <c r="L9" s="22">
        <v>70</v>
      </c>
      <c r="M9" s="93">
        <f t="shared" ref="M9:M12" si="1">K9+L9</f>
        <v>145</v>
      </c>
      <c r="N9" s="82" t="s">
        <v>170</v>
      </c>
      <c r="O9" s="99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2</v>
      </c>
      <c r="F10" s="22">
        <v>2</v>
      </c>
      <c r="G10" s="22">
        <v>8</v>
      </c>
      <c r="H10" s="22">
        <v>4</v>
      </c>
      <c r="I10" s="22">
        <v>5</v>
      </c>
      <c r="J10" s="22">
        <v>5</v>
      </c>
      <c r="K10" s="22">
        <v>30</v>
      </c>
      <c r="L10" s="22">
        <v>0</v>
      </c>
      <c r="M10" s="93">
        <f t="shared" si="1"/>
        <v>30</v>
      </c>
      <c r="N10" s="82" t="s">
        <v>57</v>
      </c>
      <c r="O10" s="250" t="s">
        <v>210</v>
      </c>
      <c r="P10" s="251"/>
      <c r="Q10" s="43" t="s">
        <v>73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2</v>
      </c>
      <c r="F11" s="22">
        <v>3</v>
      </c>
      <c r="G11" s="22">
        <v>4</v>
      </c>
      <c r="H11" s="22">
        <v>8</v>
      </c>
      <c r="I11" s="22">
        <v>10</v>
      </c>
      <c r="J11" s="22">
        <v>5</v>
      </c>
      <c r="K11" s="22">
        <v>25</v>
      </c>
      <c r="L11" s="22">
        <v>10</v>
      </c>
      <c r="M11" s="93">
        <f t="shared" si="1"/>
        <v>35</v>
      </c>
      <c r="N11" s="82" t="s">
        <v>13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10</v>
      </c>
      <c r="F12" s="22">
        <v>14</v>
      </c>
      <c r="G12" s="22">
        <v>6</v>
      </c>
      <c r="H12" s="22"/>
      <c r="I12" s="22"/>
      <c r="J12" s="22">
        <v>4</v>
      </c>
      <c r="K12" s="22">
        <v>4</v>
      </c>
      <c r="L12" s="22">
        <v>26</v>
      </c>
      <c r="M12" s="93">
        <f t="shared" si="1"/>
        <v>30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128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2" t="s">
        <v>90</v>
      </c>
      <c r="N13" s="32" t="s">
        <v>12</v>
      </c>
      <c r="O13" s="100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138</v>
      </c>
      <c r="L14" s="22">
        <v>0</v>
      </c>
      <c r="M14" s="93">
        <f t="shared" ref="M14:M17" si="2">K14+L14</f>
        <v>138</v>
      </c>
      <c r="N14" s="103" t="s">
        <v>212</v>
      </c>
      <c r="O14" s="101"/>
      <c r="P14" s="82"/>
      <c r="Q14" s="37"/>
    </row>
    <row r="15" spans="1:17" ht="15" customHeight="1" x14ac:dyDescent="0.25">
      <c r="A15" s="106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33</v>
      </c>
      <c r="L15" s="22">
        <v>0</v>
      </c>
      <c r="M15" s="93">
        <f t="shared" si="2"/>
        <v>33</v>
      </c>
      <c r="N15" s="103" t="s">
        <v>57</v>
      </c>
      <c r="O15" s="102"/>
      <c r="P15" s="82"/>
      <c r="Q15" s="37"/>
    </row>
    <row r="16" spans="1:17" ht="15.75" customHeight="1" x14ac:dyDescent="0.25">
      <c r="A16" s="107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33</v>
      </c>
      <c r="L16" s="22">
        <v>0</v>
      </c>
      <c r="M16" s="93">
        <f t="shared" si="2"/>
        <v>33</v>
      </c>
      <c r="N16" s="103" t="s">
        <v>13</v>
      </c>
      <c r="O16" s="103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5</v>
      </c>
      <c r="L17" s="22">
        <v>0</v>
      </c>
      <c r="M17" s="93">
        <f t="shared" si="2"/>
        <v>5</v>
      </c>
      <c r="N17" s="103"/>
      <c r="O17" s="103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5" t="s">
        <v>38</v>
      </c>
      <c r="N18" s="65">
        <f>M4+M9+M14</f>
        <v>407</v>
      </c>
      <c r="O18" s="252" t="s">
        <v>71</v>
      </c>
      <c r="P18" s="253"/>
      <c r="Q18" s="65" t="s">
        <v>213</v>
      </c>
    </row>
    <row r="19" spans="1:20" ht="15" customHeight="1" x14ac:dyDescent="0.25">
      <c r="A19" s="16" t="s">
        <v>39</v>
      </c>
      <c r="B19" s="254" t="s">
        <v>40</v>
      </c>
      <c r="C19" s="251"/>
      <c r="D19" s="255"/>
      <c r="E19" s="254" t="s">
        <v>59</v>
      </c>
      <c r="F19" s="251"/>
      <c r="G19" s="255"/>
      <c r="H19" s="254" t="s">
        <v>58</v>
      </c>
      <c r="I19" s="251"/>
      <c r="J19" s="255"/>
      <c r="K19" s="45" t="s">
        <v>13</v>
      </c>
      <c r="L19" s="45"/>
      <c r="M19" s="155" t="s">
        <v>41</v>
      </c>
      <c r="N19" s="65">
        <f>M5+M10+M15</f>
        <v>73</v>
      </c>
      <c r="O19" s="69">
        <v>1804.27</v>
      </c>
      <c r="P19" s="46" t="s">
        <v>171</v>
      </c>
      <c r="Q19" s="65" t="s">
        <v>214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55" t="s">
        <v>75</v>
      </c>
      <c r="N20" s="65">
        <f>M6+M11+M16</f>
        <v>68</v>
      </c>
      <c r="O20" s="77" t="s">
        <v>65</v>
      </c>
      <c r="P20" s="75">
        <v>80</v>
      </c>
      <c r="Q20" s="65">
        <v>5468.38</v>
      </c>
    </row>
    <row r="21" spans="1:20" ht="25.5" customHeight="1" x14ac:dyDescent="0.25">
      <c r="A21" s="16" t="s">
        <v>46</v>
      </c>
      <c r="B21" s="66">
        <v>0</v>
      </c>
      <c r="C21" s="66">
        <v>0</v>
      </c>
      <c r="D21" s="66">
        <v>0</v>
      </c>
      <c r="E21" s="66">
        <v>206.72569444444446</v>
      </c>
      <c r="F21" s="66">
        <v>206.875</v>
      </c>
      <c r="G21" s="66">
        <f>F21-E21</f>
        <v>0.14930555555554292</v>
      </c>
      <c r="H21" s="66">
        <v>206.95138888888889</v>
      </c>
      <c r="I21" s="66">
        <v>207.20833333333334</v>
      </c>
      <c r="J21" s="71">
        <f>I21-H21-K21</f>
        <v>0.25694444444445708</v>
      </c>
      <c r="K21" s="66"/>
      <c r="L21" s="73">
        <f>D21+G21+J21</f>
        <v>0.40625</v>
      </c>
      <c r="M21" s="155" t="s">
        <v>47</v>
      </c>
      <c r="N21" s="65">
        <f>M17+M12+M7</f>
        <v>127</v>
      </c>
      <c r="O21" s="78" t="s">
        <v>69</v>
      </c>
      <c r="P21" s="75">
        <v>251</v>
      </c>
      <c r="Q21" s="65">
        <v>6346.58</v>
      </c>
    </row>
    <row r="22" spans="1:20" ht="27" customHeight="1" x14ac:dyDescent="0.25">
      <c r="A22" s="16" t="s">
        <v>48</v>
      </c>
      <c r="B22" s="66">
        <v>206.27083333333334</v>
      </c>
      <c r="C22" s="66">
        <v>206.54166666666666</v>
      </c>
      <c r="D22" s="66">
        <f t="shared" ref="D22:D23" si="3">C22-B22</f>
        <v>0.27083333333331439</v>
      </c>
      <c r="E22" s="66">
        <v>206.58333333333334</v>
      </c>
      <c r="F22" s="66">
        <v>206.875</v>
      </c>
      <c r="G22" s="66">
        <f t="shared" ref="G22:G23" si="4">F22-E22</f>
        <v>0.29166666666665719</v>
      </c>
      <c r="H22" s="66">
        <v>207.0625</v>
      </c>
      <c r="I22" s="66">
        <v>207.20833333333334</v>
      </c>
      <c r="J22" s="71">
        <f>I22-H22-K22</f>
        <v>0.14583333333334281</v>
      </c>
      <c r="K22" s="75"/>
      <c r="L22" s="73">
        <f>D22+G22+J22</f>
        <v>0.70833333333331439</v>
      </c>
      <c r="M22" s="49" t="s">
        <v>49</v>
      </c>
      <c r="N22" s="65">
        <v>25554.27</v>
      </c>
      <c r="O22" s="80" t="s">
        <v>66</v>
      </c>
      <c r="P22" s="75">
        <v>190</v>
      </c>
      <c r="Q22" s="65">
        <v>4673.04</v>
      </c>
    </row>
    <row r="23" spans="1:20" ht="27" customHeight="1" x14ac:dyDescent="0.25">
      <c r="A23" s="158" t="s">
        <v>50</v>
      </c>
      <c r="B23" s="66">
        <v>206.31597222222223</v>
      </c>
      <c r="C23" s="66">
        <v>206.54166666666666</v>
      </c>
      <c r="D23" s="66">
        <f t="shared" si="3"/>
        <v>0.22569444444442865</v>
      </c>
      <c r="E23" s="66">
        <v>206.58333333333334</v>
      </c>
      <c r="F23" s="66">
        <v>206.875</v>
      </c>
      <c r="G23" s="66">
        <f t="shared" si="4"/>
        <v>0.29166666666665719</v>
      </c>
      <c r="H23" s="66">
        <v>206.9375</v>
      </c>
      <c r="I23" s="66">
        <v>207.20833333333334</v>
      </c>
      <c r="J23" s="71">
        <f>I23-H23-K23</f>
        <v>0.27083333333334281</v>
      </c>
      <c r="K23" s="156"/>
      <c r="L23" s="157">
        <f>D23+G23+J23</f>
        <v>0.78819444444442865</v>
      </c>
      <c r="M23" s="155" t="s">
        <v>64</v>
      </c>
      <c r="N23" s="85">
        <v>7</v>
      </c>
      <c r="O23" s="86" t="s">
        <v>67</v>
      </c>
      <c r="P23" s="76">
        <v>270</v>
      </c>
      <c r="Q23" s="65">
        <v>8168.89</v>
      </c>
    </row>
    <row r="24" spans="1:20" ht="30" customHeight="1" x14ac:dyDescent="0.25">
      <c r="A24" s="16" t="s">
        <v>76</v>
      </c>
      <c r="B24" s="67"/>
      <c r="C24" s="67"/>
      <c r="D24" s="66">
        <f>SUM(D21:D23)</f>
        <v>0.49652777777774304</v>
      </c>
      <c r="E24" s="68"/>
      <c r="F24" s="68"/>
      <c r="G24" s="66">
        <f>SUM(G21:G23)</f>
        <v>0.73263888888885731</v>
      </c>
      <c r="H24" s="68"/>
      <c r="I24" s="68"/>
      <c r="J24" s="71">
        <f>SUM(J21:J23)</f>
        <v>0.67361111111114269</v>
      </c>
      <c r="K24" s="75"/>
      <c r="L24" s="83">
        <f>SUM(L21:L23)</f>
        <v>1.902777777777743</v>
      </c>
      <c r="M24" s="65" t="s">
        <v>79</v>
      </c>
      <c r="N24" s="65">
        <v>25894.7</v>
      </c>
      <c r="P24" s="79" t="s">
        <v>68</v>
      </c>
      <c r="Q24" s="43">
        <v>44659.38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80</v>
      </c>
      <c r="O25" s="69">
        <f>N24+Sheet8!O25</f>
        <v>251908.92499999999</v>
      </c>
      <c r="P25" s="155" t="s">
        <v>78</v>
      </c>
      <c r="Q25" s="87">
        <v>50127.38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4"/>
      <c r="N26" s="52" t="s">
        <v>51</v>
      </c>
      <c r="O26" s="24">
        <v>45000</v>
      </c>
      <c r="P26" s="51" t="s">
        <v>91</v>
      </c>
      <c r="Q26" s="69">
        <f>Q24+Sheet8!Q26</f>
        <v>394189.39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45.4</v>
      </c>
      <c r="M27" s="55"/>
      <c r="N27" s="88">
        <f>N22/L27</f>
        <v>562.86938325991196</v>
      </c>
      <c r="O27" s="81" t="s">
        <v>74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94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Feb 2019</vt:lpstr>
      <vt:lpstr>Feb stream I </vt:lpstr>
      <vt:lpstr>Feb stream II  </vt:lpstr>
      <vt:lpstr>Feb stream III </vt:lpstr>
      <vt:lpstr>Sheet33</vt:lpstr>
      <vt:lpstr>Sheet30</vt:lpstr>
      <vt:lpstr>Sheet31</vt:lpstr>
      <vt:lpstr>Sheet32</vt:lpstr>
      <vt:lpstr>Sheet34</vt:lpstr>
      <vt:lpstr>Sheet35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2020-09-22T05:55:59Z</dcterms:modified>
</cp:coreProperties>
</file>