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9" activeTab="3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 30" sheetId="46" r:id="rId30"/>
    <sheet name="Sheet 31" sheetId="47" r:id="rId31"/>
    <sheet name="report 2019" sheetId="38" r:id="rId32"/>
    <sheet name="stream I " sheetId="34" r:id="rId33"/>
    <sheet name=" stream II  " sheetId="35" r:id="rId34"/>
    <sheet name="stream III " sheetId="36" r:id="rId35"/>
    <sheet name="Sheet34" sheetId="48" r:id="rId36"/>
    <sheet name="Sheet35" sheetId="49" r:id="rId37"/>
    <sheet name="Sheet30" sheetId="50" r:id="rId38"/>
  </sheets>
  <calcPr calcId="145621"/>
</workbook>
</file>

<file path=xl/calcChain.xml><?xml version="1.0" encoding="utf-8"?>
<calcChain xmlns="http://schemas.openxmlformats.org/spreadsheetml/2006/main">
  <c r="P37" i="38" l="1"/>
  <c r="M38" i="38"/>
  <c r="L38" i="38"/>
  <c r="K38" i="38"/>
  <c r="J38" i="38"/>
  <c r="I38" i="38"/>
  <c r="H38" i="38"/>
  <c r="G38" i="38"/>
  <c r="F38" i="38"/>
  <c r="M37" i="38"/>
  <c r="L37" i="38"/>
  <c r="K37" i="38"/>
  <c r="J37" i="38"/>
  <c r="I37" i="38"/>
  <c r="H37" i="38"/>
  <c r="G37" i="38"/>
  <c r="F37" i="38"/>
  <c r="M36" i="38"/>
  <c r="L36" i="38"/>
  <c r="K36" i="38"/>
  <c r="J36" i="38"/>
  <c r="I36" i="38"/>
  <c r="H36" i="38"/>
  <c r="G36" i="38"/>
  <c r="F36" i="38"/>
  <c r="M35" i="38"/>
  <c r="L35" i="38"/>
  <c r="K35" i="38"/>
  <c r="J35" i="38"/>
  <c r="I35" i="38"/>
  <c r="H35" i="38"/>
  <c r="G35" i="38"/>
  <c r="F35" i="38"/>
  <c r="M34" i="38"/>
  <c r="L34" i="38"/>
  <c r="K34" i="38"/>
  <c r="J34" i="38"/>
  <c r="I34" i="38"/>
  <c r="H34" i="38"/>
  <c r="G34" i="38"/>
  <c r="F34" i="38"/>
  <c r="M33" i="38"/>
  <c r="L33" i="38"/>
  <c r="K33" i="38"/>
  <c r="J33" i="38"/>
  <c r="I33" i="38"/>
  <c r="H33" i="38"/>
  <c r="G33" i="38"/>
  <c r="F33" i="38"/>
  <c r="M32" i="38"/>
  <c r="L32" i="38"/>
  <c r="K32" i="38"/>
  <c r="J32" i="38"/>
  <c r="I32" i="38"/>
  <c r="H32" i="38"/>
  <c r="G32" i="38"/>
  <c r="F32" i="38"/>
  <c r="M31" i="38"/>
  <c r="L31" i="38"/>
  <c r="K31" i="38"/>
  <c r="J31" i="38"/>
  <c r="I31" i="38"/>
  <c r="H31" i="38"/>
  <c r="G31" i="38"/>
  <c r="F31" i="38"/>
  <c r="M30" i="38"/>
  <c r="L30" i="38"/>
  <c r="K30" i="38"/>
  <c r="J30" i="38"/>
  <c r="I30" i="38"/>
  <c r="H30" i="38"/>
  <c r="G30" i="38"/>
  <c r="F30" i="38"/>
  <c r="M29" i="38"/>
  <c r="L29" i="38"/>
  <c r="K29" i="38"/>
  <c r="J29" i="38"/>
  <c r="I29" i="38"/>
  <c r="H29" i="38"/>
  <c r="G29" i="38"/>
  <c r="F29" i="38"/>
  <c r="M28" i="38"/>
  <c r="L28" i="38"/>
  <c r="K28" i="38"/>
  <c r="J28" i="38"/>
  <c r="I28" i="38"/>
  <c r="H28" i="38"/>
  <c r="G28" i="38"/>
  <c r="F28" i="38"/>
  <c r="M27" i="38"/>
  <c r="L27" i="38"/>
  <c r="K27" i="38"/>
  <c r="J27" i="38"/>
  <c r="I27" i="38"/>
  <c r="H27" i="38"/>
  <c r="G27" i="38"/>
  <c r="F27" i="38"/>
  <c r="M26" i="38"/>
  <c r="L26" i="38"/>
  <c r="K26" i="38"/>
  <c r="J26" i="38"/>
  <c r="I26" i="38"/>
  <c r="H26" i="38"/>
  <c r="G26" i="38"/>
  <c r="F26" i="38"/>
  <c r="M25" i="38"/>
  <c r="L25" i="38"/>
  <c r="K25" i="38"/>
  <c r="J25" i="38"/>
  <c r="I25" i="38"/>
  <c r="H25" i="38"/>
  <c r="G25" i="38"/>
  <c r="F25" i="38"/>
  <c r="M24" i="38"/>
  <c r="L24" i="38"/>
  <c r="K24" i="38"/>
  <c r="J24" i="38"/>
  <c r="I24" i="38"/>
  <c r="H24" i="38"/>
  <c r="G24" i="38"/>
  <c r="F24" i="38"/>
  <c r="M23" i="38"/>
  <c r="L23" i="38"/>
  <c r="K23" i="38"/>
  <c r="J23" i="38"/>
  <c r="I23" i="38"/>
  <c r="H23" i="38"/>
  <c r="G23" i="38"/>
  <c r="F23" i="38"/>
  <c r="M22" i="38"/>
  <c r="L22" i="38"/>
  <c r="K22" i="38"/>
  <c r="J22" i="38"/>
  <c r="I22" i="38"/>
  <c r="H22" i="38"/>
  <c r="G22" i="38"/>
  <c r="F22" i="38"/>
  <c r="M21" i="38"/>
  <c r="L21" i="38"/>
  <c r="K21" i="38"/>
  <c r="J21" i="38"/>
  <c r="I21" i="38"/>
  <c r="H21" i="38"/>
  <c r="G21" i="38"/>
  <c r="F21" i="38"/>
  <c r="M20" i="38"/>
  <c r="L20" i="38"/>
  <c r="K20" i="38"/>
  <c r="J20" i="38"/>
  <c r="I20" i="38"/>
  <c r="H20" i="38"/>
  <c r="G20" i="38"/>
  <c r="F20" i="38"/>
  <c r="M19" i="38"/>
  <c r="L19" i="38"/>
  <c r="K19" i="38"/>
  <c r="J19" i="38"/>
  <c r="I19" i="38"/>
  <c r="H19" i="38"/>
  <c r="G19" i="38"/>
  <c r="F19" i="38"/>
  <c r="M18" i="38"/>
  <c r="L18" i="38"/>
  <c r="K18" i="38"/>
  <c r="J18" i="38"/>
  <c r="I18" i="38"/>
  <c r="H18" i="38"/>
  <c r="G18" i="38"/>
  <c r="F18" i="38"/>
  <c r="M17" i="38"/>
  <c r="L17" i="38"/>
  <c r="K17" i="38"/>
  <c r="J17" i="38"/>
  <c r="I17" i="38"/>
  <c r="H17" i="38"/>
  <c r="G17" i="38"/>
  <c r="F17" i="38"/>
  <c r="M16" i="38"/>
  <c r="L16" i="38"/>
  <c r="K16" i="38"/>
  <c r="J16" i="38"/>
  <c r="I16" i="38"/>
  <c r="H16" i="38"/>
  <c r="G16" i="38"/>
  <c r="F16" i="38"/>
  <c r="M15" i="38"/>
  <c r="L15" i="38"/>
  <c r="K15" i="38"/>
  <c r="J15" i="38"/>
  <c r="I15" i="38"/>
  <c r="H15" i="38"/>
  <c r="G15" i="38"/>
  <c r="F15" i="38"/>
  <c r="M14" i="38"/>
  <c r="L14" i="38"/>
  <c r="K14" i="38"/>
  <c r="J14" i="38"/>
  <c r="I14" i="38"/>
  <c r="H14" i="38"/>
  <c r="G14" i="38"/>
  <c r="F14" i="38"/>
  <c r="M13" i="38"/>
  <c r="L13" i="38"/>
  <c r="K13" i="38"/>
  <c r="J13" i="38"/>
  <c r="I13" i="38"/>
  <c r="H13" i="38"/>
  <c r="G13" i="38"/>
  <c r="F13" i="38"/>
  <c r="M12" i="38"/>
  <c r="L12" i="38"/>
  <c r="K12" i="38"/>
  <c r="J12" i="38"/>
  <c r="I12" i="38"/>
  <c r="H12" i="38"/>
  <c r="G12" i="38"/>
  <c r="F12" i="38"/>
  <c r="M11" i="38"/>
  <c r="L11" i="38"/>
  <c r="K11" i="38"/>
  <c r="J11" i="38"/>
  <c r="I11" i="38"/>
  <c r="H11" i="38"/>
  <c r="G11" i="38"/>
  <c r="F11" i="38"/>
  <c r="M10" i="38"/>
  <c r="L10" i="38"/>
  <c r="K10" i="38"/>
  <c r="J10" i="38"/>
  <c r="I10" i="38"/>
  <c r="H10" i="38"/>
  <c r="G10" i="38"/>
  <c r="F10" i="38"/>
  <c r="M9" i="38"/>
  <c r="L9" i="38"/>
  <c r="K9" i="38"/>
  <c r="O9" i="38" s="1"/>
  <c r="J9" i="38"/>
  <c r="I9" i="38"/>
  <c r="H9" i="38"/>
  <c r="G9" i="38"/>
  <c r="F9" i="38"/>
  <c r="M8" i="38"/>
  <c r="L8" i="38"/>
  <c r="K8" i="38"/>
  <c r="J8" i="38"/>
  <c r="I8" i="38"/>
  <c r="H8" i="38"/>
  <c r="G8" i="38"/>
  <c r="F8" i="38"/>
  <c r="J39" i="38"/>
  <c r="O38" i="38"/>
  <c r="O37" i="38"/>
  <c r="N37" i="38" s="1"/>
  <c r="O36" i="38"/>
  <c r="O35" i="38"/>
  <c r="O34" i="38"/>
  <c r="O33" i="38"/>
  <c r="O32" i="38"/>
  <c r="O31" i="38"/>
  <c r="O30" i="38"/>
  <c r="O29" i="38"/>
  <c r="O28" i="38"/>
  <c r="O27" i="38"/>
  <c r="O26" i="38"/>
  <c r="O25" i="38"/>
  <c r="O24" i="38"/>
  <c r="O23" i="38"/>
  <c r="O22" i="38"/>
  <c r="O21" i="38"/>
  <c r="O20" i="38"/>
  <c r="O19" i="38"/>
  <c r="O18" i="38"/>
  <c r="O16" i="38"/>
  <c r="O15" i="38"/>
  <c r="O14" i="38"/>
  <c r="O12" i="38"/>
  <c r="O11" i="38"/>
  <c r="O10" i="38"/>
  <c r="K39" i="38"/>
  <c r="G39" i="38"/>
  <c r="O13" i="38" l="1"/>
  <c r="O17" i="38"/>
  <c r="I39" i="38"/>
  <c r="H39" i="38"/>
  <c r="L39" i="38"/>
  <c r="M39" i="38"/>
  <c r="F39" i="38"/>
  <c r="O8" i="38"/>
  <c r="P8" i="38"/>
  <c r="Q8" i="38"/>
  <c r="S8" i="38"/>
  <c r="O39" i="38" l="1"/>
  <c r="N8" i="38"/>
  <c r="T32" i="35"/>
  <c r="O15" i="34"/>
  <c r="O35" i="34"/>
  <c r="J21" i="29"/>
  <c r="D23" i="29"/>
  <c r="D22" i="29"/>
  <c r="D21" i="29"/>
  <c r="D23" i="28"/>
  <c r="J21" i="28"/>
  <c r="D21" i="28"/>
  <c r="D22" i="16"/>
  <c r="J22" i="16"/>
  <c r="J23" i="8"/>
  <c r="G23" i="8"/>
  <c r="J21" i="47" l="1"/>
  <c r="J21" i="46"/>
  <c r="D23" i="46"/>
  <c r="D22" i="46"/>
  <c r="D21" i="46"/>
  <c r="D23" i="17"/>
  <c r="D22" i="17"/>
  <c r="J23" i="47" l="1"/>
  <c r="L23" i="47" s="1"/>
  <c r="D22" i="47"/>
  <c r="D24" i="47" s="1"/>
  <c r="D21" i="47"/>
  <c r="J22" i="47"/>
  <c r="G22" i="47"/>
  <c r="G21" i="47"/>
  <c r="L21" i="47" s="1"/>
  <c r="R37" i="38"/>
  <c r="R9" i="38"/>
  <c r="Q38" i="38"/>
  <c r="Q37" i="38"/>
  <c r="Q30" i="38"/>
  <c r="Q17" i="38"/>
  <c r="Q14" i="38"/>
  <c r="J24" i="47" l="1"/>
  <c r="G24" i="47"/>
  <c r="L22" i="47"/>
  <c r="L24" i="47" s="1"/>
  <c r="J22" i="27"/>
  <c r="G22" i="27"/>
  <c r="E32" i="35" s="1"/>
  <c r="D22" i="27"/>
  <c r="B32" i="35" s="1"/>
  <c r="J22" i="26"/>
  <c r="D23" i="26" l="1"/>
  <c r="N27" i="26"/>
  <c r="Q26" i="26"/>
  <c r="J23" i="26"/>
  <c r="G23" i="26"/>
  <c r="G22" i="26"/>
  <c r="D22" i="26"/>
  <c r="J21" i="26"/>
  <c r="G21" i="26"/>
  <c r="D21" i="26"/>
  <c r="M17" i="26"/>
  <c r="M16" i="26"/>
  <c r="M15" i="26"/>
  <c r="M14" i="26"/>
  <c r="M12" i="26"/>
  <c r="M11" i="26"/>
  <c r="M10" i="26"/>
  <c r="M9" i="26"/>
  <c r="M7" i="26"/>
  <c r="M6" i="26"/>
  <c r="M5" i="26"/>
  <c r="M4" i="26"/>
  <c r="M17" i="24"/>
  <c r="M16" i="24"/>
  <c r="M14" i="24"/>
  <c r="M12" i="24"/>
  <c r="M11" i="24"/>
  <c r="M10" i="24"/>
  <c r="M9" i="24"/>
  <c r="M7" i="24"/>
  <c r="M6" i="24"/>
  <c r="M5" i="24"/>
  <c r="M4" i="24"/>
  <c r="G23" i="24"/>
  <c r="L22" i="26" l="1"/>
  <c r="G24" i="26"/>
  <c r="L23" i="26"/>
  <c r="L21" i="26"/>
  <c r="J24" i="26"/>
  <c r="D24" i="26"/>
  <c r="N20" i="26"/>
  <c r="N19" i="26"/>
  <c r="N18" i="26"/>
  <c r="N21" i="26"/>
  <c r="G21" i="23"/>
  <c r="M17" i="23"/>
  <c r="M16" i="23"/>
  <c r="M15" i="23"/>
  <c r="M14" i="23"/>
  <c r="M12" i="23"/>
  <c r="M11" i="23"/>
  <c r="M10" i="23"/>
  <c r="M9" i="23"/>
  <c r="M6" i="23"/>
  <c r="M5" i="23"/>
  <c r="M4" i="23"/>
  <c r="J23" i="22"/>
  <c r="J22" i="22"/>
  <c r="G23" i="22"/>
  <c r="G21" i="22"/>
  <c r="J23" i="21"/>
  <c r="G21" i="21"/>
  <c r="M17" i="21"/>
  <c r="M16" i="21"/>
  <c r="M15" i="21"/>
  <c r="M14" i="21"/>
  <c r="M12" i="21"/>
  <c r="M11" i="21"/>
  <c r="M10" i="21"/>
  <c r="M9" i="21"/>
  <c r="M7" i="21"/>
  <c r="M6" i="21"/>
  <c r="M4" i="21"/>
  <c r="L24" i="26" l="1"/>
  <c r="G23" i="20"/>
  <c r="G22" i="20"/>
  <c r="J21" i="20"/>
  <c r="M17" i="20"/>
  <c r="M16" i="20"/>
  <c r="M15" i="20"/>
  <c r="M14" i="20"/>
  <c r="M12" i="20"/>
  <c r="M11" i="20"/>
  <c r="M10" i="20"/>
  <c r="M9" i="20"/>
  <c r="M7" i="20"/>
  <c r="M6" i="20"/>
  <c r="M4" i="20"/>
  <c r="J21" i="19"/>
  <c r="G23" i="19"/>
  <c r="D22" i="19"/>
  <c r="J23" i="19"/>
  <c r="D23" i="19"/>
  <c r="J22" i="19"/>
  <c r="G22" i="19"/>
  <c r="G21" i="19"/>
  <c r="D21" i="19"/>
  <c r="M17" i="19"/>
  <c r="M16" i="19"/>
  <c r="M15" i="19"/>
  <c r="M14" i="19"/>
  <c r="M12" i="19"/>
  <c r="M11" i="19"/>
  <c r="M10" i="19"/>
  <c r="M9" i="19"/>
  <c r="M7" i="19"/>
  <c r="M6" i="19"/>
  <c r="M4" i="19"/>
  <c r="G22" i="18"/>
  <c r="G23" i="18"/>
  <c r="D23" i="18"/>
  <c r="D22" i="18"/>
  <c r="J24" i="19" l="1"/>
  <c r="L21" i="19"/>
  <c r="G24" i="19"/>
  <c r="D24" i="19"/>
  <c r="L23" i="19"/>
  <c r="L22" i="19"/>
  <c r="M17" i="18"/>
  <c r="M16" i="18"/>
  <c r="M15" i="18"/>
  <c r="M14" i="18"/>
  <c r="M12" i="18"/>
  <c r="M11" i="18"/>
  <c r="M10" i="18"/>
  <c r="M9" i="18"/>
  <c r="M6" i="18"/>
  <c r="M5" i="18"/>
  <c r="M4" i="18"/>
  <c r="L24" i="19" l="1"/>
  <c r="I499" i="50" l="1"/>
  <c r="H499" i="50"/>
  <c r="G499" i="50"/>
  <c r="F499" i="50"/>
  <c r="I482" i="50"/>
  <c r="H482" i="50"/>
  <c r="G482" i="50"/>
  <c r="F482" i="50"/>
  <c r="L482" i="50" l="1"/>
  <c r="L23" i="46"/>
  <c r="G21" i="46"/>
  <c r="L21" i="46" s="1"/>
  <c r="I465" i="50" l="1"/>
  <c r="H465" i="50"/>
  <c r="G465" i="50"/>
  <c r="F465" i="50"/>
  <c r="L465" i="50" l="1"/>
  <c r="B33" i="36"/>
  <c r="I448" i="50" l="1"/>
  <c r="H448" i="50"/>
  <c r="G448" i="50"/>
  <c r="F448" i="50"/>
  <c r="L448" i="50" s="1"/>
  <c r="B22" i="35" l="1"/>
  <c r="I431" i="50" l="1"/>
  <c r="H431" i="50"/>
  <c r="G431" i="50"/>
  <c r="F431" i="50"/>
  <c r="L431" i="50" l="1"/>
  <c r="I415" i="50"/>
  <c r="H415" i="50"/>
  <c r="F415" i="50"/>
  <c r="G415" i="50"/>
  <c r="I400" i="50"/>
  <c r="H400" i="50"/>
  <c r="F400" i="50"/>
  <c r="G400" i="50"/>
  <c r="I383" i="50"/>
  <c r="H383" i="50"/>
  <c r="F383" i="50"/>
  <c r="G383" i="50"/>
  <c r="I366" i="50"/>
  <c r="H366" i="50"/>
  <c r="F366" i="50"/>
  <c r="G366" i="50"/>
  <c r="I350" i="50"/>
  <c r="H350" i="50"/>
  <c r="F350" i="50"/>
  <c r="G350" i="50"/>
  <c r="I332" i="50"/>
  <c r="H332" i="50"/>
  <c r="F332" i="50"/>
  <c r="G329" i="50"/>
  <c r="G332" i="50" s="1"/>
  <c r="H314" i="50"/>
  <c r="F314" i="50"/>
  <c r="G312" i="50"/>
  <c r="G314" i="50" s="1"/>
  <c r="I297" i="50"/>
  <c r="H297" i="50"/>
  <c r="G297" i="50"/>
  <c r="F297" i="50"/>
  <c r="I281" i="50"/>
  <c r="H281" i="50"/>
  <c r="G281" i="50"/>
  <c r="F281" i="50"/>
  <c r="I265" i="50"/>
  <c r="H265" i="50"/>
  <c r="G265" i="50"/>
  <c r="F265" i="50"/>
  <c r="L281" i="50" l="1"/>
  <c r="L314" i="50"/>
  <c r="L350" i="50"/>
  <c r="L366" i="50"/>
  <c r="L383" i="50"/>
  <c r="L400" i="50"/>
  <c r="L415" i="50"/>
  <c r="L265" i="50"/>
  <c r="L297" i="50"/>
  <c r="L332" i="50"/>
  <c r="I248" i="50"/>
  <c r="H248" i="50"/>
  <c r="F248" i="50"/>
  <c r="I231" i="50" l="1"/>
  <c r="I230" i="50"/>
  <c r="I229" i="50"/>
  <c r="D229" i="50"/>
  <c r="C229" i="50"/>
  <c r="H232" i="50"/>
  <c r="J23" i="15"/>
  <c r="G23" i="15"/>
  <c r="D23" i="15"/>
  <c r="J22" i="15"/>
  <c r="G22" i="15"/>
  <c r="D22" i="15"/>
  <c r="J21" i="15"/>
  <c r="G21" i="15"/>
  <c r="D21" i="15"/>
  <c r="M17" i="15"/>
  <c r="M16" i="15"/>
  <c r="M15" i="15"/>
  <c r="M14" i="15"/>
  <c r="M12" i="15"/>
  <c r="M11" i="15"/>
  <c r="M10" i="15"/>
  <c r="M9" i="15"/>
  <c r="M7" i="15"/>
  <c r="M6" i="15"/>
  <c r="M4" i="15"/>
  <c r="I232" i="50" l="1"/>
  <c r="J24" i="15"/>
  <c r="L21" i="15"/>
  <c r="L23" i="15"/>
  <c r="L22" i="15"/>
  <c r="D24" i="15"/>
  <c r="G24" i="15"/>
  <c r="I216" i="50"/>
  <c r="I215" i="50"/>
  <c r="I214" i="50"/>
  <c r="D214" i="50"/>
  <c r="C214" i="50"/>
  <c r="R21" i="38"/>
  <c r="M17" i="14"/>
  <c r="M16" i="14"/>
  <c r="M15" i="14"/>
  <c r="M14" i="14"/>
  <c r="M12" i="14"/>
  <c r="M11" i="14"/>
  <c r="M10" i="14"/>
  <c r="M9" i="14"/>
  <c r="M7" i="14"/>
  <c r="M6" i="14"/>
  <c r="M4" i="14"/>
  <c r="L24" i="15" l="1"/>
  <c r="I217" i="50"/>
  <c r="H217" i="50"/>
  <c r="I199" i="50"/>
  <c r="I198" i="50"/>
  <c r="I197" i="50"/>
  <c r="D197" i="50"/>
  <c r="C197" i="50"/>
  <c r="I200" i="50" l="1"/>
  <c r="J22" i="13"/>
  <c r="J21" i="13"/>
  <c r="M17" i="13"/>
  <c r="M16" i="13"/>
  <c r="M15" i="13"/>
  <c r="M14" i="13"/>
  <c r="M12" i="13"/>
  <c r="M11" i="13"/>
  <c r="M10" i="13"/>
  <c r="M9" i="13"/>
  <c r="M7" i="13"/>
  <c r="M6" i="13"/>
  <c r="M4" i="13"/>
  <c r="I182" i="50" l="1"/>
  <c r="I181" i="50"/>
  <c r="I180" i="50"/>
  <c r="D180" i="50"/>
  <c r="C180" i="50"/>
  <c r="G22" i="12"/>
  <c r="M17" i="12"/>
  <c r="M16" i="12"/>
  <c r="M15" i="12"/>
  <c r="M14" i="12"/>
  <c r="M12" i="12"/>
  <c r="M11" i="12"/>
  <c r="M10" i="12"/>
  <c r="M9" i="12"/>
  <c r="M7" i="12"/>
  <c r="M6" i="12"/>
  <c r="M4" i="12"/>
  <c r="I183" i="50" l="1"/>
  <c r="I166" i="50"/>
  <c r="I165" i="50"/>
  <c r="I164" i="50"/>
  <c r="D164" i="50"/>
  <c r="C164" i="50"/>
  <c r="G16" i="36"/>
  <c r="F16" i="36"/>
  <c r="D16" i="36"/>
  <c r="C16" i="36"/>
  <c r="G16" i="35"/>
  <c r="F16" i="35"/>
  <c r="D16" i="35"/>
  <c r="C16" i="35"/>
  <c r="T16" i="34"/>
  <c r="H164" i="50" s="1"/>
  <c r="O16" i="34"/>
  <c r="G164" i="50" s="1"/>
  <c r="G16" i="34"/>
  <c r="F16" i="34"/>
  <c r="D16" i="34"/>
  <c r="C16" i="34"/>
  <c r="J23" i="11"/>
  <c r="H16" i="36" s="1"/>
  <c r="J21" i="11"/>
  <c r="H16" i="34" s="1"/>
  <c r="I167" i="50" l="1"/>
  <c r="N27" i="10"/>
  <c r="J23" i="10"/>
  <c r="G23" i="10"/>
  <c r="D23" i="10"/>
  <c r="J22" i="10"/>
  <c r="H15" i="35" s="1"/>
  <c r="G22" i="10"/>
  <c r="E15" i="35" s="1"/>
  <c r="D22" i="10"/>
  <c r="B15" i="35" s="1"/>
  <c r="J21" i="10"/>
  <c r="G21" i="10"/>
  <c r="D21" i="10"/>
  <c r="M17" i="10"/>
  <c r="M16" i="10"/>
  <c r="M15" i="10"/>
  <c r="M14" i="10"/>
  <c r="M12" i="10"/>
  <c r="M11" i="10"/>
  <c r="M10" i="10"/>
  <c r="M9" i="10"/>
  <c r="M7" i="10"/>
  <c r="M6" i="10"/>
  <c r="N20" i="10" s="1"/>
  <c r="M5" i="10"/>
  <c r="N19" i="10" s="1"/>
  <c r="M4" i="10"/>
  <c r="N18" i="10" s="1"/>
  <c r="M4" i="11"/>
  <c r="M17" i="11"/>
  <c r="M16" i="11"/>
  <c r="M15" i="11"/>
  <c r="M14" i="11"/>
  <c r="M12" i="11"/>
  <c r="M11" i="11"/>
  <c r="M10" i="11"/>
  <c r="M9" i="11"/>
  <c r="M7" i="11"/>
  <c r="M6" i="11"/>
  <c r="L23" i="10" l="1"/>
  <c r="L22" i="10"/>
  <c r="J24" i="10"/>
  <c r="L21" i="10"/>
  <c r="L24" i="10" s="1"/>
  <c r="G24" i="10"/>
  <c r="N21" i="10"/>
  <c r="D24" i="10"/>
  <c r="N27" i="46"/>
  <c r="I151" i="50" l="1"/>
  <c r="G151" i="50"/>
  <c r="F151" i="50"/>
  <c r="G21" i="9"/>
  <c r="U13" i="8"/>
  <c r="M17" i="9"/>
  <c r="M16" i="9"/>
  <c r="M15" i="9"/>
  <c r="M14" i="9"/>
  <c r="M12" i="9"/>
  <c r="M11" i="9"/>
  <c r="M9" i="9"/>
  <c r="M7" i="9"/>
  <c r="M6" i="9"/>
  <c r="M5" i="9"/>
  <c r="M4" i="9"/>
  <c r="H151" i="50" l="1"/>
  <c r="L151" i="50" s="1"/>
  <c r="J135" i="50"/>
  <c r="R15" i="38"/>
  <c r="M17" i="8"/>
  <c r="M16" i="8"/>
  <c r="M15" i="8"/>
  <c r="M14" i="8"/>
  <c r="M12" i="8"/>
  <c r="M11" i="8"/>
  <c r="M9" i="8"/>
  <c r="M7" i="8"/>
  <c r="M6" i="8"/>
  <c r="M5" i="8"/>
  <c r="M4" i="8"/>
  <c r="J22" i="7" l="1"/>
  <c r="G23" i="7"/>
  <c r="G22" i="7"/>
  <c r="M17" i="7"/>
  <c r="M16" i="7"/>
  <c r="M15" i="7"/>
  <c r="M14" i="7"/>
  <c r="M12" i="7"/>
  <c r="M11" i="7"/>
  <c r="H129" i="50" l="1"/>
  <c r="J133" i="50"/>
  <c r="I135" i="50"/>
  <c r="I134" i="50"/>
  <c r="I133" i="50"/>
  <c r="D133" i="50"/>
  <c r="C133" i="50"/>
  <c r="I136" i="50" l="1"/>
  <c r="J117" i="50"/>
  <c r="J115" i="50"/>
  <c r="I117" i="50"/>
  <c r="I116" i="50"/>
  <c r="I115" i="50"/>
  <c r="D115" i="50"/>
  <c r="C115" i="50"/>
  <c r="H111" i="50"/>
  <c r="H93" i="50"/>
  <c r="I118" i="50" l="1"/>
  <c r="J98" i="50"/>
  <c r="D97" i="50" l="1"/>
  <c r="J99" i="50" l="1"/>
  <c r="J97" i="50"/>
  <c r="I99" i="50"/>
  <c r="I98" i="50"/>
  <c r="I100" i="50" s="1"/>
  <c r="I97" i="50"/>
  <c r="C97" i="50"/>
  <c r="H77" i="50"/>
  <c r="C81" i="50"/>
  <c r="D81" i="50"/>
  <c r="I81" i="50"/>
  <c r="J81" i="50"/>
  <c r="I82" i="50"/>
  <c r="J82" i="50"/>
  <c r="I83" i="50"/>
  <c r="I84" i="50" s="1"/>
  <c r="J83" i="50"/>
  <c r="J23" i="6"/>
  <c r="J21" i="6"/>
  <c r="M17" i="6"/>
  <c r="M16" i="6"/>
  <c r="M15" i="6"/>
  <c r="M14" i="6"/>
  <c r="M12" i="6"/>
  <c r="M11" i="6"/>
  <c r="M10" i="6"/>
  <c r="M9" i="6"/>
  <c r="M7" i="6"/>
  <c r="M5" i="6"/>
  <c r="M4" i="6"/>
  <c r="J65" i="50" l="1"/>
  <c r="J64" i="50"/>
  <c r="J63" i="50"/>
  <c r="I65" i="50"/>
  <c r="I64" i="50"/>
  <c r="I63" i="50"/>
  <c r="D63" i="50"/>
  <c r="C63" i="50"/>
  <c r="H59" i="50"/>
  <c r="J47" i="50"/>
  <c r="J46" i="50"/>
  <c r="J45" i="50"/>
  <c r="J29" i="50"/>
  <c r="I47" i="50"/>
  <c r="I46" i="50"/>
  <c r="I45" i="50"/>
  <c r="D45" i="50"/>
  <c r="C45" i="50"/>
  <c r="H41" i="50"/>
  <c r="J28" i="50"/>
  <c r="J27" i="50"/>
  <c r="Q26" i="5"/>
  <c r="Q26" i="6" s="1"/>
  <c r="J22" i="5"/>
  <c r="M17" i="5"/>
  <c r="M16" i="5"/>
  <c r="M14" i="5"/>
  <c r="M12" i="5"/>
  <c r="M11" i="5"/>
  <c r="M10" i="5"/>
  <c r="M9" i="5"/>
  <c r="M7" i="5"/>
  <c r="M6" i="5"/>
  <c r="M5" i="5"/>
  <c r="M4" i="5"/>
  <c r="M15" i="5"/>
  <c r="D21" i="5"/>
  <c r="G21" i="5"/>
  <c r="G24" i="5" s="1"/>
  <c r="J21" i="5"/>
  <c r="D22" i="5"/>
  <c r="G22" i="5"/>
  <c r="D23" i="5"/>
  <c r="G23" i="5"/>
  <c r="J23" i="5"/>
  <c r="N27" i="1"/>
  <c r="J23" i="1"/>
  <c r="G23" i="1"/>
  <c r="D23" i="1"/>
  <c r="J22" i="1"/>
  <c r="G22" i="1"/>
  <c r="D22" i="1"/>
  <c r="J21" i="1"/>
  <c r="G21" i="1"/>
  <c r="D21" i="1"/>
  <c r="M17" i="1"/>
  <c r="M16" i="1"/>
  <c r="M15" i="1"/>
  <c r="M14" i="1"/>
  <c r="M12" i="1"/>
  <c r="M11" i="1"/>
  <c r="M10" i="1"/>
  <c r="M9" i="1"/>
  <c r="M7" i="1"/>
  <c r="M6" i="1"/>
  <c r="N20" i="1" s="1"/>
  <c r="M5" i="1"/>
  <c r="N19" i="1" s="1"/>
  <c r="M4" i="1"/>
  <c r="N18" i="1" s="1"/>
  <c r="L23" i="1" l="1"/>
  <c r="L22" i="1"/>
  <c r="G24" i="1"/>
  <c r="N21" i="1"/>
  <c r="L23" i="5"/>
  <c r="J24" i="5"/>
  <c r="D24" i="1"/>
  <c r="J24" i="1"/>
  <c r="I66" i="50"/>
  <c r="I48" i="50"/>
  <c r="L21" i="5"/>
  <c r="D24" i="5"/>
  <c r="L22" i="5"/>
  <c r="L24" i="5" s="1"/>
  <c r="L21" i="1"/>
  <c r="L24" i="1" s="1"/>
  <c r="H23" i="50" l="1"/>
  <c r="D27" i="50"/>
  <c r="C27" i="50"/>
  <c r="I29" i="50"/>
  <c r="I28" i="50"/>
  <c r="I27" i="50"/>
  <c r="J9" i="50"/>
  <c r="J10" i="50"/>
  <c r="J11" i="50"/>
  <c r="I11" i="50"/>
  <c r="I10" i="50"/>
  <c r="I9" i="50"/>
  <c r="D9" i="50"/>
  <c r="C9" i="50"/>
  <c r="I12" i="50" l="1"/>
  <c r="I30" i="50"/>
  <c r="L89" i="49"/>
  <c r="G22" i="46"/>
  <c r="C37" i="48" l="1"/>
  <c r="G22" i="29" l="1"/>
  <c r="M11" i="28" l="1"/>
  <c r="M10" i="28"/>
  <c r="J21" i="27" l="1"/>
  <c r="J23" i="27"/>
  <c r="N19" i="27"/>
  <c r="M17" i="25" l="1"/>
  <c r="M16" i="25"/>
  <c r="M15" i="25"/>
  <c r="M14" i="25"/>
  <c r="M12" i="25"/>
  <c r="M11" i="25"/>
  <c r="M10" i="25"/>
  <c r="M9" i="25"/>
  <c r="M6" i="25"/>
  <c r="M5" i="25"/>
  <c r="M4" i="25"/>
  <c r="M15" i="24" l="1"/>
  <c r="M7" i="23"/>
  <c r="J21" i="22" l="1"/>
  <c r="G22" i="22"/>
  <c r="M17" i="22"/>
  <c r="M16" i="22"/>
  <c r="M15" i="22"/>
  <c r="M14" i="22"/>
  <c r="M12" i="22"/>
  <c r="M11" i="22"/>
  <c r="M10" i="22"/>
  <c r="M9" i="22"/>
  <c r="M7" i="22"/>
  <c r="M6" i="22"/>
  <c r="M5" i="22"/>
  <c r="M4" i="22"/>
  <c r="J21" i="21" l="1"/>
  <c r="M5" i="21"/>
  <c r="M5" i="20" l="1"/>
  <c r="M5" i="19"/>
  <c r="J23" i="17" l="1"/>
  <c r="J21" i="17"/>
  <c r="G21" i="17"/>
  <c r="J23" i="16"/>
  <c r="J21" i="16"/>
  <c r="M17" i="16"/>
  <c r="M16" i="16"/>
  <c r="M14" i="16"/>
  <c r="M10" i="16"/>
  <c r="M9" i="16"/>
  <c r="M7" i="16"/>
  <c r="M6" i="16"/>
  <c r="M5" i="16"/>
  <c r="M4" i="16"/>
  <c r="M5" i="15" l="1"/>
  <c r="G22" i="14"/>
  <c r="G21" i="14"/>
  <c r="D22" i="14"/>
  <c r="M5" i="14"/>
  <c r="M5" i="13" l="1"/>
  <c r="J23" i="12" l="1"/>
  <c r="J22" i="12"/>
  <c r="M5" i="12"/>
  <c r="D22" i="11" l="1"/>
  <c r="B16" i="35" s="1"/>
  <c r="M5" i="11"/>
  <c r="J21" i="9" l="1"/>
  <c r="G22" i="9"/>
  <c r="M10" i="9"/>
  <c r="J21" i="8" l="1"/>
  <c r="G22" i="8"/>
  <c r="M10" i="8"/>
  <c r="J21" i="7"/>
  <c r="D23" i="7"/>
  <c r="D21" i="7"/>
  <c r="M10" i="7" l="1"/>
  <c r="M9" i="7"/>
  <c r="N18" i="7" s="1"/>
  <c r="M6" i="7"/>
  <c r="M5" i="7"/>
  <c r="G23" i="6" l="1"/>
  <c r="M6" i="6"/>
  <c r="N27" i="47" l="1"/>
  <c r="J22" i="46"/>
  <c r="N27" i="29"/>
  <c r="J23" i="29"/>
  <c r="G23" i="29"/>
  <c r="G21" i="29"/>
  <c r="N18" i="29"/>
  <c r="N27" i="28"/>
  <c r="J23" i="28"/>
  <c r="G23" i="28"/>
  <c r="J22" i="28"/>
  <c r="G22" i="28"/>
  <c r="D22" i="28"/>
  <c r="G21" i="28"/>
  <c r="N21" i="28"/>
  <c r="N20" i="28"/>
  <c r="N19" i="28"/>
  <c r="N18" i="28"/>
  <c r="N27" i="27"/>
  <c r="G23" i="27"/>
  <c r="D23" i="27"/>
  <c r="J24" i="27"/>
  <c r="G21" i="27"/>
  <c r="D21" i="27"/>
  <c r="N21" i="27"/>
  <c r="N20" i="27"/>
  <c r="N18" i="27"/>
  <c r="N27" i="25"/>
  <c r="J23" i="25"/>
  <c r="G23" i="25"/>
  <c r="D23" i="25"/>
  <c r="J22" i="25"/>
  <c r="G22" i="25"/>
  <c r="D22" i="25"/>
  <c r="J21" i="25"/>
  <c r="G21" i="25"/>
  <c r="D21" i="25"/>
  <c r="M7" i="25"/>
  <c r="N21" i="25" s="1"/>
  <c r="N20" i="25"/>
  <c r="N19" i="25"/>
  <c r="N18" i="25"/>
  <c r="N27" i="24"/>
  <c r="J23" i="24"/>
  <c r="D23" i="24"/>
  <c r="J22" i="24"/>
  <c r="G22" i="24"/>
  <c r="D22" i="24"/>
  <c r="J21" i="24"/>
  <c r="G21" i="24"/>
  <c r="D21" i="24"/>
  <c r="N21" i="24"/>
  <c r="N20" i="24"/>
  <c r="N19" i="24"/>
  <c r="N18" i="24"/>
  <c r="N27" i="23"/>
  <c r="J23" i="23"/>
  <c r="G23" i="23"/>
  <c r="D23" i="23"/>
  <c r="J22" i="23"/>
  <c r="G22" i="23"/>
  <c r="D22" i="23"/>
  <c r="J21" i="23"/>
  <c r="D21" i="23"/>
  <c r="N21" i="23"/>
  <c r="N19" i="23"/>
  <c r="N20" i="23"/>
  <c r="N18" i="23"/>
  <c r="N27" i="22"/>
  <c r="D23" i="22"/>
  <c r="J24" i="22"/>
  <c r="D22" i="22"/>
  <c r="D21" i="22"/>
  <c r="N21" i="22"/>
  <c r="N20" i="22"/>
  <c r="N19" i="22"/>
  <c r="N18" i="22"/>
  <c r="N27" i="21"/>
  <c r="G23" i="21"/>
  <c r="D23" i="21"/>
  <c r="J22" i="21"/>
  <c r="J24" i="21" s="1"/>
  <c r="G22" i="21"/>
  <c r="D22" i="21"/>
  <c r="D21" i="21"/>
  <c r="N21" i="21"/>
  <c r="N20" i="21"/>
  <c r="N19" i="21"/>
  <c r="N18" i="21"/>
  <c r="N27" i="20"/>
  <c r="J23" i="20"/>
  <c r="D23" i="20"/>
  <c r="J22" i="20"/>
  <c r="D22" i="20"/>
  <c r="G21" i="20"/>
  <c r="D21" i="20"/>
  <c r="N21" i="20"/>
  <c r="N20" i="20"/>
  <c r="N18" i="20"/>
  <c r="N27" i="19"/>
  <c r="N20" i="19"/>
  <c r="N19" i="19"/>
  <c r="N18" i="19"/>
  <c r="N27" i="18"/>
  <c r="J23" i="18"/>
  <c r="L23" i="18" s="1"/>
  <c r="J22" i="18"/>
  <c r="J21" i="18"/>
  <c r="G21" i="18"/>
  <c r="D21" i="18"/>
  <c r="M7" i="18"/>
  <c r="N20" i="18"/>
  <c r="N19" i="18"/>
  <c r="N18" i="18"/>
  <c r="N27" i="14"/>
  <c r="J23" i="14"/>
  <c r="G23" i="14"/>
  <c r="D23" i="14"/>
  <c r="J22" i="14"/>
  <c r="J21" i="14"/>
  <c r="D21" i="14"/>
  <c r="N21" i="14"/>
  <c r="N20" i="14"/>
  <c r="N19" i="14"/>
  <c r="N18" i="14"/>
  <c r="N27" i="17"/>
  <c r="G23" i="17"/>
  <c r="L23" i="17" s="1"/>
  <c r="J22" i="17"/>
  <c r="J24" i="17" s="1"/>
  <c r="G22" i="17"/>
  <c r="D21" i="17"/>
  <c r="L21" i="17" s="1"/>
  <c r="N20" i="17"/>
  <c r="N27" i="16"/>
  <c r="D23" i="16"/>
  <c r="G22" i="16"/>
  <c r="L22" i="16" s="1"/>
  <c r="G21" i="16"/>
  <c r="D21" i="16"/>
  <c r="N18" i="16"/>
  <c r="N27" i="15"/>
  <c r="N20" i="15"/>
  <c r="N19" i="15"/>
  <c r="N18" i="15"/>
  <c r="N27" i="13"/>
  <c r="J23" i="13"/>
  <c r="G23" i="13"/>
  <c r="D23" i="13"/>
  <c r="G22" i="13"/>
  <c r="D22" i="13"/>
  <c r="G21" i="13"/>
  <c r="D21" i="13"/>
  <c r="N20" i="13"/>
  <c r="N19" i="13"/>
  <c r="N18" i="13"/>
  <c r="N27" i="12"/>
  <c r="G23" i="12"/>
  <c r="D23" i="12"/>
  <c r="D22" i="12"/>
  <c r="J21" i="12"/>
  <c r="G21" i="12"/>
  <c r="D21" i="12"/>
  <c r="N20" i="12"/>
  <c r="N19" i="12"/>
  <c r="N18" i="12"/>
  <c r="N27" i="11"/>
  <c r="G23" i="11"/>
  <c r="E16" i="36" s="1"/>
  <c r="D23" i="11"/>
  <c r="B16" i="36" s="1"/>
  <c r="J22" i="11"/>
  <c r="H16" i="35" s="1"/>
  <c r="G22" i="11"/>
  <c r="E16" i="35" s="1"/>
  <c r="G21" i="11"/>
  <c r="E16" i="34" s="1"/>
  <c r="D21" i="11"/>
  <c r="B16" i="34" s="1"/>
  <c r="N20" i="11"/>
  <c r="N19" i="11"/>
  <c r="N18" i="11"/>
  <c r="N27" i="9"/>
  <c r="J23" i="9"/>
  <c r="G23" i="9"/>
  <c r="D23" i="9"/>
  <c r="J22" i="9"/>
  <c r="D22" i="9"/>
  <c r="D21" i="9"/>
  <c r="N21" i="9"/>
  <c r="N20" i="9"/>
  <c r="N19" i="9"/>
  <c r="N18" i="9"/>
  <c r="N27" i="8"/>
  <c r="D23" i="8"/>
  <c r="J22" i="8"/>
  <c r="H13" i="35" s="1"/>
  <c r="D22" i="8"/>
  <c r="G21" i="8"/>
  <c r="D21" i="8"/>
  <c r="N21" i="8"/>
  <c r="N20" i="8"/>
  <c r="N19" i="8"/>
  <c r="N18" i="8"/>
  <c r="N27" i="7"/>
  <c r="J23" i="7"/>
  <c r="J24" i="7" s="1"/>
  <c r="D22" i="7"/>
  <c r="D24" i="7" s="1"/>
  <c r="G21" i="7"/>
  <c r="L21" i="7" s="1"/>
  <c r="M7" i="7"/>
  <c r="N21" i="7" s="1"/>
  <c r="N20" i="7"/>
  <c r="N19" i="7"/>
  <c r="N27" i="6"/>
  <c r="D23" i="6"/>
  <c r="L23" i="6" s="1"/>
  <c r="J22" i="6"/>
  <c r="J24" i="6" s="1"/>
  <c r="G22" i="6"/>
  <c r="D22" i="6"/>
  <c r="G21" i="6"/>
  <c r="D21" i="6"/>
  <c r="N21" i="6"/>
  <c r="N20" i="6"/>
  <c r="N19" i="6"/>
  <c r="N18" i="6"/>
  <c r="N27" i="5"/>
  <c r="N21" i="5"/>
  <c r="N20" i="5"/>
  <c r="N19" i="5"/>
  <c r="N18" i="5"/>
  <c r="J24" i="14" l="1"/>
  <c r="J24" i="18"/>
  <c r="L23" i="24"/>
  <c r="L22" i="8"/>
  <c r="J24" i="8"/>
  <c r="I16" i="34"/>
  <c r="I16" i="35"/>
  <c r="F165" i="50" s="1"/>
  <c r="I16" i="36"/>
  <c r="F166" i="50" s="1"/>
  <c r="L23" i="12"/>
  <c r="L23" i="27"/>
  <c r="D24" i="27"/>
  <c r="L23" i="21"/>
  <c r="N21" i="18"/>
  <c r="L23" i="14"/>
  <c r="D24" i="13"/>
  <c r="L23" i="11"/>
  <c r="J24" i="46"/>
  <c r="J24" i="9"/>
  <c r="L23" i="8"/>
  <c r="L23" i="7"/>
  <c r="L21" i="6"/>
  <c r="D24" i="46"/>
  <c r="L23" i="29"/>
  <c r="L21" i="29"/>
  <c r="D24" i="29"/>
  <c r="J24" i="28"/>
  <c r="L23" i="28"/>
  <c r="D24" i="28"/>
  <c r="L21" i="28"/>
  <c r="L21" i="27"/>
  <c r="J24" i="25"/>
  <c r="L23" i="25"/>
  <c r="L21" i="25"/>
  <c r="D24" i="25"/>
  <c r="J24" i="24"/>
  <c r="L21" i="24"/>
  <c r="D24" i="24"/>
  <c r="L23" i="23"/>
  <c r="J24" i="23"/>
  <c r="L21" i="23"/>
  <c r="D24" i="23"/>
  <c r="L23" i="22"/>
  <c r="L21" i="22"/>
  <c r="D24" i="22"/>
  <c r="D24" i="21"/>
  <c r="L21" i="21"/>
  <c r="J24" i="20"/>
  <c r="L21" i="20"/>
  <c r="L23" i="20"/>
  <c r="D24" i="20"/>
  <c r="N21" i="19"/>
  <c r="L21" i="18"/>
  <c r="D24" i="18"/>
  <c r="D24" i="17"/>
  <c r="N18" i="17"/>
  <c r="N21" i="17"/>
  <c r="L23" i="16"/>
  <c r="D24" i="16"/>
  <c r="L21" i="16"/>
  <c r="N21" i="15"/>
  <c r="L21" i="14"/>
  <c r="D24" i="14"/>
  <c r="J24" i="13"/>
  <c r="L23" i="13"/>
  <c r="L21" i="13"/>
  <c r="J24" i="12"/>
  <c r="L21" i="12"/>
  <c r="D24" i="12"/>
  <c r="N21" i="12"/>
  <c r="J24" i="11"/>
  <c r="D24" i="11"/>
  <c r="L21" i="11"/>
  <c r="N21" i="11"/>
  <c r="L22" i="9"/>
  <c r="L23" i="9"/>
  <c r="L21" i="9"/>
  <c r="G24" i="8"/>
  <c r="D24" i="6"/>
  <c r="L22" i="46"/>
  <c r="L24" i="46" s="1"/>
  <c r="G24" i="46"/>
  <c r="G24" i="29"/>
  <c r="L22" i="28"/>
  <c r="G24" i="28"/>
  <c r="L22" i="27"/>
  <c r="G24" i="27"/>
  <c r="L22" i="25"/>
  <c r="G24" i="25"/>
  <c r="L22" i="24"/>
  <c r="G24" i="24"/>
  <c r="L22" i="23"/>
  <c r="G24" i="23"/>
  <c r="G24" i="22"/>
  <c r="L22" i="22"/>
  <c r="L22" i="21"/>
  <c r="G24" i="21"/>
  <c r="G24" i="20"/>
  <c r="L22" i="20"/>
  <c r="L22" i="18"/>
  <c r="G24" i="18"/>
  <c r="L22" i="14"/>
  <c r="G24" i="14"/>
  <c r="L22" i="17"/>
  <c r="G24" i="17"/>
  <c r="G24" i="16"/>
  <c r="L22" i="13"/>
  <c r="G24" i="13"/>
  <c r="G24" i="12"/>
  <c r="L22" i="12"/>
  <c r="L22" i="11"/>
  <c r="G24" i="11"/>
  <c r="D24" i="9"/>
  <c r="G24" i="9"/>
  <c r="D24" i="8"/>
  <c r="L21" i="8"/>
  <c r="L24" i="8" s="1"/>
  <c r="L22" i="7"/>
  <c r="L24" i="7" s="1"/>
  <c r="G24" i="7"/>
  <c r="L22" i="6"/>
  <c r="G24" i="6"/>
  <c r="L24" i="16" l="1"/>
  <c r="L24" i="28"/>
  <c r="V16" i="34"/>
  <c r="F164" i="50"/>
  <c r="F167" i="50" s="1"/>
  <c r="L24" i="22"/>
  <c r="L24" i="20"/>
  <c r="L24" i="18"/>
  <c r="L24" i="12"/>
  <c r="L24" i="6"/>
  <c r="L24" i="27"/>
  <c r="L24" i="25"/>
  <c r="L24" i="24"/>
  <c r="L24" i="23"/>
  <c r="L24" i="21"/>
  <c r="L24" i="14"/>
  <c r="L24" i="13"/>
  <c r="L24" i="11"/>
  <c r="L24" i="9"/>
  <c r="Q26" i="2"/>
  <c r="K89" i="49" l="1"/>
  <c r="I89" i="49" l="1"/>
  <c r="H89" i="49"/>
  <c r="U36" i="36"/>
  <c r="U35" i="36"/>
  <c r="U34" i="36"/>
  <c r="U33" i="36"/>
  <c r="U32" i="36"/>
  <c r="U31" i="36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U9" i="36"/>
  <c r="U8" i="36"/>
  <c r="U7" i="36"/>
  <c r="U6" i="36"/>
  <c r="U36" i="35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6" i="35"/>
  <c r="P23" i="38"/>
  <c r="N23" i="38" s="1"/>
  <c r="U37" i="36" l="1"/>
  <c r="S37" i="36"/>
  <c r="R37" i="36"/>
  <c r="Q37" i="36"/>
  <c r="P37" i="36"/>
  <c r="N37" i="36"/>
  <c r="M37" i="36"/>
  <c r="L37" i="36"/>
  <c r="K37" i="36"/>
  <c r="J37" i="36"/>
  <c r="S37" i="35"/>
  <c r="R37" i="35"/>
  <c r="Q37" i="35"/>
  <c r="P37" i="35"/>
  <c r="N37" i="35"/>
  <c r="M37" i="35"/>
  <c r="L37" i="35"/>
  <c r="K37" i="35"/>
  <c r="J37" i="35"/>
  <c r="U37" i="34"/>
  <c r="U37" i="35"/>
  <c r="F37" i="48" l="1"/>
  <c r="T36" i="36"/>
  <c r="O36" i="36"/>
  <c r="G36" i="36"/>
  <c r="F36" i="36"/>
  <c r="D36" i="36"/>
  <c r="C36" i="36"/>
  <c r="T36" i="35"/>
  <c r="O36" i="35"/>
  <c r="G246" i="50" s="1"/>
  <c r="G36" i="35"/>
  <c r="F36" i="35"/>
  <c r="D36" i="35"/>
  <c r="C36" i="35"/>
  <c r="T36" i="34"/>
  <c r="O36" i="34"/>
  <c r="G245" i="50" s="1"/>
  <c r="G248" i="50" s="1"/>
  <c r="L248" i="50" s="1"/>
  <c r="G36" i="34"/>
  <c r="F36" i="34"/>
  <c r="D36" i="34"/>
  <c r="C36" i="34"/>
  <c r="J24" i="2" l="1"/>
  <c r="L22" i="2"/>
  <c r="L21" i="2"/>
  <c r="L23" i="2"/>
  <c r="G24" i="2"/>
  <c r="D24" i="2"/>
  <c r="L24" i="2" l="1"/>
  <c r="S37" i="34"/>
  <c r="R37" i="34"/>
  <c r="Q37" i="34"/>
  <c r="P37" i="34"/>
  <c r="N37" i="34"/>
  <c r="M37" i="34"/>
  <c r="L37" i="34"/>
  <c r="K37" i="34"/>
  <c r="J37" i="34"/>
  <c r="G37" i="48" s="1"/>
  <c r="L65" i="49"/>
  <c r="K65" i="49"/>
  <c r="I65" i="49"/>
  <c r="H65" i="49"/>
  <c r="L38" i="49"/>
  <c r="K38" i="49"/>
  <c r="I38" i="49"/>
  <c r="H38" i="49"/>
  <c r="I13" i="49"/>
  <c r="H13" i="49"/>
  <c r="H35" i="34" l="1"/>
  <c r="E35" i="34"/>
  <c r="B35" i="34"/>
  <c r="O35" i="35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G230" i="50" s="1"/>
  <c r="O19" i="35"/>
  <c r="O18" i="35"/>
  <c r="G198" i="50" s="1"/>
  <c r="O17" i="35"/>
  <c r="G181" i="50" s="1"/>
  <c r="O16" i="35"/>
  <c r="G165" i="50" s="1"/>
  <c r="O15" i="35"/>
  <c r="O14" i="35"/>
  <c r="O13" i="35"/>
  <c r="G134" i="50" s="1"/>
  <c r="O12" i="35"/>
  <c r="G116" i="50" s="1"/>
  <c r="O11" i="35"/>
  <c r="G98" i="50" s="1"/>
  <c r="O10" i="35"/>
  <c r="G82" i="50" s="1"/>
  <c r="O9" i="35"/>
  <c r="G64" i="50" s="1"/>
  <c r="O8" i="35"/>
  <c r="G46" i="50" s="1"/>
  <c r="O7" i="35"/>
  <c r="G28" i="50" s="1"/>
  <c r="T35" i="35"/>
  <c r="T34" i="35"/>
  <c r="T33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G215" i="50" s="1"/>
  <c r="T18" i="35"/>
  <c r="T17" i="35"/>
  <c r="T16" i="35"/>
  <c r="T15" i="35"/>
  <c r="T14" i="35"/>
  <c r="H135" i="50" s="1"/>
  <c r="T13" i="35"/>
  <c r="H134" i="50" s="1"/>
  <c r="T12" i="35"/>
  <c r="H116" i="50" s="1"/>
  <c r="T11" i="35"/>
  <c r="H98" i="50" s="1"/>
  <c r="T10" i="35"/>
  <c r="H82" i="50" s="1"/>
  <c r="T9" i="35"/>
  <c r="H64" i="50" s="1"/>
  <c r="T8" i="35"/>
  <c r="H46" i="50" s="1"/>
  <c r="T7" i="35"/>
  <c r="H28" i="50" s="1"/>
  <c r="H165" i="50" l="1"/>
  <c r="H166" i="50"/>
  <c r="H199" i="50"/>
  <c r="H198" i="50"/>
  <c r="H182" i="50"/>
  <c r="H181" i="50"/>
  <c r="B24" i="35"/>
  <c r="B20" i="35"/>
  <c r="H167" i="50" l="1"/>
  <c r="E24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H197" i="50" s="1"/>
  <c r="H200" i="50" s="1"/>
  <c r="T17" i="34"/>
  <c r="H180" i="50" s="1"/>
  <c r="H183" i="50" s="1"/>
  <c r="T15" i="34"/>
  <c r="T14" i="34"/>
  <c r="T13" i="34"/>
  <c r="H133" i="50" s="1"/>
  <c r="T12" i="34"/>
  <c r="H115" i="50" s="1"/>
  <c r="T11" i="34"/>
  <c r="H97" i="50" s="1"/>
  <c r="T10" i="34"/>
  <c r="H81" i="50" s="1"/>
  <c r="T9" i="34"/>
  <c r="H63" i="50" s="1"/>
  <c r="T8" i="34"/>
  <c r="H45" i="50" s="1"/>
  <c r="T7" i="34"/>
  <c r="H27" i="50" s="1"/>
  <c r="T6" i="34"/>
  <c r="H9" i="50" s="1"/>
  <c r="O34" i="34"/>
  <c r="O33" i="34"/>
  <c r="O32" i="34"/>
  <c r="O31" i="34"/>
  <c r="O30" i="34"/>
  <c r="G133" i="50" s="1"/>
  <c r="O29" i="34"/>
  <c r="O28" i="34"/>
  <c r="O27" i="34"/>
  <c r="O26" i="34"/>
  <c r="O25" i="34"/>
  <c r="O24" i="34"/>
  <c r="O23" i="34"/>
  <c r="O22" i="34"/>
  <c r="O21" i="34"/>
  <c r="O20" i="34"/>
  <c r="G229" i="50" s="1"/>
  <c r="O19" i="34"/>
  <c r="G214" i="50" s="1"/>
  <c r="O18" i="34"/>
  <c r="G197" i="50" s="1"/>
  <c r="O17" i="34"/>
  <c r="G180" i="50" s="1"/>
  <c r="O14" i="34"/>
  <c r="O13" i="34"/>
  <c r="O12" i="34"/>
  <c r="G115" i="50" s="1"/>
  <c r="O11" i="34"/>
  <c r="G97" i="50" s="1"/>
  <c r="O10" i="34"/>
  <c r="G81" i="50" s="1"/>
  <c r="O9" i="34"/>
  <c r="G63" i="50" s="1"/>
  <c r="O8" i="34"/>
  <c r="G45" i="50" s="1"/>
  <c r="O7" i="34"/>
  <c r="G27" i="50" s="1"/>
  <c r="T37" i="34" l="1"/>
  <c r="H24" i="34" l="1"/>
  <c r="B24" i="34"/>
  <c r="E20" i="35" l="1"/>
  <c r="H20" i="35"/>
  <c r="H20" i="34"/>
  <c r="E20" i="34"/>
  <c r="B20" i="34"/>
  <c r="I18" i="48" l="1"/>
  <c r="H18" i="48"/>
  <c r="G18" i="48"/>
  <c r="F18" i="48"/>
  <c r="E18" i="48"/>
  <c r="I11" i="48"/>
  <c r="H11" i="48"/>
  <c r="G11" i="48"/>
  <c r="F11" i="48"/>
  <c r="E11" i="48"/>
  <c r="J11" i="48" l="1"/>
  <c r="K11" i="48" s="1"/>
  <c r="J18" i="48"/>
  <c r="K18" i="48" s="1"/>
  <c r="P38" i="38"/>
  <c r="N38" i="38" s="1"/>
  <c r="B35" i="35"/>
  <c r="T35" i="36"/>
  <c r="O35" i="36"/>
  <c r="G35" i="36"/>
  <c r="F35" i="36"/>
  <c r="D35" i="36"/>
  <c r="C35" i="36"/>
  <c r="G35" i="35"/>
  <c r="F35" i="35"/>
  <c r="D35" i="35"/>
  <c r="C35" i="35"/>
  <c r="F35" i="34"/>
  <c r="D35" i="34"/>
  <c r="C35" i="34"/>
  <c r="H36" i="36"/>
  <c r="E36" i="36"/>
  <c r="B36" i="36"/>
  <c r="H36" i="35"/>
  <c r="E36" i="35"/>
  <c r="B36" i="35"/>
  <c r="E36" i="34"/>
  <c r="B36" i="34"/>
  <c r="H35" i="36"/>
  <c r="E35" i="36"/>
  <c r="B35" i="36"/>
  <c r="H35" i="35"/>
  <c r="E35" i="35"/>
  <c r="H36" i="34" l="1"/>
  <c r="I36" i="34" s="1"/>
  <c r="I36" i="36"/>
  <c r="D38" i="38" s="1"/>
  <c r="I36" i="35"/>
  <c r="C38" i="38" s="1"/>
  <c r="I35" i="36"/>
  <c r="I35" i="35"/>
  <c r="I35" i="34"/>
  <c r="V35" i="36" l="1"/>
  <c r="D37" i="38"/>
  <c r="B38" i="38"/>
  <c r="V35" i="35"/>
  <c r="C37" i="38"/>
  <c r="V35" i="34"/>
  <c r="B37" i="38"/>
  <c r="V36" i="34"/>
  <c r="V36" i="36"/>
  <c r="V36" i="35"/>
  <c r="T34" i="36" l="1"/>
  <c r="T33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H136" i="50" s="1"/>
  <c r="T12" i="36"/>
  <c r="H117" i="50" s="1"/>
  <c r="H118" i="50" s="1"/>
  <c r="T11" i="36"/>
  <c r="H99" i="50" s="1"/>
  <c r="H100" i="50" s="1"/>
  <c r="T9" i="36"/>
  <c r="H65" i="50" s="1"/>
  <c r="H66" i="50" s="1"/>
  <c r="T8" i="36"/>
  <c r="H47" i="50" s="1"/>
  <c r="H48" i="50" s="1"/>
  <c r="T7" i="36"/>
  <c r="H29" i="50" s="1"/>
  <c r="H30" i="50" s="1"/>
  <c r="T6" i="36"/>
  <c r="H11" i="50" s="1"/>
  <c r="T10" i="36"/>
  <c r="H83" i="50" s="1"/>
  <c r="H84" i="50" s="1"/>
  <c r="T37" i="36" l="1"/>
  <c r="P36" i="38"/>
  <c r="N36" i="38" s="1"/>
  <c r="P35" i="38"/>
  <c r="N35" i="38" s="1"/>
  <c r="P34" i="38"/>
  <c r="N34" i="38" s="1"/>
  <c r="P33" i="38"/>
  <c r="N33" i="38" s="1"/>
  <c r="P32" i="38"/>
  <c r="N32" i="38" s="1"/>
  <c r="P31" i="38"/>
  <c r="N31" i="38" s="1"/>
  <c r="P30" i="38"/>
  <c r="N30" i="38" s="1"/>
  <c r="P29" i="38"/>
  <c r="N29" i="38" s="1"/>
  <c r="P28" i="38"/>
  <c r="N28" i="38" s="1"/>
  <c r="P27" i="38"/>
  <c r="N27" i="38" s="1"/>
  <c r="P26" i="38"/>
  <c r="N26" i="38" s="1"/>
  <c r="R30" i="38"/>
  <c r="R27" i="38"/>
  <c r="R22" i="38"/>
  <c r="R14" i="38"/>
  <c r="R13" i="38"/>
  <c r="R12" i="38"/>
  <c r="R11" i="38"/>
  <c r="P25" i="38"/>
  <c r="N25" i="38" s="1"/>
  <c r="P24" i="38"/>
  <c r="N24" i="38" s="1"/>
  <c r="P22" i="38"/>
  <c r="N22" i="38" s="1"/>
  <c r="P21" i="38"/>
  <c r="N21" i="38" s="1"/>
  <c r="P20" i="38"/>
  <c r="N20" i="38" s="1"/>
  <c r="P19" i="38"/>
  <c r="N19" i="38" s="1"/>
  <c r="P18" i="38"/>
  <c r="N18" i="38" s="1"/>
  <c r="P17" i="38"/>
  <c r="N17" i="38" s="1"/>
  <c r="P16" i="38"/>
  <c r="N16" i="38" s="1"/>
  <c r="P15" i="38"/>
  <c r="N15" i="38" s="1"/>
  <c r="P14" i="38"/>
  <c r="N14" i="38" s="1"/>
  <c r="P13" i="38"/>
  <c r="N13" i="38" s="1"/>
  <c r="P12" i="38"/>
  <c r="N12" i="38" s="1"/>
  <c r="P11" i="38"/>
  <c r="N11" i="38" s="1"/>
  <c r="P10" i="38"/>
  <c r="N10" i="38" s="1"/>
  <c r="P9" i="38"/>
  <c r="N9" i="38" s="1"/>
  <c r="N39" i="38" s="1"/>
  <c r="O41" i="38" s="1"/>
  <c r="Q36" i="38"/>
  <c r="Q35" i="38"/>
  <c r="Q34" i="38"/>
  <c r="Q33" i="38"/>
  <c r="Q32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6" i="38"/>
  <c r="Q15" i="38"/>
  <c r="Q13" i="38"/>
  <c r="Q12" i="38"/>
  <c r="Q11" i="38"/>
  <c r="Q10" i="38"/>
  <c r="Q9" i="38"/>
  <c r="Q39" i="38" l="1"/>
  <c r="R39" i="38"/>
  <c r="P39" i="38"/>
  <c r="S9" i="38"/>
  <c r="S10" i="38" s="1"/>
  <c r="S11" i="38" s="1"/>
  <c r="S12" i="38" s="1"/>
  <c r="S13" i="38" s="1"/>
  <c r="S14" i="38" s="1"/>
  <c r="S15" i="38" s="1"/>
  <c r="S16" i="38" s="1"/>
  <c r="S17" i="38" s="1"/>
  <c r="S18" i="38" s="1"/>
  <c r="S19" i="38" s="1"/>
  <c r="S20" i="38" l="1"/>
  <c r="S21" i="38" s="1"/>
  <c r="S22" i="38" s="1"/>
  <c r="S23" i="38" s="1"/>
  <c r="S24" i="38" s="1"/>
  <c r="S25" i="38" s="1"/>
  <c r="S26" i="38" s="1"/>
  <c r="S27" i="38" s="1"/>
  <c r="S28" i="38" s="1"/>
  <c r="S29" i="38" s="1"/>
  <c r="S30" i="38" s="1"/>
  <c r="S31" i="38" s="1"/>
  <c r="S32" i="38" s="1"/>
  <c r="S33" i="38" s="1"/>
  <c r="S34" i="38" s="1"/>
  <c r="S35" i="38" s="1"/>
  <c r="S36" i="38" s="1"/>
  <c r="S37" i="38" s="1"/>
  <c r="S38" i="38" s="1"/>
  <c r="S39" i="38"/>
  <c r="Q26" i="7" l="1"/>
  <c r="Q26" i="8" s="1"/>
  <c r="O25" i="2" l="1"/>
  <c r="O25" i="3" s="1"/>
  <c r="O25" i="4" s="1"/>
  <c r="O25" i="5" s="1"/>
  <c r="O25" i="6" s="1"/>
  <c r="O25" i="7" s="1"/>
  <c r="O25" i="8" s="1"/>
  <c r="O25" i="9" l="1"/>
  <c r="O25" i="10" s="1"/>
  <c r="H24" i="35"/>
  <c r="E24" i="35"/>
  <c r="N27" i="4"/>
  <c r="N27" i="3"/>
  <c r="N20" i="4" l="1"/>
  <c r="N19" i="2"/>
  <c r="N19" i="4"/>
  <c r="N21" i="4"/>
  <c r="N18" i="4"/>
  <c r="N20" i="3"/>
  <c r="N19" i="3"/>
  <c r="N18" i="3"/>
  <c r="N21" i="3"/>
  <c r="N20" i="2"/>
  <c r="N21" i="2"/>
  <c r="N18" i="2"/>
  <c r="T6" i="35" l="1"/>
  <c r="H10" i="50" l="1"/>
  <c r="H12" i="50" s="1"/>
  <c r="T37" i="35"/>
  <c r="D37" i="48" s="1"/>
  <c r="H29" i="36"/>
  <c r="H28" i="36"/>
  <c r="H26" i="36"/>
  <c r="H2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5" i="36"/>
  <c r="G14" i="36"/>
  <c r="G13" i="36"/>
  <c r="G12" i="36"/>
  <c r="G11" i="36"/>
  <c r="G10" i="36"/>
  <c r="G9" i="36"/>
  <c r="G8" i="36"/>
  <c r="G7" i="36"/>
  <c r="G6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5" i="36"/>
  <c r="F14" i="36"/>
  <c r="F13" i="36"/>
  <c r="F12" i="36"/>
  <c r="F11" i="36"/>
  <c r="F10" i="36"/>
  <c r="F9" i="36"/>
  <c r="F8" i="36"/>
  <c r="F7" i="36"/>
  <c r="F6" i="36"/>
  <c r="E29" i="36"/>
  <c r="E26" i="36"/>
  <c r="E2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5" i="36"/>
  <c r="D14" i="36"/>
  <c r="D13" i="36"/>
  <c r="D12" i="36"/>
  <c r="D11" i="36"/>
  <c r="D10" i="36"/>
  <c r="D9" i="36"/>
  <c r="D8" i="36"/>
  <c r="D7" i="36"/>
  <c r="D6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5" i="36"/>
  <c r="C14" i="36"/>
  <c r="C13" i="36"/>
  <c r="C12" i="36"/>
  <c r="C11" i="36"/>
  <c r="C10" i="36"/>
  <c r="C9" i="36"/>
  <c r="C8" i="36"/>
  <c r="C7" i="36"/>
  <c r="C6" i="36"/>
  <c r="B29" i="36"/>
  <c r="B27" i="36"/>
  <c r="B26" i="36"/>
  <c r="B15" i="36"/>
  <c r="H32" i="35"/>
  <c r="H29" i="35"/>
  <c r="H8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5" i="35"/>
  <c r="G14" i="35"/>
  <c r="G13" i="35"/>
  <c r="G12" i="35"/>
  <c r="G11" i="35"/>
  <c r="G10" i="35"/>
  <c r="G9" i="35"/>
  <c r="G8" i="35"/>
  <c r="G7" i="35"/>
  <c r="G6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5" i="35"/>
  <c r="F14" i="35"/>
  <c r="F13" i="35"/>
  <c r="F12" i="35"/>
  <c r="F11" i="35"/>
  <c r="F10" i="35"/>
  <c r="F9" i="35"/>
  <c r="F8" i="35"/>
  <c r="F7" i="35"/>
  <c r="F6" i="35"/>
  <c r="E29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5" i="35"/>
  <c r="D14" i="35"/>
  <c r="D13" i="35"/>
  <c r="D12" i="35"/>
  <c r="D11" i="35"/>
  <c r="D10" i="35"/>
  <c r="D9" i="35"/>
  <c r="D8" i="35"/>
  <c r="D7" i="35"/>
  <c r="D6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5" i="35"/>
  <c r="C14" i="35"/>
  <c r="C13" i="35"/>
  <c r="C12" i="35"/>
  <c r="C11" i="35"/>
  <c r="C10" i="35"/>
  <c r="C9" i="35"/>
  <c r="C8" i="35"/>
  <c r="C7" i="35"/>
  <c r="C6" i="35"/>
  <c r="B29" i="35"/>
  <c r="B9" i="35" l="1"/>
  <c r="O34" i="36"/>
  <c r="O33" i="36"/>
  <c r="O32" i="36"/>
  <c r="I32" i="36"/>
  <c r="O31" i="36"/>
  <c r="O30" i="36"/>
  <c r="O29" i="36"/>
  <c r="I29" i="36"/>
  <c r="O28" i="36"/>
  <c r="O27" i="36"/>
  <c r="O26" i="36"/>
  <c r="I26" i="36"/>
  <c r="O25" i="36"/>
  <c r="O24" i="36"/>
  <c r="O23" i="36"/>
  <c r="O22" i="36"/>
  <c r="O21" i="36"/>
  <c r="O20" i="36"/>
  <c r="G231" i="50" s="1"/>
  <c r="G232" i="50" s="1"/>
  <c r="O19" i="36"/>
  <c r="G216" i="50" s="1"/>
  <c r="G217" i="50" s="1"/>
  <c r="O18" i="36"/>
  <c r="G199" i="50" s="1"/>
  <c r="G200" i="50" s="1"/>
  <c r="O17" i="36"/>
  <c r="G182" i="50" s="1"/>
  <c r="G183" i="50" s="1"/>
  <c r="O16" i="36"/>
  <c r="G166" i="50" s="1"/>
  <c r="G167" i="50" s="1"/>
  <c r="L167" i="50" s="1"/>
  <c r="O15" i="36"/>
  <c r="I15" i="36"/>
  <c r="O14" i="36"/>
  <c r="O13" i="36"/>
  <c r="O12" i="36"/>
  <c r="G117" i="50" s="1"/>
  <c r="G118" i="50" s="1"/>
  <c r="O11" i="36"/>
  <c r="G99" i="50" s="1"/>
  <c r="G100" i="50" s="1"/>
  <c r="O10" i="36"/>
  <c r="G83" i="50" s="1"/>
  <c r="G84" i="50" s="1"/>
  <c r="O9" i="36"/>
  <c r="G65" i="50" s="1"/>
  <c r="G66" i="50" s="1"/>
  <c r="O8" i="36"/>
  <c r="G47" i="50" s="1"/>
  <c r="G48" i="50" s="1"/>
  <c r="O7" i="36"/>
  <c r="G29" i="50" s="1"/>
  <c r="G30" i="50" s="1"/>
  <c r="O6" i="36"/>
  <c r="G11" i="50" s="1"/>
  <c r="I32" i="35"/>
  <c r="I29" i="35"/>
  <c r="I15" i="35"/>
  <c r="O6" i="35"/>
  <c r="H29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5" i="34"/>
  <c r="G14" i="34"/>
  <c r="G13" i="34"/>
  <c r="G12" i="34"/>
  <c r="G11" i="34"/>
  <c r="G10" i="34"/>
  <c r="G9" i="34"/>
  <c r="G8" i="34"/>
  <c r="G7" i="34"/>
  <c r="G6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5" i="34"/>
  <c r="F14" i="34"/>
  <c r="F13" i="34"/>
  <c r="F12" i="34"/>
  <c r="F11" i="34"/>
  <c r="F10" i="34"/>
  <c r="F9" i="34"/>
  <c r="F8" i="34"/>
  <c r="F7" i="34"/>
  <c r="F6" i="34"/>
  <c r="E29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5" i="34"/>
  <c r="D14" i="34"/>
  <c r="D13" i="34"/>
  <c r="D12" i="34"/>
  <c r="D11" i="34"/>
  <c r="D10" i="34"/>
  <c r="D9" i="34"/>
  <c r="D8" i="34"/>
  <c r="D7" i="34"/>
  <c r="D6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5" i="34"/>
  <c r="C14" i="34"/>
  <c r="C13" i="34"/>
  <c r="C12" i="34"/>
  <c r="C11" i="34"/>
  <c r="C10" i="34"/>
  <c r="C9" i="34"/>
  <c r="C8" i="34"/>
  <c r="C7" i="34"/>
  <c r="C6" i="34"/>
  <c r="G135" i="50" l="1"/>
  <c r="G136" i="50" s="1"/>
  <c r="G10" i="50"/>
  <c r="O37" i="35"/>
  <c r="O37" i="36"/>
  <c r="C34" i="38"/>
  <c r="V32" i="35"/>
  <c r="D34" i="38"/>
  <c r="V32" i="36"/>
  <c r="C31" i="38"/>
  <c r="V29" i="35"/>
  <c r="D31" i="38"/>
  <c r="V29" i="36"/>
  <c r="D28" i="38"/>
  <c r="V26" i="36"/>
  <c r="C17" i="38"/>
  <c r="V15" i="35"/>
  <c r="D17" i="38"/>
  <c r="V15" i="36"/>
  <c r="H34" i="36"/>
  <c r="E34" i="36"/>
  <c r="E34" i="35"/>
  <c r="B34" i="35"/>
  <c r="E34" i="34"/>
  <c r="H33" i="36"/>
  <c r="E33" i="36"/>
  <c r="H33" i="35"/>
  <c r="E33" i="35"/>
  <c r="B33" i="35"/>
  <c r="E33" i="34"/>
  <c r="H31" i="36"/>
  <c r="E31" i="36"/>
  <c r="B31" i="36"/>
  <c r="H31" i="35"/>
  <c r="E31" i="35"/>
  <c r="B31" i="35"/>
  <c r="H31" i="34"/>
  <c r="B30" i="36"/>
  <c r="H30" i="36"/>
  <c r="E30" i="36"/>
  <c r="E30" i="35"/>
  <c r="B30" i="35"/>
  <c r="H30" i="34"/>
  <c r="E30" i="34"/>
  <c r="I33" i="35" l="1"/>
  <c r="V33" i="35" s="1"/>
  <c r="I31" i="36"/>
  <c r="V31" i="36" s="1"/>
  <c r="H33" i="34"/>
  <c r="I33" i="36"/>
  <c r="V33" i="36" s="1"/>
  <c r="I30" i="36"/>
  <c r="V30" i="36" s="1"/>
  <c r="I31" i="35"/>
  <c r="V31" i="35" s="1"/>
  <c r="H34" i="34"/>
  <c r="B34" i="36"/>
  <c r="I34" i="36" s="1"/>
  <c r="H30" i="35"/>
  <c r="I30" i="35" s="1"/>
  <c r="V30" i="35" s="1"/>
  <c r="C35" i="38" l="1"/>
  <c r="V34" i="36"/>
  <c r="D33" i="38"/>
  <c r="C33" i="38"/>
  <c r="D32" i="38"/>
  <c r="C32" i="38"/>
  <c r="D36" i="38"/>
  <c r="D35" i="38"/>
  <c r="B28" i="36"/>
  <c r="E28" i="36"/>
  <c r="H28" i="35"/>
  <c r="E28" i="35"/>
  <c r="B28" i="35"/>
  <c r="H28" i="34"/>
  <c r="E28" i="34"/>
  <c r="H27" i="36"/>
  <c r="E27" i="36"/>
  <c r="I28" i="35" l="1"/>
  <c r="V28" i="35" s="1"/>
  <c r="I27" i="36"/>
  <c r="V27" i="36" s="1"/>
  <c r="I28" i="36"/>
  <c r="V28" i="36" s="1"/>
  <c r="H27" i="35"/>
  <c r="E27" i="35"/>
  <c r="B27" i="35"/>
  <c r="H27" i="34"/>
  <c r="E27" i="34"/>
  <c r="B27" i="34"/>
  <c r="C30" i="38" l="1"/>
  <c r="D30" i="38"/>
  <c r="D29" i="38"/>
  <c r="I27" i="34"/>
  <c r="I27" i="35"/>
  <c r="H26" i="35"/>
  <c r="E26" i="35"/>
  <c r="B26" i="35"/>
  <c r="H26" i="34"/>
  <c r="E26" i="34"/>
  <c r="V27" i="35" l="1"/>
  <c r="B29" i="38"/>
  <c r="V27" i="34"/>
  <c r="C29" i="38"/>
  <c r="I26" i="35"/>
  <c r="V26" i="35" s="1"/>
  <c r="B25" i="36"/>
  <c r="I25" i="36" s="1"/>
  <c r="V25" i="36" s="1"/>
  <c r="H25" i="35"/>
  <c r="E25" i="35"/>
  <c r="B25" i="35"/>
  <c r="H25" i="34"/>
  <c r="E25" i="34"/>
  <c r="D27" i="38" l="1"/>
  <c r="C28" i="38"/>
  <c r="I25" i="35"/>
  <c r="V25" i="35" s="1"/>
  <c r="C27" i="38" l="1"/>
  <c r="H23" i="35"/>
  <c r="B23" i="35"/>
  <c r="E24" i="36"/>
  <c r="E23" i="36"/>
  <c r="E23" i="35"/>
  <c r="H23" i="36"/>
  <c r="H24" i="36"/>
  <c r="E23" i="34"/>
  <c r="H23" i="34"/>
  <c r="B24" i="36"/>
  <c r="B23" i="36"/>
  <c r="H22" i="36"/>
  <c r="E22" i="36"/>
  <c r="B22" i="36"/>
  <c r="E22" i="35"/>
  <c r="H22" i="34"/>
  <c r="H21" i="36"/>
  <c r="E21" i="36"/>
  <c r="B21" i="36"/>
  <c r="H21" i="35"/>
  <c r="E21" i="35"/>
  <c r="B21" i="35"/>
  <c r="H21" i="34"/>
  <c r="E21" i="34"/>
  <c r="I21" i="35" l="1"/>
  <c r="I24" i="35"/>
  <c r="V24" i="35" s="1"/>
  <c r="I23" i="36"/>
  <c r="V23" i="36" s="1"/>
  <c r="I21" i="36"/>
  <c r="V21" i="36" s="1"/>
  <c r="I22" i="36"/>
  <c r="V22" i="36" s="1"/>
  <c r="I23" i="35"/>
  <c r="V23" i="35" s="1"/>
  <c r="V21" i="35"/>
  <c r="E22" i="34"/>
  <c r="H22" i="35"/>
  <c r="I22" i="35" s="1"/>
  <c r="V22" i="35" s="1"/>
  <c r="I24" i="36"/>
  <c r="V24" i="36" s="1"/>
  <c r="C26" i="38" l="1"/>
  <c r="D25" i="38"/>
  <c r="D26" i="38"/>
  <c r="C25" i="38"/>
  <c r="C24" i="38"/>
  <c r="D24" i="38"/>
  <c r="D23" i="38"/>
  <c r="C23" i="38"/>
  <c r="B34" i="34"/>
  <c r="I34" i="34" s="1"/>
  <c r="B33" i="34"/>
  <c r="I33" i="34" s="1"/>
  <c r="I32" i="34"/>
  <c r="I31" i="34"/>
  <c r="B30" i="34"/>
  <c r="I30" i="34" s="1"/>
  <c r="B29" i="34"/>
  <c r="I29" i="34" s="1"/>
  <c r="B28" i="34"/>
  <c r="I28" i="34" s="1"/>
  <c r="B26" i="34"/>
  <c r="I26" i="34" s="1"/>
  <c r="B25" i="34"/>
  <c r="I25" i="34" s="1"/>
  <c r="I24" i="34"/>
  <c r="B23" i="34"/>
  <c r="I23" i="34" s="1"/>
  <c r="B22" i="34"/>
  <c r="I22" i="34" s="1"/>
  <c r="B21" i="34"/>
  <c r="I21" i="34" s="1"/>
  <c r="V21" i="34" s="1"/>
  <c r="I15" i="34"/>
  <c r="B36" i="38" l="1"/>
  <c r="V34" i="34"/>
  <c r="B35" i="38"/>
  <c r="V33" i="34"/>
  <c r="B34" i="38"/>
  <c r="V32" i="34"/>
  <c r="B33" i="38"/>
  <c r="V31" i="34"/>
  <c r="B32" i="38"/>
  <c r="V30" i="34"/>
  <c r="B31" i="38"/>
  <c r="V29" i="34"/>
  <c r="B30" i="38"/>
  <c r="V28" i="34"/>
  <c r="B28" i="38"/>
  <c r="V26" i="34"/>
  <c r="B27" i="38"/>
  <c r="V25" i="34"/>
  <c r="B26" i="38"/>
  <c r="V24" i="34"/>
  <c r="B25" i="38"/>
  <c r="V23" i="34"/>
  <c r="B24" i="38"/>
  <c r="V22" i="34"/>
  <c r="B23" i="38"/>
  <c r="B17" i="38"/>
  <c r="V15" i="34"/>
  <c r="B19" i="34"/>
  <c r="E19" i="35"/>
  <c r="H19" i="34"/>
  <c r="B20" i="36"/>
  <c r="B19" i="36"/>
  <c r="H19" i="36"/>
  <c r="H20" i="36"/>
  <c r="B19" i="35"/>
  <c r="E20" i="36"/>
  <c r="E19" i="36"/>
  <c r="E19" i="34"/>
  <c r="H19" i="35"/>
  <c r="I20" i="34" l="1"/>
  <c r="F229" i="50" s="1"/>
  <c r="I20" i="35"/>
  <c r="I20" i="36"/>
  <c r="I19" i="34"/>
  <c r="F214" i="50" s="1"/>
  <c r="I19" i="35"/>
  <c r="I19" i="36"/>
  <c r="O6" i="34"/>
  <c r="G9" i="50" s="1"/>
  <c r="G12" i="50" s="1"/>
  <c r="V20" i="36" l="1"/>
  <c r="F231" i="50"/>
  <c r="V19" i="36"/>
  <c r="F216" i="50"/>
  <c r="V19" i="35"/>
  <c r="F215" i="50"/>
  <c r="V20" i="35"/>
  <c r="F230" i="50"/>
  <c r="F232" i="50" s="1"/>
  <c r="L232" i="50" s="1"/>
  <c r="B21" i="38"/>
  <c r="V19" i="34"/>
  <c r="B22" i="38"/>
  <c r="V20" i="34"/>
  <c r="O37" i="34"/>
  <c r="D22" i="38"/>
  <c r="D21" i="38"/>
  <c r="C22" i="38"/>
  <c r="C21" i="38"/>
  <c r="F217" i="50" l="1"/>
  <c r="L217" i="50" s="1"/>
  <c r="E37" i="48"/>
  <c r="H37" i="48" s="1"/>
  <c r="J37" i="48" s="1"/>
  <c r="K37" i="48" s="1"/>
  <c r="H18" i="36"/>
  <c r="E18" i="36"/>
  <c r="B18" i="36"/>
  <c r="H18" i="35"/>
  <c r="E18" i="35"/>
  <c r="B18" i="35"/>
  <c r="E18" i="34"/>
  <c r="B18" i="34"/>
  <c r="H17" i="36"/>
  <c r="E17" i="36"/>
  <c r="B17" i="36"/>
  <c r="H17" i="35"/>
  <c r="E17" i="35"/>
  <c r="B17" i="35"/>
  <c r="H17" i="34"/>
  <c r="E17" i="34"/>
  <c r="B17" i="34"/>
  <c r="I37" i="48" l="1"/>
  <c r="I18" i="36"/>
  <c r="I17" i="34"/>
  <c r="F180" i="50" s="1"/>
  <c r="H18" i="34"/>
  <c r="I18" i="34" s="1"/>
  <c r="I17" i="36"/>
  <c r="I18" i="35"/>
  <c r="I17" i="35"/>
  <c r="V16" i="36"/>
  <c r="V17" i="36" l="1"/>
  <c r="F182" i="50"/>
  <c r="V18" i="36"/>
  <c r="F199" i="50"/>
  <c r="V18" i="35"/>
  <c r="F198" i="50"/>
  <c r="V17" i="35"/>
  <c r="F181" i="50"/>
  <c r="F183" i="50" s="1"/>
  <c r="L183" i="50" s="1"/>
  <c r="V18" i="34"/>
  <c r="F197" i="50"/>
  <c r="B19" i="38"/>
  <c r="V17" i="34"/>
  <c r="B20" i="38"/>
  <c r="D20" i="38"/>
  <c r="C20" i="38"/>
  <c r="C19" i="38"/>
  <c r="D19" i="38"/>
  <c r="D18" i="38"/>
  <c r="H14" i="36"/>
  <c r="E14" i="36"/>
  <c r="B14" i="36"/>
  <c r="H14" i="35"/>
  <c r="E14" i="35"/>
  <c r="B14" i="35"/>
  <c r="H14" i="34"/>
  <c r="E14" i="34"/>
  <c r="B14" i="34"/>
  <c r="F200" i="50" l="1"/>
  <c r="L200" i="50" s="1"/>
  <c r="B18" i="38"/>
  <c r="I14" i="36"/>
  <c r="V14" i="36" s="1"/>
  <c r="I14" i="35"/>
  <c r="V14" i="35" s="1"/>
  <c r="I14" i="34"/>
  <c r="B16" i="38" l="1"/>
  <c r="V14" i="34"/>
  <c r="D16" i="38"/>
  <c r="C1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7" i="38"/>
  <c r="E16" i="38" l="1"/>
  <c r="H13" i="36"/>
  <c r="E13" i="36"/>
  <c r="B13" i="36"/>
  <c r="E13" i="35"/>
  <c r="B13" i="35"/>
  <c r="H13" i="34"/>
  <c r="E13" i="34"/>
  <c r="B13" i="34"/>
  <c r="I13" i="36" l="1"/>
  <c r="I13" i="34"/>
  <c r="I13" i="35"/>
  <c r="H12" i="36"/>
  <c r="E12" i="36"/>
  <c r="B12" i="36"/>
  <c r="H12" i="35"/>
  <c r="E12" i="35"/>
  <c r="B12" i="35"/>
  <c r="H12" i="34"/>
  <c r="E12" i="34"/>
  <c r="B12" i="34"/>
  <c r="V13" i="36" l="1"/>
  <c r="F135" i="50"/>
  <c r="V13" i="35"/>
  <c r="F134" i="50"/>
  <c r="V13" i="34"/>
  <c r="F133" i="50"/>
  <c r="D15" i="38"/>
  <c r="C15" i="38"/>
  <c r="B15" i="38"/>
  <c r="I12" i="36"/>
  <c r="I12" i="35"/>
  <c r="I12" i="34"/>
  <c r="H11" i="36"/>
  <c r="E11" i="36"/>
  <c r="H11" i="35"/>
  <c r="E11" i="35"/>
  <c r="B11" i="35"/>
  <c r="H11" i="34"/>
  <c r="E11" i="34"/>
  <c r="B11" i="34"/>
  <c r="B10" i="35"/>
  <c r="F136" i="50" l="1"/>
  <c r="L136" i="50" s="1"/>
  <c r="V12" i="36"/>
  <c r="F117" i="50"/>
  <c r="V12" i="35"/>
  <c r="F116" i="50"/>
  <c r="V12" i="34"/>
  <c r="F115" i="50"/>
  <c r="E15" i="38"/>
  <c r="D14" i="38"/>
  <c r="C14" i="38"/>
  <c r="B14" i="38"/>
  <c r="I11" i="35"/>
  <c r="I11" i="34"/>
  <c r="B11" i="36"/>
  <c r="I11" i="36" s="1"/>
  <c r="H10" i="36"/>
  <c r="E10" i="36"/>
  <c r="B10" i="36"/>
  <c r="H10" i="35"/>
  <c r="E10" i="35"/>
  <c r="H10" i="34"/>
  <c r="E10" i="34"/>
  <c r="B10" i="34"/>
  <c r="V11" i="36" l="1"/>
  <c r="F99" i="50"/>
  <c r="V11" i="35"/>
  <c r="F98" i="50"/>
  <c r="V11" i="34"/>
  <c r="F97" i="50"/>
  <c r="F100" i="50" s="1"/>
  <c r="L100" i="50" s="1"/>
  <c r="F118" i="50"/>
  <c r="L118" i="50" s="1"/>
  <c r="E14" i="38"/>
  <c r="D13" i="38"/>
  <c r="C13" i="38"/>
  <c r="B13" i="38"/>
  <c r="I10" i="36"/>
  <c r="I10" i="35"/>
  <c r="I10" i="34"/>
  <c r="H9" i="35"/>
  <c r="V10" i="36" l="1"/>
  <c r="F83" i="50"/>
  <c r="V10" i="35"/>
  <c r="F82" i="50"/>
  <c r="V10" i="34"/>
  <c r="F81" i="50"/>
  <c r="E13" i="38"/>
  <c r="D12" i="38"/>
  <c r="C12" i="38"/>
  <c r="B12" i="38"/>
  <c r="H9" i="36"/>
  <c r="E9" i="36"/>
  <c r="B9" i="36"/>
  <c r="H9" i="34"/>
  <c r="F84" i="50" l="1"/>
  <c r="L84" i="50" s="1"/>
  <c r="E12" i="38"/>
  <c r="I9" i="36"/>
  <c r="E9" i="35"/>
  <c r="E9" i="34"/>
  <c r="B9" i="34"/>
  <c r="H8" i="36"/>
  <c r="E8" i="36"/>
  <c r="B8" i="36"/>
  <c r="E8" i="35"/>
  <c r="B8" i="35"/>
  <c r="H8" i="34"/>
  <c r="E8" i="34"/>
  <c r="V9" i="36" l="1"/>
  <c r="F65" i="50"/>
  <c r="D11" i="38"/>
  <c r="I9" i="34"/>
  <c r="I9" i="35"/>
  <c r="I8" i="36"/>
  <c r="I8" i="35"/>
  <c r="B8" i="34"/>
  <c r="I8" i="34" s="1"/>
  <c r="F45" i="50" s="1"/>
  <c r="H7" i="36"/>
  <c r="E7" i="36"/>
  <c r="B7" i="36"/>
  <c r="H7" i="35"/>
  <c r="E7" i="35"/>
  <c r="B7" i="35"/>
  <c r="H7" i="34"/>
  <c r="E7" i="34"/>
  <c r="B7" i="34"/>
  <c r="E6" i="36"/>
  <c r="E6" i="35"/>
  <c r="E6" i="34"/>
  <c r="B6" i="34"/>
  <c r="H6" i="36"/>
  <c r="B6" i="36"/>
  <c r="H6" i="35"/>
  <c r="B6" i="35"/>
  <c r="H6" i="34"/>
  <c r="V8" i="36" l="1"/>
  <c r="F47" i="50"/>
  <c r="V9" i="35"/>
  <c r="F64" i="50"/>
  <c r="V8" i="35"/>
  <c r="F46" i="50"/>
  <c r="F48" i="50" s="1"/>
  <c r="L48" i="50" s="1"/>
  <c r="V9" i="34"/>
  <c r="F63" i="50"/>
  <c r="F66" i="50" s="1"/>
  <c r="L66" i="50" s="1"/>
  <c r="B10" i="38"/>
  <c r="V8" i="34"/>
  <c r="C11" i="38"/>
  <c r="D10" i="38"/>
  <c r="C10" i="38"/>
  <c r="B11" i="38"/>
  <c r="I7" i="36"/>
  <c r="I7" i="35"/>
  <c r="I7" i="34"/>
  <c r="I6" i="36"/>
  <c r="F11" i="50" s="1"/>
  <c r="I6" i="35"/>
  <c r="I6" i="34"/>
  <c r="V7" i="35" l="1"/>
  <c r="F28" i="50"/>
  <c r="V7" i="36"/>
  <c r="F29" i="50"/>
  <c r="V7" i="34"/>
  <c r="F27" i="50"/>
  <c r="F30" i="50" s="1"/>
  <c r="L30" i="50" s="1"/>
  <c r="F10" i="50"/>
  <c r="V6" i="34"/>
  <c r="F9" i="50"/>
  <c r="V6" i="36"/>
  <c r="I37" i="36"/>
  <c r="V6" i="35"/>
  <c r="I37" i="34"/>
  <c r="V38" i="34" s="1"/>
  <c r="D8" i="38"/>
  <c r="B8" i="38"/>
  <c r="E11" i="38"/>
  <c r="E10" i="38"/>
  <c r="D9" i="38"/>
  <c r="C9" i="38"/>
  <c r="C8" i="38"/>
  <c r="B9" i="38"/>
  <c r="V37" i="36" l="1"/>
  <c r="V38" i="36"/>
  <c r="F12" i="50"/>
  <c r="L12" i="50" s="1"/>
  <c r="B39" i="38"/>
  <c r="D39" i="38"/>
  <c r="V37" i="34"/>
  <c r="E9" i="38"/>
  <c r="E8" i="38"/>
  <c r="V16" i="35" l="1"/>
  <c r="C18" i="38"/>
  <c r="E18" i="38" s="1"/>
  <c r="E38" i="38"/>
  <c r="Q26" i="9" l="1"/>
  <c r="G35" i="34"/>
  <c r="G34" i="35"/>
  <c r="J22" i="29"/>
  <c r="L22" i="29" s="1"/>
  <c r="L24" i="29" s="1"/>
  <c r="H34" i="35" l="1"/>
  <c r="I34" i="35" s="1"/>
  <c r="C36" i="38" s="1"/>
  <c r="J24" i="29"/>
  <c r="V34" i="35" l="1"/>
  <c r="E37" i="38"/>
  <c r="I37" i="35"/>
  <c r="V37" i="35" s="1"/>
  <c r="C39" i="38"/>
  <c r="E36" i="38"/>
  <c r="O25" i="11"/>
  <c r="O25" i="12" s="1"/>
  <c r="O25" i="13" s="1"/>
  <c r="O25" i="14" s="1"/>
  <c r="O25" i="15" s="1"/>
  <c r="O25" i="16" s="1"/>
  <c r="O25" i="18" s="1"/>
  <c r="O25" i="19" s="1"/>
  <c r="O25" i="20" s="1"/>
  <c r="O25" i="21" s="1"/>
  <c r="O25" i="22" s="1"/>
  <c r="O25" i="23" s="1"/>
  <c r="O25" i="24" s="1"/>
  <c r="Q26" i="17"/>
  <c r="Q26" i="18" s="1"/>
  <c r="O25" i="25" l="1"/>
  <c r="O25" i="26"/>
  <c r="V38" i="35"/>
  <c r="E39" i="38"/>
  <c r="Q26" i="20"/>
  <c r="Q26" i="22" s="1"/>
  <c r="Q26" i="23" s="1"/>
  <c r="Q26" i="25" s="1"/>
  <c r="Q26" i="27" s="1"/>
  <c r="Q26" i="19"/>
  <c r="O25" i="27" l="1"/>
  <c r="O25" i="29" s="1"/>
  <c r="Q26" i="28"/>
  <c r="Q26" i="29" s="1"/>
  <c r="Q26" i="14"/>
  <c r="Q26" i="15"/>
  <c r="Q26" i="10"/>
  <c r="Q26" i="11"/>
  <c r="Q26" i="12"/>
  <c r="Q26" i="13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<sst xmlns="http://schemas.openxmlformats.org/spreadsheetml/2006/main" count="5524" uniqueCount="620">
  <si>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</si>
  <si>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</si>
  <si>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</si>
  <si>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</si>
  <si>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</si>
  <si>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</si>
  <si>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</si>
  <si>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</si>
  <si>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</si>
  <si>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</si>
  <si>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</si>
  <si>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</si>
  <si>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</si>
  <si>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</si>
  <si>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</si>
  <si>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</si>
  <si>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</si>
  <si>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</si>
  <si>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</si>
  <si>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</si>
  <si>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</si>
  <si>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</si>
  <si>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</si>
  <si>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</si>
  <si>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</si>
  <si>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</si>
  <si>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</si>
  <si>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</si>
  <si>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</si>
  <si>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</si>
  <si>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</si>
  <si>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</si>
  <si>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</si>
  <si>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</si>
  <si>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</si>
  <si>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</si>
  <si>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</si>
  <si>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</si>
  <si>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</si>
  <si>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</si>
  <si>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</si>
  <si>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</si>
  <si>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</si>
  <si>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</si>
  <si>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</si>
  <si>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</si>
  <si>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</si>
  <si>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</si>
  <si>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</si>
  <si>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</si>
  <si>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</si>
  <si>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</si>
  <si>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Incharge CHP</t>
  </si>
  <si>
    <t xml:space="preserve">Dudhichua </t>
  </si>
  <si>
    <t>Dudhichua</t>
  </si>
  <si>
    <t>VSTPP</t>
  </si>
  <si>
    <t>IIIrd Shift</t>
  </si>
  <si>
    <t>2nd Shift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</si>
  <si>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</si>
  <si>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</si>
  <si>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</si>
  <si>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</si>
  <si>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</si>
  <si>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</si>
  <si>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</si>
  <si>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</si>
  <si>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</si>
  <si>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</si>
  <si>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</si>
  <si>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</si>
  <si>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</si>
  <si>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</si>
  <si>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</si>
  <si>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</si>
  <si>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</si>
  <si>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</si>
  <si>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</si>
  <si>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</si>
  <si>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</si>
  <si>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</si>
  <si>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</si>
  <si>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</si>
  <si>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Payloder</t>
  </si>
  <si>
    <t>G Total</t>
  </si>
  <si>
    <t>Progressive DCH</t>
  </si>
  <si>
    <t>FROM</t>
  </si>
  <si>
    <t>TO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</si>
  <si>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</si>
  <si>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</si>
  <si>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</si>
  <si>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</si>
  <si>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</si>
  <si>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</si>
  <si>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</si>
  <si>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</si>
  <si>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</si>
  <si>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</si>
  <si>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</si>
  <si>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</si>
  <si>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</si>
  <si>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</si>
  <si>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</si>
  <si>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</si>
  <si>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</si>
  <si>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>TOTAL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</si>
  <si>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</si>
  <si>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</si>
  <si>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</si>
  <si>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</si>
  <si>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</si>
  <si>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</si>
  <si>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</si>
  <si>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</si>
  <si>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5AM-  6 AM</t>
  </si>
  <si>
    <t>1PM- 2 PM</t>
  </si>
  <si>
    <t>9PM-10PM</t>
  </si>
  <si>
    <t>BREAK DOWN</t>
  </si>
  <si>
    <t xml:space="preserve">Break down </t>
  </si>
  <si>
    <t>Break down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</si>
  <si>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</si>
  <si>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</si>
  <si>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 xml:space="preserve">          Incharge CHP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</si>
  <si>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</si>
  <si>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</si>
  <si>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</si>
  <si>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</si>
  <si>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</si>
  <si>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Performance / Availibility of Dudhichua CHP for the month of January 2020</t>
  </si>
  <si>
    <t>Name of CHP</t>
  </si>
  <si>
    <t>Capacity of CHP</t>
  </si>
  <si>
    <t>Total coal handled</t>
  </si>
  <si>
    <t>Total shift hrs (8x3x No. of days in a month)
                                (A)</t>
  </si>
  <si>
    <t>Total Beak down Hrs 
(B)</t>
  </si>
  <si>
    <t>Total Maintanence  Hrs 
(C)</t>
  </si>
  <si>
    <t>Total power failure Hrs.
 ( D )</t>
  </si>
  <si>
    <t>Total Idle Hrs. ( E )</t>
  </si>
  <si>
    <t>Total availability hrs. 
F=(A-(B+C+D))</t>
  </si>
  <si>
    <t>% availibility
 = F/A*100</t>
  </si>
  <si>
    <t>833333.3 
( Installed capacity 10MTPA)</t>
  </si>
  <si>
    <t xml:space="preserve"> 862193.73 MT</t>
  </si>
  <si>
    <t>.</t>
  </si>
  <si>
    <t>Performance / Availibility of Dudhichua CHP for the month of February 2020</t>
  </si>
  <si>
    <t xml:space="preserve">  772986.59MT</t>
  </si>
  <si>
    <t>Note: Due to non-availibility rakes throughout the month, capacity utilisation reduced</t>
  </si>
  <si>
    <t xml:space="preserve">Power failure </t>
  </si>
  <si>
    <t xml:space="preserve">Power failure : </t>
  </si>
  <si>
    <t>RHSTPP</t>
  </si>
  <si>
    <t xml:space="preserve">                   Chief Manager (E&amp;M)</t>
  </si>
  <si>
    <t xml:space="preserve">                                              GM (E&amp;M), Dudhichua</t>
  </si>
  <si>
    <t>Monthly Report  January' 2020.</t>
  </si>
  <si>
    <t xml:space="preserve">          CHP</t>
  </si>
  <si>
    <t>Monthly  installed capacity                     ( in 000 Tes.)</t>
  </si>
  <si>
    <t>Target         Jan 2020             ( in'000'Tes)</t>
  </si>
  <si>
    <t>Actual  Handled   in Jan '2020           ( '000'Tes.)</t>
  </si>
  <si>
    <t xml:space="preserve">%  of total  despatch  in         (-100 mm size) </t>
  </si>
  <si>
    <t>% of total  despatch  in  ( - 250 mm size)</t>
  </si>
  <si>
    <t>%  Target Achievement</t>
  </si>
  <si>
    <t>%  Utilization   of  Capacity</t>
  </si>
  <si>
    <t>Actual  Handled in Jan '19             ( in 000 Tes.)</t>
  </si>
  <si>
    <t>% Growth    over last year</t>
  </si>
  <si>
    <t>Asking Rate of Feb'2020                     ( in '000'Tes. Per day )</t>
  </si>
  <si>
    <t>Nil</t>
  </si>
  <si>
    <t xml:space="preserve"> ( Install Capacity  10 MTPA)</t>
  </si>
  <si>
    <t>Silo Full hours : 207.05 Hrs . Rake supply  poor.</t>
  </si>
  <si>
    <t>Dudhichua  Project</t>
  </si>
  <si>
    <t>Cc;</t>
  </si>
  <si>
    <t xml:space="preserve">    i) General  Manager , Dudhichua : For kind information.</t>
  </si>
  <si>
    <t xml:space="preserve">   ii) General Manager (E&amp;M)/Dudhichua.</t>
  </si>
  <si>
    <t>Monthly Report  February' 2020.</t>
  </si>
  <si>
    <t>Target         Feb 2020             ( in'000'Tes)</t>
  </si>
  <si>
    <t>Actual  Handled   in Feb '2020           ( '000'Tes.)</t>
  </si>
  <si>
    <t>Actual  Handled in Feb '19             ( in 000 Tes.)</t>
  </si>
  <si>
    <t>Asking Rate of March'2020                     ( in '000'Tes. Per day )</t>
  </si>
  <si>
    <t>Silo Full hours : 293.30 Hrs . Rake supply very poor.</t>
  </si>
  <si>
    <t>Due to non-availability of rakes throughout the month, the target can't achieved.</t>
  </si>
  <si>
    <t>Monthly Report  April ' 2020.</t>
  </si>
  <si>
    <t>Target         April 2020             ( in'000'Tes)</t>
  </si>
  <si>
    <t>Actual  Handled   in April '2020           ( '000'Tes.)</t>
  </si>
  <si>
    <t>Actual  Handled in April '19             ( in 000 Tes.)</t>
  </si>
  <si>
    <t>Asking Rate of May'2020                     ( in '000'Tes. Per day )</t>
  </si>
  <si>
    <t>Silo Full hours : 190.30 Hrs . Rake supply very poor.</t>
  </si>
  <si>
    <t>power faulure</t>
  </si>
  <si>
    <t>Name of
 CHP</t>
  </si>
  <si>
    <t>Total shift hrs (8x3x No. of days in a month
(A)</t>
  </si>
  <si>
    <t>Total Beak down Hrs 
 (B)</t>
  </si>
  <si>
    <t>Total Maintanence   
        Hrs 
(C)</t>
  </si>
  <si>
    <t>Total power failure Hrs.
  ( D )</t>
  </si>
  <si>
    <t>Total Idle Hrs. 
( E )</t>
  </si>
  <si>
    <t>% availibility
 = F/A*100</t>
  </si>
  <si>
    <t>Utilisation Hrs
G = F-E</t>
  </si>
  <si>
    <t>% Utilisation
(G/A)</t>
  </si>
  <si>
    <t>Power failure :</t>
  </si>
  <si>
    <t xml:space="preserve"> Jayant  </t>
  </si>
  <si>
    <t>DCH Despatch: (in Te.)</t>
  </si>
  <si>
    <t>Total Despatch:(in Te.)</t>
  </si>
  <si>
    <t>Progressive DCH (in Te.)</t>
  </si>
  <si>
    <t>Silo Full Hrs : Nil</t>
  </si>
  <si>
    <t xml:space="preserve"> till now</t>
  </si>
  <si>
    <t>Dispatch Silo</t>
  </si>
  <si>
    <t>Silo Full hrs : Nil</t>
  </si>
  <si>
    <t>Warf wall :  5 Rake</t>
  </si>
  <si>
    <t>75 box</t>
  </si>
  <si>
    <t>5131.66 Te.</t>
  </si>
  <si>
    <t xml:space="preserve">DCH Despatch        (in Tone.):  </t>
  </si>
  <si>
    <t>Progressive DCH    ( in Tone)</t>
  </si>
  <si>
    <t>Total Despatch:    ( in Tone)</t>
  </si>
  <si>
    <t>Dispatch  :                   Silo (in Tone)</t>
  </si>
  <si>
    <t>Crushing    :    ( in Tone)</t>
  </si>
  <si>
    <t xml:space="preserve"> Date  :   </t>
  </si>
  <si>
    <t xml:space="preserve">Silo Full : </t>
  </si>
  <si>
    <t>MUNU</t>
  </si>
  <si>
    <t>Warf wall :  4Rake</t>
  </si>
  <si>
    <t>9613.17Te.</t>
  </si>
  <si>
    <t>Silo Full : nil Hrs</t>
  </si>
  <si>
    <t>APLS</t>
  </si>
  <si>
    <t>Silo Full Hrs  :Nil</t>
  </si>
  <si>
    <t xml:space="preserve">Silo Full  Hrs :    </t>
  </si>
  <si>
    <t>151 nos.</t>
  </si>
  <si>
    <t>Silo Full : Nil</t>
  </si>
  <si>
    <t>MONU</t>
  </si>
  <si>
    <t>Warf wall :  4 Rake</t>
  </si>
  <si>
    <t>234 box / 16423.48 Te.</t>
  </si>
  <si>
    <t>Power failure from Medhauli</t>
  </si>
  <si>
    <t>Silo Full  Hrs :NIL</t>
  </si>
  <si>
    <t>132 nos.</t>
  </si>
  <si>
    <t>Silo Full  Hrs : NIL</t>
  </si>
  <si>
    <t>PPGS</t>
  </si>
  <si>
    <t>Silo Full Hrs :Nil</t>
  </si>
  <si>
    <t>101 nos.</t>
  </si>
  <si>
    <t>Silo Full  Hrs : Nil</t>
  </si>
  <si>
    <t>CHP Incharge</t>
  </si>
  <si>
    <t>Chief.Manager (E&amp;M)</t>
  </si>
  <si>
    <t>35 nos.</t>
  </si>
  <si>
    <t xml:space="preserve"> Date  :  22.06 .2020</t>
  </si>
  <si>
    <t>3055 Te.</t>
  </si>
  <si>
    <t>2428 Te.</t>
  </si>
  <si>
    <t xml:space="preserve">  </t>
  </si>
  <si>
    <t>178  nos.</t>
  </si>
  <si>
    <t>Electrical work of  Tripper no.2</t>
  </si>
  <si>
    <t>control cable  work.</t>
  </si>
  <si>
    <t>MJPJ</t>
  </si>
  <si>
    <t>213 nos.</t>
  </si>
  <si>
    <t>6383 Te.</t>
  </si>
  <si>
    <t>3920 Te.</t>
  </si>
  <si>
    <t xml:space="preserve"> Date  :  28.06 .2020</t>
  </si>
  <si>
    <t>60  box</t>
  </si>
  <si>
    <t>240  nos.</t>
  </si>
  <si>
    <t>169  nos.</t>
  </si>
  <si>
    <t xml:space="preserve">          Utilisation / availibility of Dudhichua CHP for the month of June 20</t>
  </si>
  <si>
    <t>Roller replacement C4A</t>
  </si>
  <si>
    <t>60 box</t>
  </si>
  <si>
    <t>Asking Rate of July'2020                     ( in '000'Tes. Per day )</t>
  </si>
  <si>
    <t>Target         June 2020             ( in'000'Tes)</t>
  </si>
  <si>
    <t>Actual  Handled   in June'2020           ( '000'Tes.)</t>
  </si>
  <si>
    <t>Actual  Handled in June '19             ( in 000 Tes.)</t>
  </si>
  <si>
    <t>Silo Full hours : 47.00 Hrs . Rake supply very poor.</t>
  </si>
  <si>
    <t>Monthly Report  June ' 2020.</t>
  </si>
  <si>
    <t>Due to non-availability of rakes &amp; less supply of coal into crusher no.3 throughout the month, the target can't achieved.</t>
  </si>
  <si>
    <t>Annual Capacity in Mty</t>
  </si>
  <si>
    <t>Working Hrs</t>
  </si>
  <si>
    <t>Maintenance Hrs</t>
  </si>
  <si>
    <t>Breakdown Hrs</t>
  </si>
  <si>
    <t>Total Idle Hrs</t>
  </si>
  <si>
    <t>Name of Subsidiary  : NCL</t>
  </si>
  <si>
    <t>Name of CHP: Dudhichua Project</t>
  </si>
  <si>
    <t xml:space="preserve"> 27397.2607 Te per day
( Install Capacity  10 MTPA)</t>
  </si>
  <si>
    <t>Coal received from linking mines in Te
(Crushing per day)</t>
  </si>
  <si>
    <t>Coal Despatched through CHP in Te
(Through SILO)</t>
  </si>
  <si>
    <t>Crusher -I</t>
  </si>
  <si>
    <t>Crusher -II</t>
  </si>
  <si>
    <t>Crusher -III</t>
  </si>
  <si>
    <t>A/F Chute jammed</t>
  </si>
  <si>
    <t>C4 tail pulley bearing replacement work</t>
  </si>
  <si>
    <t>Date :01.07.2020</t>
  </si>
  <si>
    <t>Routine maintenance work</t>
  </si>
  <si>
    <t xml:space="preserve"> Date  :  01.07 .2020</t>
  </si>
  <si>
    <t xml:space="preserve"> Date  :  02.07 .2020</t>
  </si>
  <si>
    <t>Warf wall :4</t>
  </si>
  <si>
    <t xml:space="preserve">Warf wall :         </t>
  </si>
  <si>
    <t xml:space="preserve">                             Dudhichua </t>
  </si>
  <si>
    <t xml:space="preserve"> Date  :  03.07 .2020</t>
  </si>
  <si>
    <t xml:space="preserve"> Date  :  04.07 .2020</t>
  </si>
  <si>
    <t xml:space="preserve"> Date  :  05.07.2020</t>
  </si>
  <si>
    <t xml:space="preserve">POWER FAILURE : </t>
  </si>
  <si>
    <t>Warf wall :        Rake</t>
  </si>
  <si>
    <t>Warf wall :   Rake</t>
  </si>
  <si>
    <t>Silo Full :       Hrs</t>
  </si>
  <si>
    <t>293 box / 19056.42 Te.</t>
  </si>
  <si>
    <t>258 nos.</t>
  </si>
  <si>
    <t>4877.92 Te.</t>
  </si>
  <si>
    <t xml:space="preserve"> 7679.00 Te.</t>
  </si>
  <si>
    <t>2424.00 Te.</t>
  </si>
  <si>
    <t xml:space="preserve">Silo Full Hrs  : Nil </t>
  </si>
  <si>
    <t>HIMV</t>
  </si>
  <si>
    <t>Nill</t>
  </si>
  <si>
    <t>No Manpower tern-up due to strike &amp; Crushing nill</t>
  </si>
  <si>
    <t>-</t>
  </si>
  <si>
    <t>Daily report of Dudhichua CHP</t>
  </si>
  <si>
    <t xml:space="preserve"> Date  :  06.07 .2020</t>
  </si>
  <si>
    <t>234 box / 15380.12 Te.</t>
  </si>
  <si>
    <t>3943.67 Te.</t>
  </si>
  <si>
    <t>240 nos.</t>
  </si>
  <si>
    <t>7128.77 Te.</t>
  </si>
  <si>
    <t>118 nos.</t>
  </si>
  <si>
    <t>2832.00 Te.</t>
  </si>
  <si>
    <t>i)Rubber liner replacement of Apron feeder no.1</t>
  </si>
  <si>
    <t>ii)TP1 welding machine  electrical maint. Work</t>
  </si>
  <si>
    <t>iii) Tripper no.1 power &amp; control cable replacement</t>
  </si>
  <si>
    <t>Cv.1.2 bend pulley  bearing smoked</t>
  </si>
  <si>
    <t xml:space="preserve">Silo Full  : 1.30 Hrs   </t>
  </si>
  <si>
    <t xml:space="preserve">           Daily report  for the month of  July'  2020 CHP, Dudhichua</t>
  </si>
  <si>
    <t xml:space="preserve">                                       Daily report  for the month of   July' 2020 CHP, Dudhichua</t>
  </si>
  <si>
    <t>Rubber liner replacement of AF no.1</t>
  </si>
  <si>
    <t>Cv.1.2 bend pulley bearing   damage (bearing no.22226K).</t>
  </si>
  <si>
    <t xml:space="preserve"> Date  :  07.07 .2020</t>
  </si>
  <si>
    <t xml:space="preserve"> Date  :  08.07 .2020</t>
  </si>
  <si>
    <t>Warf wall : 3 Rake</t>
  </si>
  <si>
    <t>175 box /  12169.00 Te.</t>
  </si>
  <si>
    <t>36 box</t>
  </si>
  <si>
    <t>2503.48 Te.</t>
  </si>
  <si>
    <t>204 nos.</t>
  </si>
  <si>
    <t>6076.93 Te.</t>
  </si>
  <si>
    <t xml:space="preserve"> 3168 Te.</t>
  </si>
  <si>
    <t>Silo Full  Hrs :Nil</t>
  </si>
  <si>
    <t>HMU</t>
  </si>
  <si>
    <t>Cv.1.1 Chute patching</t>
  </si>
  <si>
    <t>Cv.1.1 Chute patching .</t>
  </si>
  <si>
    <t xml:space="preserve"> --</t>
  </si>
  <si>
    <t>292 box / 18651.44Te.</t>
  </si>
  <si>
    <t>76  box</t>
  </si>
  <si>
    <t>4854.48 Te.</t>
  </si>
  <si>
    <t>272 Nos.</t>
  </si>
  <si>
    <t>140 Nos.</t>
  </si>
  <si>
    <t>3360.00  Te.</t>
  </si>
  <si>
    <t>C-2A belt jointing work</t>
  </si>
  <si>
    <t xml:space="preserve"> NIL</t>
  </si>
  <si>
    <t xml:space="preserve">  --</t>
  </si>
  <si>
    <t>Tripper no.1 wheel derailled due to  beam &amp; rail damaged.</t>
  </si>
  <si>
    <t>Tripper no.1 wheel derailled due to beam &amp; rail damaged.</t>
  </si>
  <si>
    <t>C-2A Primary motor replacement.</t>
  </si>
  <si>
    <t xml:space="preserve"> Date  :  09.07 .2020</t>
  </si>
  <si>
    <t>235 box / 14978.88 Te.</t>
  </si>
  <si>
    <t>64  box</t>
  </si>
  <si>
    <t>4079.35Te.</t>
  </si>
  <si>
    <t>7709.00Te.</t>
  </si>
  <si>
    <t>152nos.</t>
  </si>
  <si>
    <t>3652.00 Te.</t>
  </si>
  <si>
    <t>4013 Te.</t>
  </si>
  <si>
    <t>1.1 conveyor belt snapped &amp;  Pan broken of Apron Feeder 1</t>
  </si>
  <si>
    <t>C-2A motor tripping</t>
  </si>
  <si>
    <t>C-2A motor replacement</t>
  </si>
  <si>
    <t>Date:-10.07.2020</t>
  </si>
  <si>
    <t xml:space="preserve"> 1.1 conveyor belt snapped &amp;  Pan broken of Apron Feeder 1</t>
  </si>
  <si>
    <t>Stream -I</t>
  </si>
  <si>
    <t>Stream -II</t>
  </si>
  <si>
    <t>Stream -III</t>
  </si>
  <si>
    <t xml:space="preserve"> Date  :  11.07 .2020</t>
  </si>
  <si>
    <t>235 box /  15016.12Te.</t>
  </si>
  <si>
    <t>3833.90 Te.</t>
  </si>
  <si>
    <t>272 nos.</t>
  </si>
  <si>
    <t xml:space="preserve"> 8154.45 Te.</t>
  </si>
  <si>
    <t>161 nos.</t>
  </si>
  <si>
    <t xml:space="preserve"> 4058.00 Te.</t>
  </si>
  <si>
    <t>AF No.1 PAN  broken</t>
  </si>
  <si>
    <t xml:space="preserve"> Date  :  10.07 .2020</t>
  </si>
  <si>
    <t>235 box /  15013.90 Te.</t>
  </si>
  <si>
    <t>62  box</t>
  </si>
  <si>
    <t>278 nos.</t>
  </si>
  <si>
    <t>160 nos.</t>
  </si>
  <si>
    <t xml:space="preserve"> 8273.81 Te.</t>
  </si>
  <si>
    <t xml:space="preserve"> 3896.00 Te.</t>
  </si>
  <si>
    <t>C-2A motor replacement work</t>
  </si>
  <si>
    <t>MIG</t>
  </si>
  <si>
    <t xml:space="preserve">   Pan broken of Apron Feeder 1</t>
  </si>
  <si>
    <t>Date : 11.07.2020</t>
  </si>
  <si>
    <t>Pan broken of Apron Feeder no.1      ( 05.00Am to 11.30Am)</t>
  </si>
  <si>
    <t xml:space="preserve"> Date  :  12.07 .2020</t>
  </si>
  <si>
    <t>294 box / 19421.11 Te.</t>
  </si>
  <si>
    <t>4954.36 Te.</t>
  </si>
  <si>
    <t>280 nos.</t>
  </si>
  <si>
    <t>8004.00 Te.</t>
  </si>
  <si>
    <t>195 nos.</t>
  </si>
  <si>
    <t>4875.00Te.</t>
  </si>
  <si>
    <t>32 nos.</t>
  </si>
  <si>
    <t>1167.46 Te.</t>
  </si>
  <si>
    <t>A/F no.1 emergency  selectro</t>
  </si>
  <si>
    <t>switch by pass done.</t>
  </si>
  <si>
    <t xml:space="preserve"> Bibby coupling  failed of A/F no.1</t>
  </si>
  <si>
    <t>Bibby coupling  failed of Apron feeder No.1</t>
  </si>
  <si>
    <t>Date : 12.07.2020</t>
  </si>
  <si>
    <t>Apron feeder no.1         Bibby coupling  failed                          ( 06.00Am to 01.00 Pm)</t>
  </si>
  <si>
    <t xml:space="preserve"> Date  :  13.07 .2020</t>
  </si>
  <si>
    <t>MZPZ</t>
  </si>
  <si>
    <t>MJOG</t>
  </si>
  <si>
    <t>293 box / 18855 Te.</t>
  </si>
  <si>
    <t>4826 Te.</t>
  </si>
  <si>
    <t>274  nos.</t>
  </si>
  <si>
    <t>8020 Te.</t>
  </si>
  <si>
    <t>4450 Te.</t>
  </si>
  <si>
    <t>1032 Te.</t>
  </si>
  <si>
    <t>circuit  fault attend</t>
  </si>
  <si>
    <t>ii)Tunnel  tail  light cable earth fault attend.</t>
  </si>
  <si>
    <t>i)Lubrication floor no.2 light</t>
  </si>
  <si>
    <t>Silo Full   Hrs :Nil</t>
  </si>
  <si>
    <t>Tunnel   tail light cable earth fault attend.</t>
  </si>
  <si>
    <t>C-2A Secondary pulley shifted one side</t>
  </si>
  <si>
    <t>C-2A Secondary Drive bend pulley shifted one side</t>
  </si>
  <si>
    <t>Date : 13.07.2020</t>
  </si>
  <si>
    <t>Stream-III</t>
  </si>
  <si>
    <t>Electrical problem</t>
  </si>
  <si>
    <t>C-2A pulley  shifted</t>
  </si>
  <si>
    <t xml:space="preserve"> Date  :  14.07 .2020</t>
  </si>
  <si>
    <t>920 Te.</t>
  </si>
  <si>
    <t>234 box / 15466 Te.</t>
  </si>
  <si>
    <t>3960 Te.</t>
  </si>
  <si>
    <t>274 nos.</t>
  </si>
  <si>
    <t>8220  Te.</t>
  </si>
  <si>
    <t>153 nos.</t>
  </si>
  <si>
    <t xml:space="preserve"> 3831 Te.</t>
  </si>
  <si>
    <t>46 nos.</t>
  </si>
  <si>
    <t>1566 Te.</t>
  </si>
  <si>
    <t>Power failure : 7.50Am to 08.05 Am</t>
  </si>
  <si>
    <t>Power failure from Medhauli.</t>
  </si>
  <si>
    <t>Date : 14.07.2020</t>
  </si>
  <si>
    <t xml:space="preserve">Power failure from </t>
  </si>
  <si>
    <t>Medhauli</t>
  </si>
  <si>
    <t>(07.50Am to 08.05Am)</t>
  </si>
  <si>
    <t xml:space="preserve"> Date  :  15.07 .2020</t>
  </si>
  <si>
    <t>295 box / 17925 Te.</t>
  </si>
  <si>
    <t>77 box</t>
  </si>
  <si>
    <t>4678Te.</t>
  </si>
  <si>
    <t>289 nos.</t>
  </si>
  <si>
    <t>8670 Te.</t>
  </si>
  <si>
    <t>141nos.</t>
  </si>
  <si>
    <t>3537Te.</t>
  </si>
  <si>
    <t>50 nos.</t>
  </si>
  <si>
    <t>1706 Te.</t>
  </si>
  <si>
    <t>Apron feeder no.2 jammed</t>
  </si>
  <si>
    <t>by 02 nos. Drum</t>
  </si>
  <si>
    <t>6.15Pm to 7.30Pm</t>
  </si>
  <si>
    <t>Feeder no.6 tripped due to earth fault</t>
  </si>
  <si>
    <t>Cv.2.2  pulley lagging</t>
  </si>
  <si>
    <t>Feeder no.6 tripped due to earth fault.</t>
  </si>
  <si>
    <t>Apron feeder no.2  jammed by 02 no. Drum received with coal.</t>
  </si>
  <si>
    <t>Date : 15.07.2020</t>
  </si>
  <si>
    <t>Feeder no.6 tripped  due to earth fault. (06.15Pm to 07.30 Pm)</t>
  </si>
  <si>
    <t>Routine maintenance</t>
  </si>
  <si>
    <t>Apron feeder no.2  jammed  due to 02 nos. drum  received with coal                    (11.00Pm to 3.20Am)   &amp; Cv.2.2 pulley lagging and Cv .1.1 bend pulley bearing replacement.</t>
  </si>
  <si>
    <t xml:space="preserve"> Date  :  16.07 .2020</t>
  </si>
  <si>
    <t>COTA</t>
  </si>
  <si>
    <t>271 NOS.</t>
  </si>
  <si>
    <t>14593/232</t>
  </si>
  <si>
    <t>3774.27Te.</t>
  </si>
  <si>
    <t>8130.00Te.</t>
  </si>
  <si>
    <t>3662.00 Te.</t>
  </si>
  <si>
    <t>Silo Full : NIL</t>
  </si>
  <si>
    <t>Date : 16.07.2020</t>
  </si>
  <si>
    <t>Steel plate was welded on the mouth of Apron feeder no.1 &amp; Change of tail pulley of of Conveyor 2.1 and its lagging.</t>
  </si>
  <si>
    <t>Apron Feeder Duplex chain comes out ,rectified at around 12PM</t>
  </si>
  <si>
    <t>Apron Feeder Duplex chain came out ,rectified at around 12PM</t>
  </si>
  <si>
    <t>ROJA</t>
  </si>
  <si>
    <t>Repairing of skirt rubber of C-1 Conveyor</t>
  </si>
  <si>
    <t>Date : 26.07.2020</t>
  </si>
  <si>
    <t>Date : 17.07.2020</t>
  </si>
  <si>
    <t>Date : 18.07.2020</t>
  </si>
  <si>
    <t>Date : 19.07.2020</t>
  </si>
  <si>
    <t>Date : 20.07.2020</t>
  </si>
  <si>
    <t>Date : 21.07.2020</t>
  </si>
  <si>
    <t>Rubber liner fitting in discharge chute of apron feeder No.1 &amp; change of SS plate of same Apron</t>
  </si>
  <si>
    <t>Date : 22.07.2020</t>
  </si>
  <si>
    <t>Date : 23.07.2020</t>
  </si>
  <si>
    <t>Date : 24.07.2020</t>
  </si>
  <si>
    <t>Date : 25.07.2020</t>
  </si>
  <si>
    <t>Repairing of side rubber of C-1 conveyor belt</t>
  </si>
  <si>
    <t>Power failure from Madhauli SS --12:30 to 16:30</t>
  </si>
  <si>
    <t>05:30(1:30+4:00)</t>
  </si>
  <si>
    <t>06:40(2:40+4:00)</t>
  </si>
  <si>
    <t>06:55(2.55+4:00)</t>
  </si>
  <si>
    <t xml:space="preserve">Belt and Loop Take up channel  of Conveyor belt of 3.1 was damaged at 17:30, rectified at 22:30 </t>
  </si>
  <si>
    <t>Allignment of Loop take up pulley of Conveyor 3.1</t>
  </si>
  <si>
    <t>Belt joint in Conbeyor 3.1</t>
  </si>
  <si>
    <t>Foreign material came in Crusher no.3 from 8:30 to 12:30</t>
  </si>
  <si>
    <t>Fluid coupling oil was changed of PGC No-2</t>
  </si>
  <si>
    <t>Apron Feeder Duplex chain came out at 9 PM,rectified at around 12:30AM</t>
  </si>
  <si>
    <t>Date : 27.07.2020</t>
  </si>
  <si>
    <t xml:space="preserve"> Date  :  17.07 .2020</t>
  </si>
  <si>
    <t>VSTPPP</t>
  </si>
  <si>
    <t>334nos.</t>
  </si>
  <si>
    <t>210 nos.</t>
  </si>
  <si>
    <t>235 box / 14689 Te.</t>
  </si>
  <si>
    <t xml:space="preserve">Power failure : 12:15 PM to 12:35 PM </t>
  </si>
  <si>
    <t>Rubber liner fitting in discharge chuteof apron feeder no.1 &amp; change of ss plate of same apron</t>
  </si>
  <si>
    <t>:20</t>
  </si>
  <si>
    <t>Warf wall : 5Rake</t>
  </si>
  <si>
    <t>85 box</t>
  </si>
  <si>
    <t>227 nos.</t>
  </si>
  <si>
    <t>157 nos.</t>
  </si>
  <si>
    <t>291 box / 18806.65 Te.</t>
  </si>
  <si>
    <t>5493.35 Te.</t>
  </si>
  <si>
    <t>6845.35 Te.</t>
  </si>
  <si>
    <t>3942.04 Te.</t>
  </si>
  <si>
    <t>Silo Full :0.45 Hrs</t>
  </si>
  <si>
    <t>KATRA</t>
  </si>
  <si>
    <t>Greasing of take pulley and changing of carrying roller &amp; frame of Conveyor 2.2&amp;3.2 from 9:40 AM to 11AM &amp;Bearing of Seocndary bend pulley was damaged at 6:30 PM ,Replaced and rectified at 9:45PM</t>
  </si>
  <si>
    <t xml:space="preserve">Maintenance of Dust suppression sytem at Crusher no.3 from 9:30 AM to 11:30 AM </t>
  </si>
  <si>
    <t>233 box / 15085.83 Te.</t>
  </si>
  <si>
    <t>4791.20 Te.</t>
  </si>
  <si>
    <t>5198.92 Te.</t>
  </si>
  <si>
    <t>3809.83 Te.</t>
  </si>
  <si>
    <t>Silo Full Hrs : 1.45 Hrs</t>
  </si>
  <si>
    <t>KOTA</t>
  </si>
  <si>
    <t xml:space="preserve"> Maintenance of Dust suppression sytem at Crusher no.3 from 9:30 AM to 11:30 AM </t>
  </si>
  <si>
    <t>Date : 29.07.2020</t>
  </si>
  <si>
    <t>Date : 30.07.2020</t>
  </si>
  <si>
    <t>Conveyor C-2 is breakdown from 9:15 AM due to snap of belt joint,Rectification work is  in progress.</t>
  </si>
  <si>
    <t>232 box/14512.02</t>
  </si>
  <si>
    <t>Silo Full :.50 hrs</t>
  </si>
  <si>
    <t>Conveyor C-2 is breakdown from 9:15 Am due to snap of belt joint ,Rectification work is in progress.</t>
  </si>
  <si>
    <t>Date : 31.07.2020</t>
  </si>
  <si>
    <t>Date : 01.08.2020</t>
  </si>
  <si>
    <t xml:space="preserve">Conveyor C-2 is breakdown from 9:15 AM on 30.07.2020 due to snap of belt joint,Steel Cord belt joining work was completed at 1:50 AM in night shift </t>
  </si>
  <si>
    <t>65/3250</t>
  </si>
  <si>
    <t>Warf wall :   5 Rake</t>
  </si>
  <si>
    <t xml:space="preserve"> 292 box /18332.33 Te.</t>
  </si>
  <si>
    <t xml:space="preserve"> Date  :  18.07 .2020</t>
  </si>
  <si>
    <t>Warf wall :  05 Rake</t>
  </si>
  <si>
    <t>293 box / 18534.89 Te.</t>
  </si>
  <si>
    <t>78 box</t>
  </si>
  <si>
    <t>4934.20 Te.</t>
  </si>
  <si>
    <t>286 nos.</t>
  </si>
  <si>
    <t>8580.00 Te.</t>
  </si>
  <si>
    <t>174 nos.</t>
  </si>
  <si>
    <t>4386.00Te.</t>
  </si>
  <si>
    <t>49 nos.</t>
  </si>
  <si>
    <t>1654.74 Te.</t>
  </si>
  <si>
    <t xml:space="preserve"> Date  :  19.07 .2020</t>
  </si>
  <si>
    <t>299 box / 19148.55 Te.</t>
  </si>
  <si>
    <t>4969.34 Te.</t>
  </si>
  <si>
    <t>8670.00 Te.</t>
  </si>
  <si>
    <t>172 nos.</t>
  </si>
  <si>
    <t>4300 Te.</t>
  </si>
  <si>
    <t>46 No.</t>
  </si>
  <si>
    <t xml:space="preserve"> Date  :  20.07 .2020</t>
  </si>
  <si>
    <t>295 box / 18946.98 Te.</t>
  </si>
  <si>
    <t>4817.02 Te.</t>
  </si>
  <si>
    <t>321nos.</t>
  </si>
  <si>
    <t>9630 Te.</t>
  </si>
  <si>
    <t>180 nos.</t>
  </si>
  <si>
    <t>4500 Te.</t>
  </si>
  <si>
    <t>Silo Full : 1.25 Hrs</t>
  </si>
  <si>
    <t xml:space="preserve"> Date  :  21.07 .2020</t>
  </si>
  <si>
    <t xml:space="preserve"> 291 box /  18374.13 Te.</t>
  </si>
  <si>
    <t xml:space="preserve"> 75  box</t>
  </si>
  <si>
    <t>4375 Te.</t>
  </si>
  <si>
    <t>250  nos.</t>
  </si>
  <si>
    <t>7500 Te.</t>
  </si>
  <si>
    <t>187 nos.</t>
  </si>
  <si>
    <t>4675  Te.</t>
  </si>
  <si>
    <t>1297.15 Te.</t>
  </si>
  <si>
    <t>Warf wall :   4 Rake</t>
  </si>
  <si>
    <t>233 box / 15237.73 Te.</t>
  </si>
  <si>
    <t>3923.87 Te.</t>
  </si>
  <si>
    <t>270 nos.</t>
  </si>
  <si>
    <t>8100 Te.</t>
  </si>
  <si>
    <t>221 nos.</t>
  </si>
  <si>
    <t>5525. Te.</t>
  </si>
  <si>
    <t>1216.42 Te.</t>
  </si>
  <si>
    <t>233 box / 14778.41 Te.</t>
  </si>
  <si>
    <t>253 nos.</t>
  </si>
  <si>
    <t>7590.35Te.</t>
  </si>
  <si>
    <t xml:space="preserve"> Date  :  23.07 .2020</t>
  </si>
  <si>
    <t>226 nos.</t>
  </si>
  <si>
    <t>Warf wall : 5 Rake</t>
  </si>
  <si>
    <t>294 box / 17989.04 Te.</t>
  </si>
  <si>
    <t>241 nos.</t>
  </si>
  <si>
    <t>7230 Te.</t>
  </si>
  <si>
    <t>202 nos.</t>
  </si>
  <si>
    <t>5082.00 Te.</t>
  </si>
  <si>
    <t>923.57 Te.</t>
  </si>
  <si>
    <t xml:space="preserve">Silo Full  Hrs :  Nil  </t>
  </si>
  <si>
    <t>294  box /  19132.32 Te.</t>
  </si>
  <si>
    <t>4663.16 Te.</t>
  </si>
  <si>
    <t xml:space="preserve"> Date  :  25.07 .2020</t>
  </si>
  <si>
    <t xml:space="preserve"> Date  :  24.07 .2020</t>
  </si>
  <si>
    <t xml:space="preserve"> Date  :  26.07 .2020</t>
  </si>
  <si>
    <t>4423.44Te.</t>
  </si>
  <si>
    <t>237 nos.</t>
  </si>
  <si>
    <t>7175.46 Te.</t>
  </si>
  <si>
    <t>4647.18 Te.</t>
  </si>
  <si>
    <t>294  box /  19219.44 Te.</t>
  </si>
  <si>
    <t>ATPS</t>
  </si>
  <si>
    <t>294 box/18175.53 Te.</t>
  </si>
  <si>
    <t>4636.61 Te.</t>
  </si>
  <si>
    <t>288 nos.</t>
  </si>
  <si>
    <t>8547.56 Te.</t>
  </si>
  <si>
    <t>217 nos.</t>
  </si>
  <si>
    <t>5396.77 Te.</t>
  </si>
  <si>
    <t>22 Nos.</t>
  </si>
  <si>
    <t>Silo Full  Hrs: Nil</t>
  </si>
  <si>
    <t xml:space="preserve"> Date  :  27.07 .2020</t>
  </si>
  <si>
    <t xml:space="preserve">Bearing of Seocndary bend </t>
  </si>
  <si>
    <t xml:space="preserve"> pulley was damaged at 6:30 PM ,Replaced and rectified at 9:45PM</t>
  </si>
  <si>
    <t xml:space="preserve"> Date  :  29.07 .2020</t>
  </si>
  <si>
    <t xml:space="preserve">Greasing of take up pulley </t>
  </si>
  <si>
    <t xml:space="preserve">and changing of carrying roller &amp; frame 2.2&amp;3.2 from  </t>
  </si>
  <si>
    <t>9.40 AM to 11.00AM</t>
  </si>
  <si>
    <t>30.07.2020</t>
  </si>
  <si>
    <t>31.07.2020</t>
  </si>
  <si>
    <t>Receiving pit Jammed</t>
  </si>
  <si>
    <t>GC No.2 fluid coupling oil changging</t>
  </si>
  <si>
    <t>Conv 2.2 takeup pulley damaged</t>
  </si>
  <si>
    <t>foreign material in GC no.3</t>
  </si>
  <si>
    <t>belt and loop takeup of conv 3.1 damaged</t>
  </si>
  <si>
    <t>aligment og loop takeup conv 3.1</t>
  </si>
  <si>
    <t>belt jointing of conv 3.1</t>
  </si>
  <si>
    <t>roller replacement of conv 2.1</t>
  </si>
  <si>
    <t>Phase -1</t>
  </si>
  <si>
    <t>Phase -2</t>
  </si>
  <si>
    <t>Diverson</t>
  </si>
  <si>
    <t xml:space="preserve">Crushing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</si>
</sst>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[h]:mm"/>
    <numFmt numFmtId="167" formatCode="[h]:mm:ss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64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166" fontId="14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/>
    <xf numFmtId="2" fontId="14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/>
    <xf numFmtId="2" fontId="14" fillId="0" borderId="0" xfId="0" applyNumberFormat="1" applyFont="1"/>
    <xf numFmtId="20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9" fillId="0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18" fillId="0" borderId="0" xfId="0" applyFont="1"/>
    <xf numFmtId="0" fontId="8" fillId="0" borderId="0" xfId="0" applyFont="1"/>
    <xf numFmtId="0" fontId="4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0" fillId="0" borderId="2" xfId="0" applyBorder="1" applyAlignment="1">
      <alignment vertical="center" wrapText="1"/>
    </xf>
    <xf numFmtId="4" fontId="15" fillId="0" borderId="16" xfId="0" applyNumberFormat="1" applyFont="1" applyBorder="1" applyAlignment="1">
      <alignment horizontal="left" vertical="top" wrapText="1"/>
    </xf>
    <xf numFmtId="4" fontId="15" fillId="0" borderId="16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top" wrapText="1"/>
    </xf>
    <xf numFmtId="166" fontId="13" fillId="0" borderId="11" xfId="0" applyNumberFormat="1" applyFont="1" applyBorder="1" applyAlignment="1">
      <alignment horizontal="center" vertical="top"/>
    </xf>
    <xf numFmtId="0" fontId="21" fillId="0" borderId="2" xfId="0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 vertical="center"/>
    </xf>
    <xf numFmtId="10" fontId="21" fillId="0" borderId="2" xfId="1" applyNumberFormat="1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2" borderId="17" xfId="0" applyFont="1" applyFill="1" applyBorder="1" applyAlignment="1">
      <alignment vertical="top" wrapText="1"/>
    </xf>
    <xf numFmtId="0" fontId="15" fillId="2" borderId="18" xfId="0" applyFont="1" applyFill="1" applyBorder="1" applyAlignment="1">
      <alignment vertical="top" wrapText="1"/>
    </xf>
    <xf numFmtId="0" fontId="15" fillId="2" borderId="19" xfId="0" applyFont="1" applyFill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21" xfId="0" applyFont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4" fontId="15" fillId="0" borderId="0" xfId="0" applyNumberFormat="1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9" fontId="15" fillId="0" borderId="9" xfId="0" applyNumberFormat="1" applyFont="1" applyBorder="1" applyAlignment="1">
      <alignment horizontal="center" vertical="top" wrapText="1"/>
    </xf>
    <xf numFmtId="10" fontId="15" fillId="0" borderId="0" xfId="1" applyNumberFormat="1" applyFont="1" applyBorder="1" applyAlignment="1">
      <alignment horizontal="center" vertical="top" wrapText="1"/>
    </xf>
    <xf numFmtId="10" fontId="15" fillId="0" borderId="16" xfId="0" applyNumberFormat="1" applyFont="1" applyBorder="1" applyAlignment="1">
      <alignment horizontal="center" vertical="top" wrapText="1"/>
    </xf>
    <xf numFmtId="4" fontId="15" fillId="0" borderId="21" xfId="0" applyNumberFormat="1" applyFont="1" applyBorder="1" applyAlignment="1">
      <alignment horizontal="center" vertical="top" wrapText="1"/>
    </xf>
    <xf numFmtId="0" fontId="15" fillId="0" borderId="22" xfId="0" applyFont="1" applyBorder="1"/>
    <xf numFmtId="0" fontId="15" fillId="0" borderId="23" xfId="0" applyFont="1" applyBorder="1" applyAlignment="1">
      <alignment horizontal="center" vertical="top" wrapText="1"/>
    </xf>
    <xf numFmtId="2" fontId="15" fillId="0" borderId="24" xfId="0" applyNumberFormat="1" applyFont="1" applyBorder="1" applyAlignment="1">
      <alignment horizontal="left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NumberFormat="1" applyFont="1" applyBorder="1" applyAlignment="1">
      <alignment horizontal="center" vertical="top" wrapText="1"/>
    </xf>
    <xf numFmtId="10" fontId="15" fillId="0" borderId="23" xfId="0" applyNumberFormat="1" applyFont="1" applyBorder="1" applyAlignment="1">
      <alignment horizontal="center" vertical="top" wrapText="1"/>
    </xf>
    <xf numFmtId="10" fontId="15" fillId="0" borderId="24" xfId="0" applyNumberFormat="1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4" fillId="0" borderId="0" xfId="0" applyFont="1" applyAlignment="1">
      <alignment vertical="top"/>
    </xf>
    <xf numFmtId="0" fontId="15" fillId="0" borderId="0" xfId="0" applyFont="1"/>
    <xf numFmtId="0" fontId="1" fillId="0" borderId="0" xfId="0" applyFont="1"/>
    <xf numFmtId="0" fontId="0" fillId="0" borderId="0" xfId="0" applyFont="1"/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24" fillId="0" borderId="0" xfId="0" applyFont="1"/>
    <xf numFmtId="0" fontId="2" fillId="0" borderId="9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1" fillId="0" borderId="2" xfId="0" applyFont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top" wrapText="1"/>
    </xf>
    <xf numFmtId="167" fontId="21" fillId="0" borderId="2" xfId="1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top"/>
    </xf>
    <xf numFmtId="165" fontId="0" fillId="0" borderId="0" xfId="0" applyNumberFormat="1"/>
    <xf numFmtId="0" fontId="2" fillId="0" borderId="2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center" wrapText="1"/>
    </xf>
    <xf numFmtId="165" fontId="2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left" vertical="top"/>
    </xf>
    <xf numFmtId="165" fontId="2" fillId="0" borderId="2" xfId="0" applyNumberFormat="1" applyFont="1" applyFill="1" applyBorder="1" applyAlignment="1">
      <alignment horizontal="left" vertical="top"/>
    </xf>
    <xf numFmtId="3" fontId="2" fillId="0" borderId="1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6" fillId="0" borderId="34" xfId="0" applyFont="1" applyBorder="1"/>
    <xf numFmtId="0" fontId="26" fillId="0" borderId="34" xfId="0" applyFont="1" applyBorder="1" applyAlignment="1">
      <alignment wrapText="1"/>
    </xf>
    <xf numFmtId="46" fontId="0" fillId="0" borderId="0" xfId="0" applyNumberFormat="1"/>
    <xf numFmtId="0" fontId="4" fillId="0" borderId="2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4" xfId="0" applyFont="1" applyBorder="1"/>
    <xf numFmtId="0" fontId="4" fillId="0" borderId="3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4" xfId="0" applyFont="1" applyBorder="1" applyAlignment="1">
      <alignment vertical="top" wrapText="1"/>
    </xf>
    <xf numFmtId="0" fontId="4" fillId="0" borderId="34" xfId="0" applyFont="1" applyBorder="1" applyAlignment="1">
      <alignment wrapText="1"/>
    </xf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0" xfId="0" applyFont="1"/>
    <xf numFmtId="20" fontId="4" fillId="0" borderId="2" xfId="0" applyNumberFormat="1" applyFont="1" applyBorder="1" applyAlignment="1">
      <alignment horizontal="center" vertical="center"/>
    </xf>
    <xf numFmtId="46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20" fontId="4" fillId="0" borderId="34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top" wrapText="1"/>
    </xf>
    <xf numFmtId="20" fontId="4" fillId="0" borderId="34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7" fillId="0" borderId="34" xfId="0" applyFont="1" applyBorder="1" applyAlignment="1">
      <alignment vertical="top" wrapText="1"/>
    </xf>
    <xf numFmtId="0" fontId="5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top"/>
    </xf>
    <xf numFmtId="20" fontId="4" fillId="0" borderId="4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top" wrapText="1"/>
    </xf>
    <xf numFmtId="20" fontId="4" fillId="0" borderId="1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20" fontId="4" fillId="0" borderId="1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166" fontId="14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 vertical="top" wrapText="1" readingOrder="1"/>
    </xf>
    <xf numFmtId="165" fontId="5" fillId="0" borderId="2" xfId="0" applyNumberFormat="1" applyFont="1" applyFill="1" applyBorder="1" applyAlignment="1">
      <alignment horizontal="center" vertical="top"/>
    </xf>
    <xf numFmtId="166" fontId="2" fillId="0" borderId="2" xfId="0" applyNumberFormat="1" applyFont="1" applyFill="1" applyBorder="1" applyAlignment="1">
      <alignment horizontal="center" vertical="top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14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5" fillId="0" borderId="3" xfId="0" applyFont="1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" fontId="4" fillId="0" borderId="1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8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vertical="top" wrapText="1"/>
    </xf>
    <xf numFmtId="4" fontId="4" fillId="0" borderId="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top" wrapText="1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9" fillId="0" borderId="6" xfId="0" applyFont="1" applyBorder="1" applyAlignment="1">
      <alignment vertical="top" wrapText="1"/>
    </xf>
    <xf numFmtId="4" fontId="4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wrapText="1"/>
    </xf>
    <xf numFmtId="2" fontId="9" fillId="0" borderId="9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pane ySplit="1" topLeftCell="A13" activePane="bottomLeft" state="frozen"/>
      <selection pane="bottomLeft" activeCell="A23" sqref="A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8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275</v>
      </c>
    </row>
    <row r="3" spans="1:17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17" ht="15" customHeight="1" x14ac:dyDescent="0.25">
      <c r="A4" s="20"/>
      <c r="B4" s="21" t="s">
        <v>14</v>
      </c>
      <c r="C4" s="22" t="s">
        <v>13</v>
      </c>
      <c r="D4" s="22"/>
      <c r="E4" s="22"/>
      <c r="F4" s="22"/>
      <c r="G4" s="22"/>
      <c r="H4" s="22"/>
      <c r="I4" s="22"/>
      <c r="J4" s="22"/>
      <c r="K4" s="22">
        <v>180</v>
      </c>
      <c r="L4" s="22">
        <v>44</v>
      </c>
      <c r="M4" s="90">
        <f t="shared" ref="M4:M7" si="0">K4+L4</f>
        <v>224</v>
      </c>
      <c r="N4" s="101" t="s">
        <v>55</v>
      </c>
      <c r="O4" s="92" t="s">
        <v>85</v>
      </c>
      <c r="P4" s="251" t="s">
        <v>86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55</v>
      </c>
      <c r="O5" s="65"/>
      <c r="P5" s="65"/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25</v>
      </c>
      <c r="L6" s="22">
        <v>0</v>
      </c>
      <c r="M6" s="90">
        <f t="shared" si="0"/>
        <v>25</v>
      </c>
      <c r="N6" s="101" t="s">
        <v>240</v>
      </c>
      <c r="O6" s="93"/>
      <c r="P6" s="64"/>
      <c r="Q6" s="309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4</v>
      </c>
      <c r="L7" s="22">
        <v>0</v>
      </c>
      <c r="M7" s="90">
        <f t="shared" si="0"/>
        <v>4</v>
      </c>
      <c r="N7" s="101" t="s">
        <v>146</v>
      </c>
      <c r="O7" s="94"/>
      <c r="P7" s="64"/>
      <c r="Q7" s="310"/>
    </row>
    <row r="8" spans="1:17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230"/>
    </row>
    <row r="9" spans="1:17" ht="16.5" customHeight="1" x14ac:dyDescent="0.25">
      <c r="A9" s="33"/>
      <c r="B9" s="34" t="s">
        <v>14</v>
      </c>
      <c r="C9" s="22"/>
      <c r="D9" s="22">
        <v>30</v>
      </c>
      <c r="E9" s="22">
        <v>23</v>
      </c>
      <c r="F9" s="22">
        <v>25</v>
      </c>
      <c r="G9" s="22">
        <v>22</v>
      </c>
      <c r="H9" s="22">
        <v>37</v>
      </c>
      <c r="I9" s="22">
        <v>30</v>
      </c>
      <c r="J9" s="22">
        <v>28</v>
      </c>
      <c r="K9" s="22">
        <v>161</v>
      </c>
      <c r="L9" s="22">
        <v>14</v>
      </c>
      <c r="M9" s="90">
        <f t="shared" ref="M9:M12" si="1">K9+L9</f>
        <v>175</v>
      </c>
      <c r="N9" s="81" t="s">
        <v>55</v>
      </c>
      <c r="O9" s="96"/>
      <c r="P9" s="81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3</v>
      </c>
      <c r="G10" s="22"/>
      <c r="H10" s="22">
        <v>3</v>
      </c>
      <c r="I10" s="22"/>
      <c r="J10" s="22"/>
      <c r="K10" s="22">
        <v>6</v>
      </c>
      <c r="L10" s="22">
        <v>0</v>
      </c>
      <c r="M10" s="90">
        <f t="shared" si="1"/>
        <v>6</v>
      </c>
      <c r="N10" s="81" t="s">
        <v>55</v>
      </c>
      <c r="O10" s="311" t="s">
        <v>116</v>
      </c>
      <c r="P10" s="312"/>
      <c r="Q10" s="43" t="s">
        <v>70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7</v>
      </c>
      <c r="F11" s="22">
        <v>7</v>
      </c>
      <c r="G11" s="22">
        <v>6</v>
      </c>
      <c r="H11" s="22">
        <v>5</v>
      </c>
      <c r="I11" s="22">
        <v>5</v>
      </c>
      <c r="J11" s="22"/>
      <c r="K11" s="22">
        <v>31</v>
      </c>
      <c r="L11" s="22">
        <v>5</v>
      </c>
      <c r="M11" s="90">
        <f t="shared" si="1"/>
        <v>36</v>
      </c>
      <c r="N11" s="81" t="s">
        <v>214</v>
      </c>
      <c r="O11" s="65"/>
      <c r="P11" s="65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/>
      <c r="F12" s="22" t="s">
        <v>13</v>
      </c>
      <c r="G12" s="22">
        <v>3</v>
      </c>
      <c r="H12" s="22">
        <v>1</v>
      </c>
      <c r="I12" s="22" t="s">
        <v>13</v>
      </c>
      <c r="J12" s="22"/>
      <c r="K12" s="22">
        <v>6</v>
      </c>
      <c r="L12" s="22">
        <v>0</v>
      </c>
      <c r="M12" s="90">
        <f t="shared" si="1"/>
        <v>6</v>
      </c>
      <c r="N12" s="81"/>
      <c r="O12" s="81"/>
      <c r="P12" s="81"/>
      <c r="Q12" s="37"/>
    </row>
    <row r="13" spans="1:17" ht="38.25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17" ht="15" x14ac:dyDescent="0.25">
      <c r="A14" s="33"/>
      <c r="B14" s="21" t="s">
        <v>14</v>
      </c>
      <c r="C14" s="22"/>
      <c r="D14" s="22">
        <v>23</v>
      </c>
      <c r="E14" s="22">
        <v>27</v>
      </c>
      <c r="F14" s="22">
        <v>33</v>
      </c>
      <c r="G14" s="22">
        <v>22</v>
      </c>
      <c r="H14" s="22">
        <v>22</v>
      </c>
      <c r="I14" s="22">
        <v>23</v>
      </c>
      <c r="J14" s="22">
        <v>6</v>
      </c>
      <c r="K14" s="22">
        <v>86</v>
      </c>
      <c r="L14" s="22">
        <v>70</v>
      </c>
      <c r="M14" s="90">
        <f t="shared" ref="M14:M17" si="2">K14+L14</f>
        <v>156</v>
      </c>
      <c r="N14" s="100" t="s">
        <v>146</v>
      </c>
      <c r="O14" s="98"/>
      <c r="P14" s="81"/>
      <c r="Q14" s="37"/>
    </row>
    <row r="15" spans="1:17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2"/>
        <v>0</v>
      </c>
      <c r="N15" s="100" t="s">
        <v>55</v>
      </c>
      <c r="O15" s="99"/>
      <c r="P15" s="81"/>
      <c r="Q15" s="37"/>
    </row>
    <row r="16" spans="1:17" ht="15.75" customHeight="1" x14ac:dyDescent="0.25">
      <c r="A16" s="104" t="s">
        <v>17</v>
      </c>
      <c r="B16" s="21" t="s">
        <v>18</v>
      </c>
      <c r="C16" s="22"/>
      <c r="D16" s="22"/>
      <c r="E16" s="22">
        <v>2</v>
      </c>
      <c r="F16" s="22">
        <v>3</v>
      </c>
      <c r="G16" s="22">
        <v>2</v>
      </c>
      <c r="H16" s="22">
        <v>2</v>
      </c>
      <c r="I16" s="22">
        <v>3</v>
      </c>
      <c r="J16" s="22">
        <v>3</v>
      </c>
      <c r="K16" s="22">
        <v>13</v>
      </c>
      <c r="L16" s="22">
        <v>2</v>
      </c>
      <c r="M16" s="90">
        <f t="shared" si="2"/>
        <v>15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 t="s">
        <v>13</v>
      </c>
      <c r="E17" s="22"/>
      <c r="F17" s="22"/>
      <c r="G17" s="22" t="s">
        <v>13</v>
      </c>
      <c r="H17" s="22">
        <v>1</v>
      </c>
      <c r="I17" s="22">
        <v>1</v>
      </c>
      <c r="J17" s="22"/>
      <c r="K17" s="22">
        <v>0</v>
      </c>
      <c r="L17" s="22">
        <v>2</v>
      </c>
      <c r="M17" s="90">
        <f t="shared" si="2"/>
        <v>2</v>
      </c>
      <c r="N17" s="100"/>
      <c r="O17" s="174" t="s">
        <v>191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555</v>
      </c>
      <c r="O18" s="313" t="s">
        <v>68</v>
      </c>
      <c r="P18" s="314"/>
      <c r="Q18" s="64" t="s">
        <v>13</v>
      </c>
    </row>
    <row r="19" spans="1:20" ht="1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6</v>
      </c>
      <c r="O19" s="68">
        <v>827</v>
      </c>
      <c r="P19" s="46" t="s">
        <v>277</v>
      </c>
      <c r="Q19" s="64" t="s">
        <v>221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76</v>
      </c>
      <c r="O20" s="76" t="s">
        <v>62</v>
      </c>
      <c r="P20" s="74">
        <v>90</v>
      </c>
      <c r="Q20" s="64">
        <v>5998</v>
      </c>
    </row>
    <row r="21" spans="1:20" ht="25.5" customHeight="1" x14ac:dyDescent="0.25">
      <c r="A21" s="16" t="s">
        <v>46</v>
      </c>
      <c r="B21" s="65">
        <v>206.24305555555554</v>
      </c>
      <c r="C21" s="65">
        <v>206.54166666666666</v>
      </c>
      <c r="D21" s="65">
        <f t="shared" ref="D21:D23" si="3">C21-B21</f>
        <v>0.29861111111111427</v>
      </c>
      <c r="E21" s="65">
        <v>206.58333333333334</v>
      </c>
      <c r="F21" s="65">
        <v>206.875</v>
      </c>
      <c r="G21" s="65">
        <f t="shared" ref="G21:G23" si="4"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0.88888888888888573</v>
      </c>
      <c r="M21" s="151" t="s">
        <v>47</v>
      </c>
      <c r="N21" s="64">
        <f>M17+M12+M7</f>
        <v>12</v>
      </c>
      <c r="O21" s="77" t="s">
        <v>66</v>
      </c>
      <c r="P21" s="74">
        <v>202</v>
      </c>
      <c r="Q21" s="64">
        <v>9219</v>
      </c>
    </row>
    <row r="22" spans="1:20" ht="27" customHeight="1" x14ac:dyDescent="0.25">
      <c r="A22" s="16" t="s">
        <v>48</v>
      </c>
      <c r="B22" s="65">
        <v>206.30555555555554</v>
      </c>
      <c r="C22" s="65">
        <v>206.45833333333334</v>
      </c>
      <c r="D22" s="65">
        <f t="shared" si="3"/>
        <v>0.15277777777779988</v>
      </c>
      <c r="E22" s="65">
        <v>206.66666666666666</v>
      </c>
      <c r="F22" s="65">
        <v>206.875</v>
      </c>
      <c r="G22" s="65">
        <f t="shared" si="4"/>
        <v>0.20833333333334281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0.65277777777782831</v>
      </c>
      <c r="M22" s="49" t="s">
        <v>49</v>
      </c>
      <c r="N22" s="64">
        <v>32027</v>
      </c>
      <c r="O22" s="79" t="s">
        <v>63</v>
      </c>
      <c r="P22" s="74">
        <v>132</v>
      </c>
      <c r="Q22" s="64">
        <v>4118</v>
      </c>
    </row>
    <row r="23" spans="1:20" ht="27" customHeight="1" x14ac:dyDescent="0.25">
      <c r="A23" s="154" t="s">
        <v>50</v>
      </c>
      <c r="B23" s="65">
        <v>206.29166666666666</v>
      </c>
      <c r="C23" s="65">
        <v>206.54166666666666</v>
      </c>
      <c r="D23" s="65">
        <f t="shared" si="3"/>
        <v>0.25</v>
      </c>
      <c r="E23" s="65">
        <v>206.64236111111111</v>
      </c>
      <c r="F23" s="65">
        <v>206.75</v>
      </c>
      <c r="G23" s="65">
        <f t="shared" si="4"/>
        <v>0.10763888888888573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0.64930555555557135</v>
      </c>
      <c r="M23" s="151" t="s">
        <v>61</v>
      </c>
      <c r="N23" s="84">
        <v>9</v>
      </c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6"/>
      <c r="C24" s="66"/>
      <c r="D24" s="65">
        <f>SUM(D21:D23)</f>
        <v>0.70138888888891415</v>
      </c>
      <c r="E24" s="67"/>
      <c r="F24" s="67"/>
      <c r="G24" s="65">
        <f>SUM(G21:G23)</f>
        <v>0.60763888888888573</v>
      </c>
      <c r="H24" s="67"/>
      <c r="I24" s="67"/>
      <c r="J24" s="70">
        <f>SUM(J21:J23)</f>
        <v>0.8819444444444855</v>
      </c>
      <c r="K24" s="74"/>
      <c r="L24" s="82">
        <f>SUM(L21:L23)</f>
        <v>2.1909722222222854</v>
      </c>
      <c r="M24" s="64" t="s">
        <v>75</v>
      </c>
      <c r="N24" s="64">
        <v>33589.75</v>
      </c>
      <c r="P24" s="78" t="s">
        <v>65</v>
      </c>
      <c r="Q24" s="43">
        <v>51487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76</v>
      </c>
      <c r="O25" s="64">
        <v>33589.75</v>
      </c>
      <c r="P25" s="151" t="s">
        <v>74</v>
      </c>
      <c r="Q25" s="86">
        <v>57485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41000</v>
      </c>
      <c r="P26" s="51" t="s">
        <v>84</v>
      </c>
      <c r="Q26" s="86">
        <v>49291.81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52.35</v>
      </c>
      <c r="M27" s="55"/>
      <c r="N27" s="87">
        <f>N22/L27</f>
        <v>611.78605539637056</v>
      </c>
      <c r="O27" s="80" t="s">
        <v>71</v>
      </c>
      <c r="P27" s="68"/>
      <c r="Q27" s="64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I23" sqref="I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364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32</v>
      </c>
      <c r="F4" s="22">
        <v>38</v>
      </c>
      <c r="G4" s="22">
        <v>31</v>
      </c>
      <c r="H4" s="22"/>
      <c r="I4" s="22"/>
      <c r="J4" s="22"/>
      <c r="K4" s="22">
        <v>135</v>
      </c>
      <c r="L4" s="22">
        <v>65</v>
      </c>
      <c r="M4" s="90">
        <f t="shared" ref="M4:M7" si="0">K4+L4</f>
        <v>200</v>
      </c>
      <c r="N4" s="101" t="s">
        <v>372</v>
      </c>
      <c r="O4" s="92" t="s">
        <v>85</v>
      </c>
      <c r="P4" s="280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146</v>
      </c>
      <c r="O5" s="65">
        <v>206.54166666666666</v>
      </c>
      <c r="P5" s="65">
        <v>206.95833333333334</v>
      </c>
      <c r="Q5" s="1" t="s">
        <v>371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0">
        <f t="shared" si="0"/>
        <v>0</v>
      </c>
      <c r="N6" s="101" t="s">
        <v>146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22</v>
      </c>
      <c r="L7" s="22">
        <v>13</v>
      </c>
      <c r="M7" s="90">
        <f t="shared" si="0"/>
        <v>35</v>
      </c>
      <c r="N7" s="101" t="s">
        <v>55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 t="s">
        <v>13</v>
      </c>
      <c r="E9" s="22">
        <v>15</v>
      </c>
      <c r="F9" s="22">
        <v>18</v>
      </c>
      <c r="G9" s="22">
        <v>12</v>
      </c>
      <c r="H9" s="22">
        <v>13</v>
      </c>
      <c r="I9" s="22">
        <v>10</v>
      </c>
      <c r="J9" s="22">
        <v>7</v>
      </c>
      <c r="K9" s="22">
        <v>75</v>
      </c>
      <c r="L9" s="22">
        <v>0</v>
      </c>
      <c r="M9" s="90">
        <f t="shared" ref="M9:M12" si="1">K9+L9</f>
        <v>75</v>
      </c>
      <c r="N9" s="81" t="s">
        <v>214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0">
        <f t="shared" si="1"/>
        <v>0</v>
      </c>
      <c r="N10" s="81" t="s">
        <v>13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>
        <v>2</v>
      </c>
      <c r="G11" s="22">
        <v>2</v>
      </c>
      <c r="H11" s="22">
        <v>2</v>
      </c>
      <c r="I11" s="22">
        <v>2</v>
      </c>
      <c r="J11" s="22">
        <v>2</v>
      </c>
      <c r="K11" s="22">
        <v>10</v>
      </c>
      <c r="L11" s="22">
        <v>0</v>
      </c>
      <c r="M11" s="90">
        <f t="shared" si="1"/>
        <v>10</v>
      </c>
      <c r="N11" s="81" t="s">
        <v>13</v>
      </c>
      <c r="O11" s="65">
        <v>206.52083333333334</v>
      </c>
      <c r="P11" s="65">
        <v>206.9375</v>
      </c>
      <c r="Q11" s="242" t="s">
        <v>363</v>
      </c>
    </row>
    <row r="12" spans="1:21" ht="13.5" customHeight="1" x14ac:dyDescent="0.25">
      <c r="A12" s="36"/>
      <c r="B12" s="34" t="s">
        <v>19</v>
      </c>
      <c r="C12" s="22"/>
      <c r="D12" s="22"/>
      <c r="E12" s="22">
        <v>5</v>
      </c>
      <c r="F12" s="22">
        <v>7</v>
      </c>
      <c r="G12" s="22">
        <v>3</v>
      </c>
      <c r="H12" s="22">
        <v>5</v>
      </c>
      <c r="I12" s="22">
        <v>5</v>
      </c>
      <c r="J12" s="22">
        <v>10</v>
      </c>
      <c r="K12" s="22">
        <v>35</v>
      </c>
      <c r="L12" s="22">
        <v>0</v>
      </c>
      <c r="M12" s="90">
        <f t="shared" si="1"/>
        <v>35</v>
      </c>
      <c r="N12" s="81"/>
      <c r="O12" s="65">
        <v>206.95833333333334</v>
      </c>
      <c r="P12" s="65">
        <v>207.03125</v>
      </c>
      <c r="Q12" s="242" t="s">
        <v>363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121</v>
      </c>
      <c r="L14" s="22">
        <v>51</v>
      </c>
      <c r="M14" s="90">
        <f t="shared" ref="M14:M17" si="2">K14+L14</f>
        <v>172</v>
      </c>
      <c r="N14" s="100" t="s">
        <v>210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18</v>
      </c>
      <c r="L15" s="22">
        <v>0</v>
      </c>
      <c r="M15" s="90">
        <f t="shared" si="2"/>
        <v>18</v>
      </c>
      <c r="N15" s="100" t="s">
        <v>13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20</v>
      </c>
      <c r="L16" s="22">
        <v>0</v>
      </c>
      <c r="M16" s="90">
        <f t="shared" si="2"/>
        <v>20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10</v>
      </c>
      <c r="L17" s="22">
        <v>0</v>
      </c>
      <c r="M17" s="90">
        <f t="shared" si="2"/>
        <v>10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447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18</v>
      </c>
      <c r="O19" s="68">
        <v>441.16</v>
      </c>
      <c r="P19" s="46" t="s">
        <v>220</v>
      </c>
      <c r="Q19" s="64" t="s">
        <v>365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30</v>
      </c>
      <c r="O20" s="76" t="s">
        <v>62</v>
      </c>
      <c r="P20" s="74" t="s">
        <v>366</v>
      </c>
      <c r="Q20" s="64" t="s">
        <v>347</v>
      </c>
    </row>
    <row r="21" spans="1:20" ht="25.5" customHeight="1" x14ac:dyDescent="0.25">
      <c r="A21" s="16" t="s">
        <v>46</v>
      </c>
      <c r="B21" s="65">
        <v>206.3125</v>
      </c>
      <c r="C21" s="65">
        <v>206.50347222222223</v>
      </c>
      <c r="D21" s="65">
        <f t="shared" ref="D21:D23" si="3">C21-B21</f>
        <v>0.19097222222222854</v>
      </c>
      <c r="E21" s="65">
        <v>0</v>
      </c>
      <c r="F21" s="65">
        <v>0</v>
      </c>
      <c r="G21" s="65">
        <f>F21-E21</f>
        <v>0</v>
      </c>
      <c r="H21" s="65">
        <v>206.95833333333334</v>
      </c>
      <c r="I21" s="65">
        <v>207.03125</v>
      </c>
      <c r="J21" s="70">
        <f>I21-H21-K21</f>
        <v>7.2916666666657193E-2</v>
      </c>
      <c r="K21" s="65"/>
      <c r="L21" s="72">
        <f>D21+G21+J21</f>
        <v>0.26388888888888573</v>
      </c>
      <c r="M21" s="151" t="s">
        <v>47</v>
      </c>
      <c r="N21" s="64">
        <f>M17+M12+M7</f>
        <v>80</v>
      </c>
      <c r="O21" s="77" t="s">
        <v>66</v>
      </c>
      <c r="P21" s="74" t="s">
        <v>367</v>
      </c>
      <c r="Q21" s="64" t="s">
        <v>369</v>
      </c>
    </row>
    <row r="22" spans="1:20" ht="27" customHeight="1" x14ac:dyDescent="0.25">
      <c r="A22" s="16" t="s">
        <v>48</v>
      </c>
      <c r="B22" s="65">
        <v>206.27430555555554</v>
      </c>
      <c r="C22" s="65">
        <v>206.54166666666666</v>
      </c>
      <c r="D22" s="65">
        <f t="shared" si="3"/>
        <v>0.26736111111111427</v>
      </c>
      <c r="E22" s="65">
        <v>206.63888888888889</v>
      </c>
      <c r="F22" s="65">
        <v>206.875</v>
      </c>
      <c r="G22" s="65">
        <f>F22-E22</f>
        <v>0.23611111111111427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0.83680555555557135</v>
      </c>
      <c r="M22" s="240" t="s">
        <v>207</v>
      </c>
      <c r="N22" s="64">
        <v>24891.66</v>
      </c>
      <c r="O22" s="79" t="s">
        <v>63</v>
      </c>
      <c r="P22" s="74" t="s">
        <v>368</v>
      </c>
      <c r="Q22" s="64" t="s">
        <v>370</v>
      </c>
    </row>
    <row r="23" spans="1:20" ht="27" customHeight="1" x14ac:dyDescent="0.25">
      <c r="A23" s="154" t="s">
        <v>50</v>
      </c>
      <c r="B23" s="65">
        <v>206.29166666666666</v>
      </c>
      <c r="C23" s="65">
        <v>206.54166666666666</v>
      </c>
      <c r="D23" s="65">
        <f t="shared" si="3"/>
        <v>0.25</v>
      </c>
      <c r="E23" s="65">
        <v>0</v>
      </c>
      <c r="F23" s="65">
        <v>0</v>
      </c>
      <c r="G23" s="65">
        <f t="shared" ref="G23" si="4">F23-E23</f>
        <v>0</v>
      </c>
      <c r="H23" s="65">
        <v>206.98958333333334</v>
      </c>
      <c r="I23" s="65">
        <v>207.20833333333334</v>
      </c>
      <c r="J23" s="70">
        <f>I23-H23-K23</f>
        <v>0.21875</v>
      </c>
      <c r="K23" s="152"/>
      <c r="L23" s="153">
        <f>D23+G23+J23</f>
        <v>0.46875</v>
      </c>
      <c r="M23" s="151" t="s">
        <v>61</v>
      </c>
      <c r="N23" s="84">
        <v>6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0.70833333333334281</v>
      </c>
      <c r="E24" s="67"/>
      <c r="F24" s="67"/>
      <c r="G24" s="65">
        <f>SUM(G21:G23)</f>
        <v>0.23611111111111427</v>
      </c>
      <c r="H24" s="67"/>
      <c r="I24" s="67"/>
      <c r="J24" s="70">
        <f>SUM(J21:J23)</f>
        <v>0.625</v>
      </c>
      <c r="K24" s="74"/>
      <c r="L24" s="82">
        <f>SUM(L21:L23)</f>
        <v>1.5694444444444571</v>
      </c>
      <c r="M24" s="156" t="s">
        <v>206</v>
      </c>
      <c r="N24" s="64">
        <v>22359.01</v>
      </c>
      <c r="P24" s="238" t="s">
        <v>203</v>
      </c>
      <c r="Q24" s="43">
        <v>33534.19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N24+Sheet9!O25</f>
        <v>219486.08000000002</v>
      </c>
      <c r="P25" s="151" t="s">
        <v>205</v>
      </c>
      <c r="Q25" s="86">
        <v>37548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f ca="1">Q24+Sheet10!Q26</f>
        <v>359293.79000000004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37.4</v>
      </c>
      <c r="M27" s="55"/>
      <c r="N27" s="87">
        <f>N22/L27</f>
        <v>665.55240641711237</v>
      </c>
      <c r="O27" s="80" t="s">
        <v>71</v>
      </c>
      <c r="P27" s="68"/>
      <c r="Q27" s="64" t="s">
        <v>215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9" workbookViewId="0">
      <selection activeCell="K24" sqref="K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356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36</v>
      </c>
      <c r="E4" s="22">
        <v>36</v>
      </c>
      <c r="F4" s="22">
        <v>11</v>
      </c>
      <c r="G4" s="22">
        <v>11</v>
      </c>
      <c r="H4" s="22">
        <v>21</v>
      </c>
      <c r="I4" s="22">
        <v>31</v>
      </c>
      <c r="J4" s="22">
        <v>26</v>
      </c>
      <c r="K4" s="22">
        <v>85</v>
      </c>
      <c r="L4" s="22">
        <v>51</v>
      </c>
      <c r="M4" s="90">
        <f t="shared" ref="M4:M5" si="0">K4+L4</f>
        <v>136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210</v>
      </c>
      <c r="O5" s="65" t="s">
        <v>13</v>
      </c>
      <c r="P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0">
        <f t="shared" ref="M6:M7" si="1">K6+L6</f>
        <v>0</v>
      </c>
      <c r="N6" s="101" t="s">
        <v>146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>
        <v>8</v>
      </c>
      <c r="E7" s="22">
        <v>5</v>
      </c>
      <c r="F7" s="22">
        <v>4</v>
      </c>
      <c r="G7" s="22"/>
      <c r="H7" s="22"/>
      <c r="I7" s="22"/>
      <c r="J7" s="22">
        <v>4</v>
      </c>
      <c r="K7" s="22">
        <v>21</v>
      </c>
      <c r="L7" s="22">
        <v>0</v>
      </c>
      <c r="M7" s="90">
        <f t="shared" si="1"/>
        <v>21</v>
      </c>
      <c r="N7" s="101" t="s">
        <v>214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24</v>
      </c>
      <c r="E9" s="22">
        <v>26</v>
      </c>
      <c r="F9" s="22">
        <v>35</v>
      </c>
      <c r="G9" s="22">
        <v>26</v>
      </c>
      <c r="H9" s="22">
        <v>30</v>
      </c>
      <c r="I9" s="22">
        <v>30</v>
      </c>
      <c r="J9" s="22">
        <v>30</v>
      </c>
      <c r="K9" s="22">
        <v>130</v>
      </c>
      <c r="L9" s="22">
        <v>70</v>
      </c>
      <c r="M9" s="90">
        <f t="shared" ref="M9:M12" si="2">K9+L9</f>
        <v>200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3</v>
      </c>
      <c r="G10" s="22">
        <v>2</v>
      </c>
      <c r="H10" s="22"/>
      <c r="I10" s="22"/>
      <c r="J10" s="22"/>
      <c r="K10" s="22">
        <v>8</v>
      </c>
      <c r="L10" s="22">
        <v>0</v>
      </c>
      <c r="M10" s="90">
        <f t="shared" si="2"/>
        <v>8</v>
      </c>
      <c r="N10" s="81" t="s">
        <v>55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2</v>
      </c>
      <c r="F11" s="22"/>
      <c r="G11" s="22"/>
      <c r="H11" s="22"/>
      <c r="I11" s="22"/>
      <c r="J11" s="22"/>
      <c r="K11" s="22">
        <v>5</v>
      </c>
      <c r="L11" s="22">
        <v>0</v>
      </c>
      <c r="M11" s="90">
        <f t="shared" si="2"/>
        <v>5</v>
      </c>
      <c r="N11" s="81" t="s">
        <v>13</v>
      </c>
      <c r="O11" s="65">
        <v>206.20833333333334</v>
      </c>
      <c r="P11" s="65">
        <v>206.47916666666666</v>
      </c>
      <c r="Q11" s="242" t="s">
        <v>363</v>
      </c>
    </row>
    <row r="12" spans="1:21" ht="13.5" customHeight="1" x14ac:dyDescent="0.25">
      <c r="A12" s="36"/>
      <c r="B12" s="34" t="s">
        <v>19</v>
      </c>
      <c r="C12" s="22"/>
      <c r="D12" s="22"/>
      <c r="E12" s="22">
        <v>1</v>
      </c>
      <c r="F12" s="22"/>
      <c r="G12" s="22">
        <v>1</v>
      </c>
      <c r="H12" s="22"/>
      <c r="I12" s="22"/>
      <c r="J12" s="22">
        <v>1</v>
      </c>
      <c r="K12" s="22">
        <v>3</v>
      </c>
      <c r="L12" s="22">
        <v>0</v>
      </c>
      <c r="M12" s="90">
        <f t="shared" si="2"/>
        <v>3</v>
      </c>
      <c r="N12" s="81"/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130</v>
      </c>
      <c r="L14" s="22">
        <v>40</v>
      </c>
      <c r="M14" s="90">
        <f t="shared" ref="M14:M17" si="3">K14+L14</f>
        <v>170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6</v>
      </c>
      <c r="L15" s="22">
        <v>0</v>
      </c>
      <c r="M15" s="90">
        <f t="shared" si="3"/>
        <v>6</v>
      </c>
      <c r="N15" s="100" t="s">
        <v>55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0">
        <f t="shared" si="3"/>
        <v>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24</v>
      </c>
      <c r="L17" s="22">
        <v>0</v>
      </c>
      <c r="M17" s="90">
        <f t="shared" si="3"/>
        <v>24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506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14</v>
      </c>
      <c r="O19" s="68">
        <v>402.53</v>
      </c>
      <c r="P19" s="46" t="s">
        <v>220</v>
      </c>
      <c r="Q19" s="64" t="s">
        <v>357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5</v>
      </c>
      <c r="O20" s="76" t="s">
        <v>62</v>
      </c>
      <c r="P20" s="74" t="s">
        <v>245</v>
      </c>
      <c r="Q20" s="64" t="s">
        <v>358</v>
      </c>
    </row>
    <row r="21" spans="1:20" ht="25.5" customHeight="1" x14ac:dyDescent="0.25">
      <c r="A21" s="16" t="s">
        <v>46</v>
      </c>
      <c r="B21" s="65">
        <v>206.48611111111111</v>
      </c>
      <c r="C21" s="65">
        <v>206.54166666666666</v>
      </c>
      <c r="D21" s="65">
        <f t="shared" ref="D21:D23" si="4">C21-B21</f>
        <v>5.5555555555542924E-2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0.64236111111111427</v>
      </c>
      <c r="M21" s="151" t="s">
        <v>47</v>
      </c>
      <c r="N21" s="64">
        <f>M17+M12+M7</f>
        <v>48</v>
      </c>
      <c r="O21" s="77" t="s">
        <v>66</v>
      </c>
      <c r="P21" s="74" t="s">
        <v>359</v>
      </c>
      <c r="Q21" s="64" t="s">
        <v>360</v>
      </c>
    </row>
    <row r="22" spans="1:20" ht="27" customHeight="1" x14ac:dyDescent="0.25">
      <c r="A22" s="16" t="s">
        <v>48</v>
      </c>
      <c r="B22" s="65">
        <v>206.25694444444446</v>
      </c>
      <c r="C22" s="65">
        <v>206.54166666666666</v>
      </c>
      <c r="D22" s="65">
        <f t="shared" ref="D22" si="5">C22-B22</f>
        <v>0.28472222222220012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0.86805555555554292</v>
      </c>
      <c r="M22" s="240" t="s">
        <v>207</v>
      </c>
      <c r="N22" s="64">
        <v>26102</v>
      </c>
      <c r="O22" s="79" t="s">
        <v>63</v>
      </c>
      <c r="P22" s="74" t="s">
        <v>361</v>
      </c>
      <c r="Q22" s="64" t="s">
        <v>362</v>
      </c>
    </row>
    <row r="23" spans="1:20" ht="27" customHeight="1" x14ac:dyDescent="0.25">
      <c r="A23" s="154" t="s">
        <v>50</v>
      </c>
      <c r="B23" s="65">
        <v>206.28125</v>
      </c>
      <c r="C23" s="65">
        <v>206.54166666666666</v>
      </c>
      <c r="D23" s="65">
        <f t="shared" si="4"/>
        <v>0.26041666666665719</v>
      </c>
      <c r="E23" s="65">
        <v>206.59027777777777</v>
      </c>
      <c r="F23" s="65">
        <v>206.875</v>
      </c>
      <c r="G23" s="65">
        <f t="shared" ref="G23" si="6">F23-E23</f>
        <v>0.28472222222222854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0.83680555555557135</v>
      </c>
      <c r="M23" s="151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0.60069444444440023</v>
      </c>
      <c r="E24" s="67"/>
      <c r="F24" s="67"/>
      <c r="G24" s="65">
        <f>SUM(G21:G23)</f>
        <v>0.86458333333334281</v>
      </c>
      <c r="H24" s="67"/>
      <c r="I24" s="67"/>
      <c r="J24" s="70">
        <f>SUM(J21:J23)</f>
        <v>0.8819444444444855</v>
      </c>
      <c r="K24" s="74"/>
      <c r="L24" s="82">
        <f>SUM(L21:L23)</f>
        <v>2.3472222222222285</v>
      </c>
      <c r="M24" s="156" t="s">
        <v>206</v>
      </c>
      <c r="N24" s="64">
        <v>29928.33</v>
      </c>
      <c r="P24" s="238" t="s">
        <v>203</v>
      </c>
      <c r="Q24" s="43">
        <v>41814.93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N24+Sheet10!O25</f>
        <v>249414.41000000003</v>
      </c>
      <c r="P25" s="151" t="s">
        <v>205</v>
      </c>
      <c r="Q25" s="86">
        <v>45648.83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f ca="1">Q24+Sheet10!Q26</f>
        <v>359293.79000000004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56.2</v>
      </c>
      <c r="M27" s="55"/>
      <c r="N27" s="87">
        <f>N22/L27</f>
        <v>464.44839857651243</v>
      </c>
      <c r="O27" s="80" t="s">
        <v>71</v>
      </c>
      <c r="P27" s="68"/>
      <c r="Q27" s="64" t="s">
        <v>215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7.28515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376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20</v>
      </c>
      <c r="E4" s="22">
        <v>15</v>
      </c>
      <c r="F4" s="22">
        <v>35</v>
      </c>
      <c r="G4" s="22">
        <v>18</v>
      </c>
      <c r="H4" s="22">
        <v>35</v>
      </c>
      <c r="I4" s="22">
        <v>30</v>
      </c>
      <c r="J4" s="22">
        <v>17</v>
      </c>
      <c r="K4" s="22">
        <v>103</v>
      </c>
      <c r="L4" s="22">
        <v>67</v>
      </c>
      <c r="M4" s="90">
        <f t="shared" ref="M4" si="0">K4+L4</f>
        <v>170</v>
      </c>
      <c r="N4" s="101"/>
      <c r="O4" s="92" t="s">
        <v>85</v>
      </c>
      <c r="P4" s="237" t="s">
        <v>86</v>
      </c>
      <c r="Q4" s="33" t="s">
        <v>385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3</v>
      </c>
      <c r="H5" s="22">
        <v>2</v>
      </c>
      <c r="I5" s="22"/>
      <c r="J5" s="22"/>
      <c r="K5" s="22">
        <v>5</v>
      </c>
      <c r="L5" s="22">
        <v>0</v>
      </c>
      <c r="M5" s="90">
        <f t="shared" ref="M5" si="1">K5+L5</f>
        <v>5</v>
      </c>
      <c r="N5" s="101"/>
      <c r="O5" s="65" t="s">
        <v>13</v>
      </c>
      <c r="P5" s="65" t="s">
        <v>13</v>
      </c>
      <c r="Q5" s="65" t="s">
        <v>386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3</v>
      </c>
      <c r="G6" s="22">
        <v>4</v>
      </c>
      <c r="H6" s="22">
        <v>1</v>
      </c>
      <c r="I6" s="22">
        <v>1</v>
      </c>
      <c r="J6" s="22">
        <v>1</v>
      </c>
      <c r="K6" s="22">
        <v>5</v>
      </c>
      <c r="L6" s="22">
        <v>5</v>
      </c>
      <c r="M6" s="90">
        <f t="shared" ref="M6:M7" si="2">K6+L6</f>
        <v>10</v>
      </c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 t="s">
        <v>13</v>
      </c>
      <c r="E7" s="22">
        <v>18</v>
      </c>
      <c r="F7" s="22">
        <v>2</v>
      </c>
      <c r="G7" s="22">
        <v>5</v>
      </c>
      <c r="H7" s="22">
        <v>5</v>
      </c>
      <c r="I7" s="22">
        <v>5</v>
      </c>
      <c r="J7" s="22">
        <v>1</v>
      </c>
      <c r="K7" s="22">
        <v>36</v>
      </c>
      <c r="L7" s="22">
        <v>0</v>
      </c>
      <c r="M7" s="90">
        <f t="shared" si="2"/>
        <v>36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16</v>
      </c>
      <c r="E9" s="22">
        <v>20</v>
      </c>
      <c r="F9" s="22">
        <v>30</v>
      </c>
      <c r="G9" s="22">
        <v>23</v>
      </c>
      <c r="H9" s="22">
        <v>33</v>
      </c>
      <c r="I9" s="22">
        <v>50</v>
      </c>
      <c r="J9" s="22">
        <v>35</v>
      </c>
      <c r="K9" s="22">
        <v>140</v>
      </c>
      <c r="L9" s="22">
        <v>67</v>
      </c>
      <c r="M9" s="90">
        <f t="shared" ref="M9:M12" si="3">K9+L9</f>
        <v>207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1</v>
      </c>
      <c r="F10" s="22">
        <v>1</v>
      </c>
      <c r="G10" s="22"/>
      <c r="H10" s="22">
        <v>3</v>
      </c>
      <c r="I10" s="22">
        <v>3</v>
      </c>
      <c r="J10" s="22"/>
      <c r="K10" s="22">
        <v>13</v>
      </c>
      <c r="L10" s="22">
        <v>0</v>
      </c>
      <c r="M10" s="90">
        <f t="shared" si="3"/>
        <v>13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>
        <v>2</v>
      </c>
      <c r="D11" s="22">
        <v>6</v>
      </c>
      <c r="E11" s="22"/>
      <c r="F11" s="22"/>
      <c r="G11" s="22"/>
      <c r="H11" s="22"/>
      <c r="I11" s="22"/>
      <c r="J11" s="22">
        <v>17</v>
      </c>
      <c r="K11" s="22">
        <v>25</v>
      </c>
      <c r="L11" s="22">
        <v>0</v>
      </c>
      <c r="M11" s="90">
        <f t="shared" si="3"/>
        <v>25</v>
      </c>
      <c r="N11" s="81"/>
      <c r="O11" s="65">
        <v>206.25</v>
      </c>
      <c r="P11" s="65">
        <v>206.54166666666666</v>
      </c>
      <c r="Q11" s="33" t="s">
        <v>387</v>
      </c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0">
        <f t="shared" si="3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32</v>
      </c>
      <c r="G14" s="22">
        <v>31</v>
      </c>
      <c r="H14" s="22">
        <v>23</v>
      </c>
      <c r="I14" s="22">
        <v>21</v>
      </c>
      <c r="J14" s="22">
        <v>40</v>
      </c>
      <c r="K14" s="22">
        <v>160</v>
      </c>
      <c r="L14" s="22">
        <v>52</v>
      </c>
      <c r="M14" s="90">
        <f t="shared" ref="M14:M17" si="4">K14+L14</f>
        <v>212</v>
      </c>
      <c r="N14" s="100"/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4"/>
        <v>0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7</v>
      </c>
      <c r="E16" s="22">
        <v>8</v>
      </c>
      <c r="F16" s="22">
        <v>6</v>
      </c>
      <c r="G16" s="22">
        <v>7</v>
      </c>
      <c r="H16" s="22">
        <v>5</v>
      </c>
      <c r="I16" s="22">
        <v>4</v>
      </c>
      <c r="J16" s="22"/>
      <c r="K16" s="22">
        <v>37</v>
      </c>
      <c r="L16" s="22">
        <v>0</v>
      </c>
      <c r="M16" s="90">
        <f t="shared" si="4"/>
        <v>37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>
        <v>2</v>
      </c>
      <c r="I17" s="22"/>
      <c r="J17" s="22"/>
      <c r="K17" s="22">
        <v>2</v>
      </c>
      <c r="L17" s="22">
        <v>0</v>
      </c>
      <c r="M17" s="90">
        <f t="shared" si="4"/>
        <v>2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589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18</v>
      </c>
      <c r="O19" s="68">
        <v>457.21</v>
      </c>
      <c r="P19" s="46" t="s">
        <v>200</v>
      </c>
      <c r="Q19" s="64" t="s">
        <v>377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72</v>
      </c>
      <c r="O20" s="76" t="s">
        <v>62</v>
      </c>
      <c r="P20" s="74" t="s">
        <v>201</v>
      </c>
      <c r="Q20" s="64" t="s">
        <v>378</v>
      </c>
    </row>
    <row r="21" spans="1:20" ht="25.5" customHeight="1" x14ac:dyDescent="0.25">
      <c r="A21" s="16" t="s">
        <v>46</v>
      </c>
      <c r="B21" s="65">
        <v>0</v>
      </c>
      <c r="C21" s="65">
        <v>0</v>
      </c>
      <c r="D21" s="65">
        <f t="shared" ref="D21:D23" si="5">C21-B21</f>
        <v>0</v>
      </c>
      <c r="E21" s="65">
        <v>206.54166666666666</v>
      </c>
      <c r="F21" s="65">
        <v>206.875</v>
      </c>
      <c r="G21" s="65">
        <f>F21-E21</f>
        <v>0.33333333333334281</v>
      </c>
      <c r="H21" s="65">
        <v>206.89583333333334</v>
      </c>
      <c r="I21" s="65">
        <v>207.20833333333334</v>
      </c>
      <c r="J21" s="70">
        <f>I21-H21-K21</f>
        <v>0.3125</v>
      </c>
      <c r="K21" s="65"/>
      <c r="L21" s="72">
        <f>D21+G21+J21</f>
        <v>0.64583333333334281</v>
      </c>
      <c r="M21" s="151" t="s">
        <v>47</v>
      </c>
      <c r="N21" s="64">
        <f>M17+M12+M7</f>
        <v>38</v>
      </c>
      <c r="O21" s="77" t="s">
        <v>66</v>
      </c>
      <c r="P21" s="74" t="s">
        <v>379</v>
      </c>
      <c r="Q21" s="64" t="s">
        <v>380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 t="shared" si="5"/>
        <v>0.27083333333331439</v>
      </c>
      <c r="E22" s="65">
        <v>206.54166666666666</v>
      </c>
      <c r="F22" s="65">
        <v>206.875</v>
      </c>
      <c r="G22" s="65">
        <f>F22-E22</f>
        <v>0.33333333333334281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0.9375</v>
      </c>
      <c r="M22" s="240" t="s">
        <v>207</v>
      </c>
      <c r="N22" s="64">
        <v>33807.21</v>
      </c>
      <c r="O22" s="79" t="s">
        <v>63</v>
      </c>
      <c r="P22" s="74" t="s">
        <v>381</v>
      </c>
      <c r="Q22" s="64" t="s">
        <v>382</v>
      </c>
    </row>
    <row r="23" spans="1:20" ht="27" customHeight="1" x14ac:dyDescent="0.25">
      <c r="A23" s="154" t="s">
        <v>50</v>
      </c>
      <c r="B23" s="65">
        <v>206.25347222222223</v>
      </c>
      <c r="C23" s="65">
        <v>206.54166666666666</v>
      </c>
      <c r="D23" s="65">
        <f t="shared" si="5"/>
        <v>0.28819444444442865</v>
      </c>
      <c r="E23" s="65">
        <v>206.58333333333334</v>
      </c>
      <c r="F23" s="65">
        <v>206.875</v>
      </c>
      <c r="G23" s="65">
        <f t="shared" ref="G23" si="6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0.87152777777777146</v>
      </c>
      <c r="M23" s="151" t="s">
        <v>61</v>
      </c>
      <c r="N23" s="84">
        <v>8</v>
      </c>
      <c r="O23" s="85" t="s">
        <v>64</v>
      </c>
      <c r="P23" s="75" t="s">
        <v>383</v>
      </c>
      <c r="Q23" s="64" t="s">
        <v>384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0.55902777777774304</v>
      </c>
      <c r="E24" s="67"/>
      <c r="F24" s="67"/>
      <c r="G24" s="65">
        <f>SUM(G21:G23)</f>
        <v>0.95833333333334281</v>
      </c>
      <c r="H24" s="67"/>
      <c r="I24" s="67"/>
      <c r="J24" s="70">
        <f>SUM(J21:J23)</f>
        <v>0.93750000000002842</v>
      </c>
      <c r="K24" s="74"/>
      <c r="L24" s="82">
        <f>SUM(L21:L23)</f>
        <v>2.4548611111111143</v>
      </c>
      <c r="M24" s="156" t="s">
        <v>206</v>
      </c>
      <c r="N24" s="64">
        <v>30904.27</v>
      </c>
      <c r="P24" s="238" t="s">
        <v>203</v>
      </c>
      <c r="Q24" s="43">
        <v>46538.42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N24+Sheet11!O25</f>
        <v>280318.68000000005</v>
      </c>
      <c r="P25" s="151" t="s">
        <v>205</v>
      </c>
      <c r="Q25" s="86">
        <v>51492.78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51000</v>
      </c>
      <c r="P26" s="239" t="s">
        <v>204</v>
      </c>
      <c r="Q26" s="68">
        <f ca="1">Q24+Sheet11!Q26</f>
        <v>409591.75000000006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58.55</v>
      </c>
      <c r="M27" s="55"/>
      <c r="N27" s="87">
        <f>N22/L27</f>
        <v>577.40751494449194</v>
      </c>
      <c r="O27" s="80" t="s">
        <v>71</v>
      </c>
      <c r="P27" s="68"/>
      <c r="Q27" s="64" t="s">
        <v>216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J24" sqref="J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391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21</v>
      </c>
      <c r="E4" s="22">
        <v>20</v>
      </c>
      <c r="F4" s="22">
        <v>35</v>
      </c>
      <c r="G4" s="22">
        <v>36</v>
      </c>
      <c r="H4" s="22">
        <v>28</v>
      </c>
      <c r="I4" s="22">
        <v>26</v>
      </c>
      <c r="J4" s="22">
        <v>30</v>
      </c>
      <c r="K4" s="22">
        <v>150</v>
      </c>
      <c r="L4" s="22">
        <v>45</v>
      </c>
      <c r="M4" s="90">
        <f t="shared" ref="M4" si="0">K4+L4</f>
        <v>195</v>
      </c>
      <c r="N4" s="101" t="s">
        <v>146</v>
      </c>
      <c r="O4" s="92" t="s">
        <v>85</v>
      </c>
      <c r="P4" s="237" t="s">
        <v>86</v>
      </c>
      <c r="Q4" s="33" t="s">
        <v>402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1</v>
      </c>
      <c r="J5" s="22">
        <v>2</v>
      </c>
      <c r="K5" s="22">
        <v>5</v>
      </c>
      <c r="L5" s="22">
        <v>0</v>
      </c>
      <c r="M5" s="90">
        <f t="shared" ref="M5" si="1">K5+L5</f>
        <v>5</v>
      </c>
      <c r="N5" s="101" t="s">
        <v>214</v>
      </c>
      <c r="O5" s="65">
        <v>206.39583333333334</v>
      </c>
      <c r="P5" s="65">
        <v>206.58333333333334</v>
      </c>
      <c r="Q5" s="65" t="s">
        <v>400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8</v>
      </c>
      <c r="E6" s="22">
        <v>10</v>
      </c>
      <c r="F6" s="22">
        <v>12</v>
      </c>
      <c r="G6" s="22">
        <v>1</v>
      </c>
      <c r="H6" s="22">
        <v>2</v>
      </c>
      <c r="I6" s="22">
        <v>2</v>
      </c>
      <c r="J6" s="22"/>
      <c r="K6" s="22">
        <v>30</v>
      </c>
      <c r="L6" s="22">
        <v>0</v>
      </c>
      <c r="M6" s="90">
        <f t="shared" ref="M6:M7" si="2">K6+L6</f>
        <v>30</v>
      </c>
      <c r="N6" s="101" t="s">
        <v>55</v>
      </c>
      <c r="O6" s="93"/>
      <c r="P6" s="64"/>
      <c r="Q6" s="319" t="s">
        <v>401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0">
        <f t="shared" si="2"/>
        <v>0</v>
      </c>
      <c r="N7" s="101" t="s">
        <v>392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225"/>
      <c r="Q8" s="282" t="s">
        <v>406</v>
      </c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202</v>
      </c>
      <c r="L9" s="22">
        <v>0</v>
      </c>
      <c r="M9" s="90">
        <f t="shared" ref="M9:M12" si="3">K9+L9</f>
        <v>202</v>
      </c>
      <c r="N9" s="81" t="s">
        <v>55</v>
      </c>
      <c r="O9" s="96"/>
      <c r="P9" s="81"/>
      <c r="Q9" s="37" t="s">
        <v>13</v>
      </c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21</v>
      </c>
      <c r="L10" s="22">
        <v>0</v>
      </c>
      <c r="M10" s="90">
        <f t="shared" si="3"/>
        <v>21</v>
      </c>
      <c r="N10" s="81" t="s">
        <v>55</v>
      </c>
      <c r="O10" s="311" t="s">
        <v>117</v>
      </c>
      <c r="P10" s="312"/>
      <c r="Q10" s="284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55</v>
      </c>
      <c r="L11" s="22">
        <v>0</v>
      </c>
      <c r="M11" s="90">
        <f t="shared" si="3"/>
        <v>55</v>
      </c>
      <c r="N11" s="81" t="s">
        <v>146</v>
      </c>
      <c r="O11" s="65" t="s">
        <v>13</v>
      </c>
      <c r="P11" s="65" t="s">
        <v>13</v>
      </c>
      <c r="Q11" s="33" t="s">
        <v>13</v>
      </c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0">
        <f t="shared" si="3"/>
        <v>0</v>
      </c>
      <c r="N12" s="81"/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 t="s">
        <v>13</v>
      </c>
    </row>
    <row r="14" spans="1:21" ht="15" x14ac:dyDescent="0.25">
      <c r="A14" s="33"/>
      <c r="B14" s="21" t="s">
        <v>14</v>
      </c>
      <c r="C14" s="22"/>
      <c r="D14" s="22">
        <v>29</v>
      </c>
      <c r="E14" s="22">
        <v>45</v>
      </c>
      <c r="F14" s="22">
        <v>38</v>
      </c>
      <c r="G14" s="22">
        <v>19</v>
      </c>
      <c r="H14" s="22">
        <v>20</v>
      </c>
      <c r="I14" s="22">
        <v>26</v>
      </c>
      <c r="J14" s="22">
        <v>34</v>
      </c>
      <c r="K14" s="22">
        <v>150</v>
      </c>
      <c r="L14" s="22">
        <v>61</v>
      </c>
      <c r="M14" s="90">
        <f t="shared" ref="M14:M17" si="4">K14+L14</f>
        <v>211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>
        <v>3</v>
      </c>
      <c r="E15" s="22">
        <v>3</v>
      </c>
      <c r="F15" s="22"/>
      <c r="G15" s="22"/>
      <c r="H15" s="22"/>
      <c r="I15" s="22"/>
      <c r="J15" s="22"/>
      <c r="K15" s="22">
        <v>6</v>
      </c>
      <c r="L15" s="22">
        <v>0</v>
      </c>
      <c r="M15" s="90">
        <f t="shared" si="4"/>
        <v>6</v>
      </c>
      <c r="N15" s="100" t="s">
        <v>393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10</v>
      </c>
      <c r="E16" s="22">
        <v>2</v>
      </c>
      <c r="F16" s="22">
        <v>4</v>
      </c>
      <c r="G16" s="22">
        <v>5</v>
      </c>
      <c r="H16" s="22">
        <v>2</v>
      </c>
      <c r="I16" s="22">
        <v>2</v>
      </c>
      <c r="J16" s="22">
        <v>5</v>
      </c>
      <c r="K16" s="22">
        <v>30</v>
      </c>
      <c r="L16" s="22">
        <v>0</v>
      </c>
      <c r="M16" s="90">
        <f t="shared" si="4"/>
        <v>30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/>
      <c r="F17" s="22">
        <v>2</v>
      </c>
      <c r="G17" s="22"/>
      <c r="H17" s="22">
        <v>2</v>
      </c>
      <c r="I17" s="22"/>
      <c r="J17" s="22"/>
      <c r="K17" s="22">
        <v>4</v>
      </c>
      <c r="L17" s="22">
        <v>2</v>
      </c>
      <c r="M17" s="90">
        <f t="shared" si="4"/>
        <v>6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608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32</v>
      </c>
      <c r="O19" s="68">
        <v>1619.4</v>
      </c>
      <c r="P19" s="46" t="s">
        <v>200</v>
      </c>
      <c r="Q19" s="64" t="s">
        <v>394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115</v>
      </c>
      <c r="O20" s="76" t="s">
        <v>62</v>
      </c>
      <c r="P20" s="74" t="s">
        <v>201</v>
      </c>
      <c r="Q20" s="64" t="s">
        <v>395</v>
      </c>
    </row>
    <row r="21" spans="1:20" ht="25.5" customHeight="1" x14ac:dyDescent="0.25">
      <c r="A21" s="16" t="s">
        <v>46</v>
      </c>
      <c r="B21" s="65">
        <v>206.29166666666666</v>
      </c>
      <c r="C21" s="65">
        <v>206.54166666666666</v>
      </c>
      <c r="D21" s="65">
        <f t="shared" ref="D21:D23" si="5">C21-B21</f>
        <v>0.25</v>
      </c>
      <c r="E21" s="65">
        <v>206.625</v>
      </c>
      <c r="F21" s="65">
        <v>206.875</v>
      </c>
      <c r="G21" s="65">
        <f>F21-E21</f>
        <v>0.25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0.79166666666668561</v>
      </c>
      <c r="M21" s="151" t="s">
        <v>47</v>
      </c>
      <c r="N21" s="64">
        <v>9</v>
      </c>
      <c r="O21" s="77" t="s">
        <v>66</v>
      </c>
      <c r="P21" s="74" t="s">
        <v>396</v>
      </c>
      <c r="Q21" s="64" t="s">
        <v>397</v>
      </c>
    </row>
    <row r="22" spans="1:20" ht="27" customHeight="1" x14ac:dyDescent="0.25">
      <c r="A22" s="16" t="s">
        <v>48</v>
      </c>
      <c r="B22" s="65">
        <v>206.25347222222223</v>
      </c>
      <c r="C22" s="65">
        <v>206.54166666666666</v>
      </c>
      <c r="D22" s="65">
        <f t="shared" si="5"/>
        <v>0.28819444444442865</v>
      </c>
      <c r="E22" s="65">
        <v>206.62847222222223</v>
      </c>
      <c r="F22" s="65">
        <v>206.875</v>
      </c>
      <c r="G22" s="65">
        <f>F22-E22</f>
        <v>0.24652777777777146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0.82638888888888573</v>
      </c>
      <c r="M22" s="240" t="s">
        <v>207</v>
      </c>
      <c r="N22" s="64">
        <v>37604</v>
      </c>
      <c r="O22" s="79" t="s">
        <v>63</v>
      </c>
      <c r="P22" s="74" t="s">
        <v>237</v>
      </c>
      <c r="Q22" s="64" t="s">
        <v>398</v>
      </c>
    </row>
    <row r="23" spans="1:20" ht="27" customHeight="1" x14ac:dyDescent="0.25">
      <c r="A23" s="154" t="s">
        <v>50</v>
      </c>
      <c r="B23" s="65">
        <v>206.26388888888889</v>
      </c>
      <c r="C23" s="65">
        <v>206.39583333333334</v>
      </c>
      <c r="D23" s="65">
        <f t="shared" si="5"/>
        <v>0.13194444444445708</v>
      </c>
      <c r="E23" s="65">
        <v>206.59027777777777</v>
      </c>
      <c r="F23" s="65">
        <v>206.875</v>
      </c>
      <c r="G23" s="65">
        <f t="shared" ref="G23" si="6">F23-E23</f>
        <v>0.28472222222222854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0.70833333333337123</v>
      </c>
      <c r="M23" s="151" t="s">
        <v>61</v>
      </c>
      <c r="N23" s="84">
        <v>9</v>
      </c>
      <c r="O23" s="85" t="s">
        <v>64</v>
      </c>
      <c r="P23" s="75">
        <v>31</v>
      </c>
      <c r="Q23" s="64" t="s">
        <v>399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0.67013888888888573</v>
      </c>
      <c r="E24" s="67"/>
      <c r="F24" s="67"/>
      <c r="G24" s="65">
        <f>SUM(G21:G23)</f>
        <v>0.78125</v>
      </c>
      <c r="H24" s="67"/>
      <c r="I24" s="67"/>
      <c r="J24" s="70">
        <f>SUM(J21:J23)</f>
        <v>0.87500000000005684</v>
      </c>
      <c r="K24" s="74"/>
      <c r="L24" s="82">
        <f>SUM(L21:L23)</f>
        <v>2.3263888888889426</v>
      </c>
      <c r="M24" s="156" t="s">
        <v>206</v>
      </c>
      <c r="N24" s="64">
        <v>34399.440000000002</v>
      </c>
      <c r="P24" s="238" t="s">
        <v>203</v>
      </c>
      <c r="Q24" s="43">
        <v>49559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N24+Sheet12!O25</f>
        <v>314718.12000000005</v>
      </c>
      <c r="P25" s="151" t="s">
        <v>205</v>
      </c>
      <c r="Q25" s="86">
        <v>54385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51000</v>
      </c>
      <c r="P26" s="239" t="s">
        <v>204</v>
      </c>
      <c r="Q26" s="68">
        <f ca="1">Q24+Sheet12!Q26</f>
        <v>458806.42000000004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55.5</v>
      </c>
      <c r="M27" s="55"/>
      <c r="N27" s="87">
        <f>N22/L27</f>
        <v>677.54954954954951</v>
      </c>
      <c r="O27" s="80" t="s">
        <v>71</v>
      </c>
      <c r="P27" s="68"/>
      <c r="Q27" s="64" t="s">
        <v>403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4" sqref="J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411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23</v>
      </c>
      <c r="E4" s="22">
        <v>24</v>
      </c>
      <c r="F4" s="22">
        <v>30</v>
      </c>
      <c r="G4" s="22">
        <v>35</v>
      </c>
      <c r="H4" s="22">
        <v>38</v>
      </c>
      <c r="I4" s="22">
        <v>30</v>
      </c>
      <c r="J4" s="22">
        <v>19</v>
      </c>
      <c r="K4" s="22">
        <v>118</v>
      </c>
      <c r="L4" s="22">
        <v>81</v>
      </c>
      <c r="M4" s="90">
        <f t="shared" ref="M4" si="0">K4+L4</f>
        <v>199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3</v>
      </c>
      <c r="J5" s="22"/>
      <c r="K5" s="22">
        <v>6</v>
      </c>
      <c r="L5" s="22">
        <v>0</v>
      </c>
      <c r="M5" s="90">
        <f t="shared" ref="M5" si="1">K5+L5</f>
        <v>6</v>
      </c>
      <c r="N5" s="101" t="s">
        <v>240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>
        <v>3</v>
      </c>
      <c r="F6" s="22"/>
      <c r="G6" s="22">
        <v>4</v>
      </c>
      <c r="H6" s="22">
        <v>2</v>
      </c>
      <c r="I6" s="22">
        <v>3</v>
      </c>
      <c r="J6" s="22"/>
      <c r="K6" s="22">
        <v>12</v>
      </c>
      <c r="L6" s="22">
        <v>0</v>
      </c>
      <c r="M6" s="90">
        <f t="shared" ref="M6:M7" si="2">K6+L6</f>
        <v>12</v>
      </c>
      <c r="N6" s="101" t="s">
        <v>214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>
        <v>1</v>
      </c>
      <c r="G7" s="22"/>
      <c r="H7" s="22">
        <v>1</v>
      </c>
      <c r="I7" s="22"/>
      <c r="J7" s="22"/>
      <c r="K7" s="22">
        <v>7</v>
      </c>
      <c r="L7" s="22">
        <v>0</v>
      </c>
      <c r="M7" s="90">
        <f t="shared" si="2"/>
        <v>7</v>
      </c>
      <c r="N7" s="101" t="s">
        <v>214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24</v>
      </c>
      <c r="E9" s="22">
        <v>30</v>
      </c>
      <c r="F9" s="22">
        <v>44</v>
      </c>
      <c r="G9" s="22">
        <v>20</v>
      </c>
      <c r="H9" s="22">
        <v>37</v>
      </c>
      <c r="I9" s="22">
        <v>40</v>
      </c>
      <c r="J9" s="22">
        <v>30</v>
      </c>
      <c r="K9" s="22">
        <v>145</v>
      </c>
      <c r="L9" s="22">
        <v>80</v>
      </c>
      <c r="M9" s="90">
        <f t="shared" ref="M9:M12" si="3">K9+L9</f>
        <v>225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6</v>
      </c>
      <c r="G10" s="22"/>
      <c r="H10" s="22">
        <v>2</v>
      </c>
      <c r="I10" s="22">
        <v>3</v>
      </c>
      <c r="J10" s="22"/>
      <c r="K10" s="22">
        <v>31</v>
      </c>
      <c r="L10" s="22">
        <v>0</v>
      </c>
      <c r="M10" s="90">
        <f t="shared" si="3"/>
        <v>31</v>
      </c>
      <c r="N10" s="81" t="s">
        <v>146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13</v>
      </c>
      <c r="F11" s="22">
        <v>4</v>
      </c>
      <c r="G11" s="22">
        <v>7</v>
      </c>
      <c r="H11" s="22">
        <v>8</v>
      </c>
      <c r="I11" s="22">
        <v>6</v>
      </c>
      <c r="J11" s="22">
        <v>6</v>
      </c>
      <c r="K11" s="22">
        <v>45</v>
      </c>
      <c r="L11" s="22">
        <v>5</v>
      </c>
      <c r="M11" s="90">
        <f t="shared" si="3"/>
        <v>50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>
        <v>7</v>
      </c>
      <c r="G12" s="22">
        <v>2</v>
      </c>
      <c r="H12" s="22"/>
      <c r="I12" s="22">
        <v>1</v>
      </c>
      <c r="J12" s="22"/>
      <c r="K12" s="22">
        <v>5</v>
      </c>
      <c r="L12" s="22">
        <v>0</v>
      </c>
      <c r="M12" s="90">
        <f t="shared" si="3"/>
        <v>5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30</v>
      </c>
      <c r="F14" s="22">
        <v>20</v>
      </c>
      <c r="G14" s="22">
        <v>18</v>
      </c>
      <c r="H14" s="22">
        <v>24</v>
      </c>
      <c r="I14" s="22">
        <v>25</v>
      </c>
      <c r="J14" s="22">
        <v>20</v>
      </c>
      <c r="K14" s="22">
        <v>115</v>
      </c>
      <c r="L14" s="22">
        <v>52</v>
      </c>
      <c r="M14" s="90">
        <f t="shared" ref="M14:M17" si="4">K14+L14</f>
        <v>167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4"/>
        <v>0</v>
      </c>
      <c r="N15" s="100" t="s">
        <v>55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>
        <v>3</v>
      </c>
      <c r="F16" s="22">
        <v>10</v>
      </c>
      <c r="G16" s="22">
        <v>6</v>
      </c>
      <c r="H16" s="22">
        <v>3</v>
      </c>
      <c r="I16" s="22"/>
      <c r="J16" s="22"/>
      <c r="K16" s="22">
        <v>18</v>
      </c>
      <c r="L16" s="22">
        <v>5</v>
      </c>
      <c r="M16" s="90">
        <f t="shared" si="4"/>
        <v>23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3</v>
      </c>
      <c r="F17" s="22"/>
      <c r="G17" s="22"/>
      <c r="H17" s="22"/>
      <c r="I17" s="22"/>
      <c r="J17" s="22"/>
      <c r="K17" s="22">
        <v>6</v>
      </c>
      <c r="L17" s="22">
        <v>0</v>
      </c>
      <c r="M17" s="90">
        <f t="shared" si="4"/>
        <v>6</v>
      </c>
      <c r="N17" s="100"/>
      <c r="O17" s="285" t="s">
        <v>421</v>
      </c>
      <c r="P17" s="81"/>
      <c r="Q17" s="36" t="s">
        <v>222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591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37</v>
      </c>
      <c r="O19" s="68" t="s">
        <v>412</v>
      </c>
      <c r="P19" s="46" t="s">
        <v>220</v>
      </c>
      <c r="Q19" s="64" t="s">
        <v>413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85</v>
      </c>
      <c r="O20" s="76" t="s">
        <v>62</v>
      </c>
      <c r="P20" s="74" t="s">
        <v>245</v>
      </c>
      <c r="Q20" s="64" t="s">
        <v>414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 t="shared" ref="D21:D23" si="5">C21-B21</f>
        <v>0.29513888888888573</v>
      </c>
      <c r="E21" s="65">
        <v>206.58333333333334</v>
      </c>
      <c r="F21" s="65">
        <v>206.875</v>
      </c>
      <c r="G21" s="65">
        <f t="shared" ref="G21:G22" si="6">F21-E21</f>
        <v>0.29166666666665719</v>
      </c>
      <c r="H21" s="65">
        <v>206.88888888888889</v>
      </c>
      <c r="I21" s="65">
        <v>207.16666666666666</v>
      </c>
      <c r="J21" s="70">
        <f>I21-H21-K21</f>
        <v>0.27777777777777146</v>
      </c>
      <c r="K21" s="65"/>
      <c r="L21" s="72">
        <f>D21+G21+J21</f>
        <v>0.86458333333331439</v>
      </c>
      <c r="M21" s="151" t="s">
        <v>47</v>
      </c>
      <c r="N21" s="64">
        <f>M17+M12+M7</f>
        <v>18</v>
      </c>
      <c r="O21" s="77" t="s">
        <v>66</v>
      </c>
      <c r="P21" s="74" t="s">
        <v>415</v>
      </c>
      <c r="Q21" s="64" t="s">
        <v>416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 t="shared" ref="D22" si="7">C22-B22</f>
        <v>0.25</v>
      </c>
      <c r="E22" s="65">
        <v>206.58680555555554</v>
      </c>
      <c r="F22" s="65">
        <v>206.875</v>
      </c>
      <c r="G22" s="65">
        <f t="shared" si="6"/>
        <v>0.28819444444445708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0.82986111111114269</v>
      </c>
      <c r="M22" s="240" t="s">
        <v>207</v>
      </c>
      <c r="N22" s="64">
        <v>34870</v>
      </c>
      <c r="O22" s="79" t="s">
        <v>63</v>
      </c>
      <c r="P22" s="74" t="s">
        <v>417</v>
      </c>
      <c r="Q22" s="64" t="s">
        <v>418</v>
      </c>
    </row>
    <row r="23" spans="1:20" ht="27" customHeight="1" x14ac:dyDescent="0.25">
      <c r="A23" s="154" t="s">
        <v>50</v>
      </c>
      <c r="B23" s="65">
        <v>206.27083333333334</v>
      </c>
      <c r="C23" s="65">
        <v>206.54166666666666</v>
      </c>
      <c r="D23" s="65">
        <f t="shared" si="5"/>
        <v>0.27083333333331439</v>
      </c>
      <c r="E23" s="65">
        <v>206.61805555555554</v>
      </c>
      <c r="F23" s="65">
        <v>206.875</v>
      </c>
      <c r="G23" s="65">
        <f t="shared" ref="G23" si="8">F23-E23</f>
        <v>0.25694444444445708</v>
      </c>
      <c r="H23" s="65">
        <v>206.9375</v>
      </c>
      <c r="I23" s="65">
        <v>207.20833333333334</v>
      </c>
      <c r="J23" s="70">
        <f>I23-H23-K23</f>
        <v>0.27083333333334281</v>
      </c>
      <c r="K23" s="152"/>
      <c r="L23" s="153">
        <f>D23+G23+J23</f>
        <v>0.79861111111111427</v>
      </c>
      <c r="M23" s="151" t="s">
        <v>61</v>
      </c>
      <c r="N23" s="84">
        <v>10</v>
      </c>
      <c r="O23" s="85" t="s">
        <v>64</v>
      </c>
      <c r="P23" s="74" t="s">
        <v>419</v>
      </c>
      <c r="Q23" s="64" t="s">
        <v>420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0.81597222222220012</v>
      </c>
      <c r="E24" s="67"/>
      <c r="F24" s="67"/>
      <c r="G24" s="65">
        <f>SUM(G21:G23)</f>
        <v>0.83680555555557135</v>
      </c>
      <c r="H24" s="67"/>
      <c r="I24" s="67"/>
      <c r="J24" s="70">
        <f>SUM(J21:J23)</f>
        <v>0.84027777777779988</v>
      </c>
      <c r="K24" s="74"/>
      <c r="L24" s="82">
        <f>SUM(L21:L23)</f>
        <v>2.4930555555555713</v>
      </c>
      <c r="M24" s="156" t="s">
        <v>206</v>
      </c>
      <c r="N24" s="64">
        <v>37881.660000000003</v>
      </c>
      <c r="P24" s="238" t="s">
        <v>203</v>
      </c>
      <c r="Q24" s="43">
        <v>54894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N24+Sheet13!O25</f>
        <v>352599.78</v>
      </c>
      <c r="P25" s="151" t="s">
        <v>205</v>
      </c>
      <c r="Q25" s="86">
        <v>50933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f ca="1">Q24+Sheet13!Q26</f>
        <v>500961.05000000005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59.5</v>
      </c>
      <c r="M27" s="55"/>
      <c r="N27" s="87">
        <f>N22/L27</f>
        <v>586.05042016806726</v>
      </c>
      <c r="O27" s="80" t="s">
        <v>71</v>
      </c>
      <c r="P27" s="68"/>
      <c r="Q27" s="64" t="s">
        <v>218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8" workbookViewId="0">
      <selection activeCell="L21" sqref="L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427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39</v>
      </c>
      <c r="F4" s="22">
        <v>40</v>
      </c>
      <c r="G4" s="22">
        <v>30</v>
      </c>
      <c r="H4" s="22">
        <v>25</v>
      </c>
      <c r="I4" s="22">
        <v>22</v>
      </c>
      <c r="J4" s="22">
        <v>13</v>
      </c>
      <c r="K4" s="22">
        <v>130</v>
      </c>
      <c r="L4" s="22">
        <v>74</v>
      </c>
      <c r="M4" s="90">
        <f t="shared" ref="M4" si="0">K4+L4</f>
        <v>204</v>
      </c>
      <c r="N4" s="101"/>
      <c r="O4" s="92" t="s">
        <v>85</v>
      </c>
      <c r="P4" s="237" t="s">
        <v>86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ref="M5" si="1">K5+L5</f>
        <v>0</v>
      </c>
      <c r="N5" s="101"/>
      <c r="O5" s="65">
        <v>206.40277777777777</v>
      </c>
      <c r="P5" s="65">
        <v>206.65277777777777</v>
      </c>
      <c r="Q5" s="65" t="s">
        <v>441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9</v>
      </c>
      <c r="E6" s="22">
        <v>10</v>
      </c>
      <c r="F6" s="22">
        <v>8</v>
      </c>
      <c r="G6" s="22"/>
      <c r="H6" s="22">
        <v>1</v>
      </c>
      <c r="I6" s="22">
        <v>2</v>
      </c>
      <c r="J6" s="22"/>
      <c r="K6" s="22">
        <v>30</v>
      </c>
      <c r="L6" s="22">
        <v>0</v>
      </c>
      <c r="M6" s="90">
        <f t="shared" ref="M6:M7" si="2">K6+L6</f>
        <v>30</v>
      </c>
      <c r="N6" s="101"/>
      <c r="O6" s="93"/>
      <c r="P6" s="64"/>
      <c r="Q6" s="319"/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>
        <v>4</v>
      </c>
      <c r="G7" s="22"/>
      <c r="H7" s="22">
        <v>3</v>
      </c>
      <c r="I7" s="22">
        <v>2</v>
      </c>
      <c r="J7" s="22"/>
      <c r="K7" s="22">
        <v>11</v>
      </c>
      <c r="L7" s="22">
        <v>0</v>
      </c>
      <c r="M7" s="90">
        <f t="shared" si="2"/>
        <v>11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230"/>
    </row>
    <row r="9" spans="1:21" ht="12" customHeight="1" x14ac:dyDescent="0.25">
      <c r="A9" s="33"/>
      <c r="B9" s="34" t="s">
        <v>14</v>
      </c>
      <c r="C9" s="22"/>
      <c r="D9" s="22">
        <v>29</v>
      </c>
      <c r="E9" s="22">
        <v>32</v>
      </c>
      <c r="F9" s="22">
        <v>28</v>
      </c>
      <c r="G9" s="22">
        <v>27</v>
      </c>
      <c r="H9" s="22">
        <v>5</v>
      </c>
      <c r="I9" s="22">
        <v>16</v>
      </c>
      <c r="J9" s="22">
        <v>20</v>
      </c>
      <c r="K9" s="22">
        <v>102</v>
      </c>
      <c r="L9" s="22">
        <v>55</v>
      </c>
      <c r="M9" s="90">
        <f t="shared" ref="M9:M12" si="3">K9+L9</f>
        <v>157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2</v>
      </c>
      <c r="G10" s="22">
        <v>4</v>
      </c>
      <c r="H10" s="22"/>
      <c r="I10" s="22">
        <v>2</v>
      </c>
      <c r="J10" s="22">
        <v>2</v>
      </c>
      <c r="K10" s="22">
        <v>12</v>
      </c>
      <c r="L10" s="22">
        <v>0</v>
      </c>
      <c r="M10" s="90">
        <f t="shared" si="3"/>
        <v>12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>
        <v>4</v>
      </c>
      <c r="F11" s="22"/>
      <c r="G11" s="22">
        <v>6</v>
      </c>
      <c r="H11" s="22"/>
      <c r="I11" s="22"/>
      <c r="J11" s="22"/>
      <c r="K11" s="22">
        <v>5</v>
      </c>
      <c r="L11" s="22">
        <v>5</v>
      </c>
      <c r="M11" s="90">
        <f t="shared" si="3"/>
        <v>10</v>
      </c>
      <c r="N11" s="65" t="s">
        <v>13</v>
      </c>
      <c r="O11" s="65">
        <v>206.95833333333334</v>
      </c>
      <c r="P11" s="65">
        <v>206.13888888888889</v>
      </c>
      <c r="Q11" s="33" t="s">
        <v>437</v>
      </c>
    </row>
    <row r="12" spans="1:21" ht="13.5" customHeight="1" x14ac:dyDescent="0.25">
      <c r="A12" s="36"/>
      <c r="B12" s="34" t="s">
        <v>19</v>
      </c>
      <c r="C12" s="22"/>
      <c r="D12" s="22">
        <v>5</v>
      </c>
      <c r="E12" s="22">
        <v>6</v>
      </c>
      <c r="F12" s="22">
        <v>2</v>
      </c>
      <c r="G12" s="22">
        <v>2</v>
      </c>
      <c r="H12" s="22">
        <v>30</v>
      </c>
      <c r="I12" s="22">
        <v>18</v>
      </c>
      <c r="J12" s="22">
        <v>6</v>
      </c>
      <c r="K12" s="22">
        <v>62</v>
      </c>
      <c r="L12" s="22">
        <v>7</v>
      </c>
      <c r="M12" s="90">
        <f t="shared" si="3"/>
        <v>69</v>
      </c>
      <c r="N12" s="81"/>
      <c r="O12" s="81"/>
      <c r="P12" s="81"/>
      <c r="Q12" s="36" t="s">
        <v>438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20</v>
      </c>
      <c r="E14" s="22">
        <v>22</v>
      </c>
      <c r="F14" s="22">
        <v>23</v>
      </c>
      <c r="G14" s="22">
        <v>22</v>
      </c>
      <c r="H14" s="22">
        <v>20</v>
      </c>
      <c r="I14" s="22">
        <v>20</v>
      </c>
      <c r="J14" s="22">
        <v>18</v>
      </c>
      <c r="K14" s="22">
        <v>95</v>
      </c>
      <c r="L14" s="22">
        <v>70</v>
      </c>
      <c r="M14" s="90">
        <f t="shared" ref="M14:M17" si="4">K14+L14</f>
        <v>165</v>
      </c>
      <c r="N14" s="100"/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4"/>
        <v>0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5</v>
      </c>
      <c r="E16" s="22">
        <v>4</v>
      </c>
      <c r="F16" s="22"/>
      <c r="G16" s="22">
        <v>6</v>
      </c>
      <c r="H16" s="22"/>
      <c r="I16" s="22">
        <v>5</v>
      </c>
      <c r="J16" s="22"/>
      <c r="K16" s="22">
        <v>15</v>
      </c>
      <c r="L16" s="22">
        <v>5</v>
      </c>
      <c r="M16" s="90">
        <f t="shared" si="4"/>
        <v>20</v>
      </c>
      <c r="N16" s="100"/>
      <c r="O16" s="100"/>
      <c r="P16" s="81"/>
      <c r="Q16" s="37"/>
    </row>
    <row r="17" spans="1:20" ht="30" customHeight="1" x14ac:dyDescent="0.25">
      <c r="A17" s="37"/>
      <c r="B17" s="21" t="s">
        <v>19</v>
      </c>
      <c r="C17" s="22"/>
      <c r="D17" s="22"/>
      <c r="E17" s="22"/>
      <c r="F17" s="22">
        <v>8</v>
      </c>
      <c r="G17" s="22">
        <v>7</v>
      </c>
      <c r="H17" s="22">
        <v>12</v>
      </c>
      <c r="I17" s="22"/>
      <c r="J17" s="22"/>
      <c r="K17" s="22">
        <v>25</v>
      </c>
      <c r="L17" s="22">
        <v>3</v>
      </c>
      <c r="M17" s="90">
        <f t="shared" si="4"/>
        <v>28</v>
      </c>
      <c r="N17" s="100"/>
      <c r="O17" s="174" t="s">
        <v>145</v>
      </c>
      <c r="P17" s="65" t="s">
        <v>439</v>
      </c>
      <c r="Q17" s="156" t="s">
        <v>440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526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12</v>
      </c>
      <c r="O19" s="68">
        <v>941</v>
      </c>
      <c r="P19" s="46" t="s">
        <v>200</v>
      </c>
      <c r="Q19" s="64" t="s">
        <v>428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60</v>
      </c>
      <c r="O20" s="76" t="s">
        <v>62</v>
      </c>
      <c r="P20" s="74" t="s">
        <v>429</v>
      </c>
      <c r="Q20" s="64" t="s">
        <v>430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 t="shared" ref="D21:D23" si="5">C21-B21</f>
        <v>0.29513888888888573</v>
      </c>
      <c r="E21" s="65">
        <v>206.66666666666666</v>
      </c>
      <c r="F21" s="65">
        <v>206.875</v>
      </c>
      <c r="G21" s="65">
        <f t="shared" ref="G21:G23" si="6">F21-E21</f>
        <v>0.20833333333334281</v>
      </c>
      <c r="H21" s="65">
        <v>206.875</v>
      </c>
      <c r="I21" s="65">
        <v>207.16666666666666</v>
      </c>
      <c r="J21" s="70">
        <f>I21-H21-K21</f>
        <v>0.29166666666665719</v>
      </c>
      <c r="K21" s="65"/>
      <c r="L21" s="72">
        <f>D21+G21+J21</f>
        <v>0.79513888888888573</v>
      </c>
      <c r="M21" s="151" t="s">
        <v>47</v>
      </c>
      <c r="N21" s="64">
        <f>M17+M12+M7</f>
        <v>108</v>
      </c>
      <c r="O21" s="77" t="s">
        <v>66</v>
      </c>
      <c r="P21" s="74" t="s">
        <v>431</v>
      </c>
      <c r="Q21" s="64" t="s">
        <v>432</v>
      </c>
    </row>
    <row r="22" spans="1:20" ht="27" customHeight="1" x14ac:dyDescent="0.25">
      <c r="A22" s="16" t="s">
        <v>48</v>
      </c>
      <c r="B22" s="65">
        <v>206.26388888888889</v>
      </c>
      <c r="C22" s="65">
        <v>206.40277777777777</v>
      </c>
      <c r="D22" s="65">
        <f t="shared" si="5"/>
        <v>0.13888888888888573</v>
      </c>
      <c r="E22" s="65">
        <v>206.6875</v>
      </c>
      <c r="F22" s="65">
        <v>206.875</v>
      </c>
      <c r="G22" s="65">
        <f t="shared" si="6"/>
        <v>0.1875</v>
      </c>
      <c r="H22" s="65">
        <v>206.875</v>
      </c>
      <c r="I22" s="65">
        <v>207.02083333333334</v>
      </c>
      <c r="J22" s="70">
        <f>I22-H22-K22</f>
        <v>0.14583333333334281</v>
      </c>
      <c r="K22" s="74"/>
      <c r="L22" s="72">
        <f>D22+G22+J22</f>
        <v>0.47222222222222854</v>
      </c>
      <c r="M22" s="240" t="s">
        <v>207</v>
      </c>
      <c r="N22" s="64">
        <v>30541</v>
      </c>
      <c r="O22" s="79" t="s">
        <v>63</v>
      </c>
      <c r="P22" s="74" t="s">
        <v>433</v>
      </c>
      <c r="Q22" s="64" t="s">
        <v>434</v>
      </c>
    </row>
    <row r="23" spans="1:20" ht="27" customHeight="1" x14ac:dyDescent="0.25">
      <c r="A23" s="154" t="s">
        <v>50</v>
      </c>
      <c r="B23" s="65">
        <v>206.29166666666666</v>
      </c>
      <c r="C23" s="65">
        <v>206.54166666666666</v>
      </c>
      <c r="D23" s="65">
        <f t="shared" si="5"/>
        <v>0.25</v>
      </c>
      <c r="E23" s="65">
        <v>206.61111111111111</v>
      </c>
      <c r="F23" s="65">
        <v>206.875</v>
      </c>
      <c r="G23" s="65">
        <f t="shared" si="6"/>
        <v>0.26388888888888573</v>
      </c>
      <c r="H23" s="65">
        <v>206.92361111111111</v>
      </c>
      <c r="I23" s="65">
        <v>207.20833333333334</v>
      </c>
      <c r="J23" s="70">
        <f>I23-H23-K23</f>
        <v>0.28472222222222854</v>
      </c>
      <c r="K23" s="152"/>
      <c r="L23" s="153">
        <f>D23+G23+J23</f>
        <v>0.79861111111111427</v>
      </c>
      <c r="M23" s="151" t="s">
        <v>61</v>
      </c>
      <c r="N23" s="84">
        <v>9</v>
      </c>
      <c r="O23" s="85" t="s">
        <v>64</v>
      </c>
      <c r="P23" s="74" t="s">
        <v>435</v>
      </c>
      <c r="Q23" s="64" t="s">
        <v>436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0.68402777777777146</v>
      </c>
      <c r="E24" s="67"/>
      <c r="F24" s="67"/>
      <c r="G24" s="65">
        <f>SUM(G21:G23)</f>
        <v>0.65972222222222854</v>
      </c>
      <c r="H24" s="67"/>
      <c r="I24" s="67"/>
      <c r="J24" s="70">
        <f>SUM(J21:J23)</f>
        <v>0.72222222222222854</v>
      </c>
      <c r="K24" s="74"/>
      <c r="L24" s="82">
        <f>SUM(L21:L23)</f>
        <v>2.0659722222222285</v>
      </c>
      <c r="M24" s="156" t="s">
        <v>206</v>
      </c>
      <c r="N24" s="64">
        <v>34224.720000000001</v>
      </c>
      <c r="P24" s="238" t="s">
        <v>203</v>
      </c>
      <c r="Q24" s="43">
        <v>53856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N24+Sheet14!O25</f>
        <v>386824.5</v>
      </c>
      <c r="P25" s="151" t="s">
        <v>205</v>
      </c>
      <c r="Q25" s="86">
        <v>49177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f ca="1">Q24+Sheet14!Q26</f>
        <v>547265.29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49.35</v>
      </c>
      <c r="M27" s="55"/>
      <c r="N27" s="87">
        <f>N22/L27</f>
        <v>618.86524822695037</v>
      </c>
      <c r="O27" s="80" t="s">
        <v>71</v>
      </c>
      <c r="P27" s="68"/>
      <c r="Q27" s="64" t="s">
        <v>323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3" workbookViewId="0">
      <selection activeCell="G25" sqref="G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40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448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37</v>
      </c>
      <c r="F4" s="22">
        <v>32</v>
      </c>
      <c r="G4" s="22">
        <v>30</v>
      </c>
      <c r="H4" s="22">
        <v>35</v>
      </c>
      <c r="I4" s="22">
        <v>0</v>
      </c>
      <c r="J4" s="22">
        <v>35</v>
      </c>
      <c r="K4" s="22">
        <v>124</v>
      </c>
      <c r="L4" s="22">
        <v>90</v>
      </c>
      <c r="M4" s="90">
        <f t="shared" ref="M4:M7" si="0">K4+L4</f>
        <v>214</v>
      </c>
      <c r="N4" s="243" t="s">
        <v>146</v>
      </c>
      <c r="O4" s="243"/>
      <c r="P4" s="237" t="s">
        <v>86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2</v>
      </c>
      <c r="L5" s="22">
        <v>0</v>
      </c>
      <c r="M5" s="90">
        <f t="shared" si="0"/>
        <v>2</v>
      </c>
      <c r="N5" s="65" t="s">
        <v>55</v>
      </c>
      <c r="O5" s="65"/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2</v>
      </c>
      <c r="F6" s="22">
        <v>1</v>
      </c>
      <c r="G6" s="22">
        <v>2</v>
      </c>
      <c r="H6" s="22">
        <v>5</v>
      </c>
      <c r="I6" s="22">
        <v>2</v>
      </c>
      <c r="J6" s="22">
        <v>4</v>
      </c>
      <c r="K6" s="22">
        <v>16</v>
      </c>
      <c r="L6" s="22">
        <v>2</v>
      </c>
      <c r="M6" s="90">
        <f t="shared" si="0"/>
        <v>18</v>
      </c>
      <c r="N6" s="101" t="s">
        <v>449</v>
      </c>
      <c r="O6" s="101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>
        <v>4</v>
      </c>
      <c r="F7" s="22">
        <v>4</v>
      </c>
      <c r="G7" s="22">
        <v>5</v>
      </c>
      <c r="H7" s="22">
        <v>2</v>
      </c>
      <c r="I7" s="22">
        <v>1</v>
      </c>
      <c r="J7" s="22">
        <v>2</v>
      </c>
      <c r="K7" s="22">
        <v>20</v>
      </c>
      <c r="L7" s="22">
        <v>0</v>
      </c>
      <c r="M7" s="90">
        <f t="shared" si="0"/>
        <v>20</v>
      </c>
      <c r="N7" s="243" t="s">
        <v>214</v>
      </c>
      <c r="O7" s="243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25</v>
      </c>
      <c r="E9" s="22">
        <v>35</v>
      </c>
      <c r="F9" s="22">
        <v>35</v>
      </c>
      <c r="G9" s="22">
        <v>19</v>
      </c>
      <c r="H9" s="22">
        <v>14</v>
      </c>
      <c r="I9" s="22">
        <v>42</v>
      </c>
      <c r="J9" s="22">
        <v>30</v>
      </c>
      <c r="K9" s="22">
        <v>155</v>
      </c>
      <c r="L9" s="22">
        <v>45</v>
      </c>
      <c r="M9" s="90">
        <f t="shared" ref="M9:M10" si="1">K9+L9</f>
        <v>200</v>
      </c>
      <c r="N9" s="81" t="s">
        <v>146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1</v>
      </c>
      <c r="E10" s="22"/>
      <c r="F10" s="22"/>
      <c r="G10" s="22"/>
      <c r="H10" s="22"/>
      <c r="I10" s="22"/>
      <c r="J10" s="22"/>
      <c r="K10" s="22">
        <v>1</v>
      </c>
      <c r="L10" s="22">
        <v>0</v>
      </c>
      <c r="M10" s="90">
        <f t="shared" si="1"/>
        <v>1</v>
      </c>
      <c r="N10" s="81" t="s">
        <v>214</v>
      </c>
      <c r="O10" s="311" t="s">
        <v>117</v>
      </c>
      <c r="P10" s="312"/>
      <c r="Q10" s="43" t="s">
        <v>70</v>
      </c>
      <c r="U10" s="1" t="s">
        <v>13</v>
      </c>
    </row>
    <row r="11" spans="1:21" ht="44.25" customHeight="1" x14ac:dyDescent="0.25">
      <c r="A11" s="35" t="s">
        <v>28</v>
      </c>
      <c r="B11" s="34" t="s">
        <v>18</v>
      </c>
      <c r="C11" s="22"/>
      <c r="D11" s="22">
        <v>2</v>
      </c>
      <c r="E11" s="22">
        <v>3</v>
      </c>
      <c r="F11" s="22">
        <v>5</v>
      </c>
      <c r="G11" s="22"/>
      <c r="H11" s="22"/>
      <c r="I11" s="22"/>
      <c r="J11" s="22"/>
      <c r="K11" s="22">
        <v>5</v>
      </c>
      <c r="L11" s="22">
        <v>5</v>
      </c>
      <c r="M11" s="90">
        <v>10</v>
      </c>
      <c r="N11" s="81" t="s">
        <v>146</v>
      </c>
      <c r="O11" s="225"/>
      <c r="P11" s="81"/>
      <c r="Q11" s="292" t="s">
        <v>457</v>
      </c>
    </row>
    <row r="12" spans="1:21" ht="24.75" customHeight="1" x14ac:dyDescent="0.25">
      <c r="A12" s="36"/>
      <c r="B12" s="34" t="s">
        <v>19</v>
      </c>
      <c r="C12" s="22"/>
      <c r="D12" s="22">
        <v>4</v>
      </c>
      <c r="E12" s="22">
        <v>3</v>
      </c>
      <c r="F12" s="22">
        <v>5</v>
      </c>
      <c r="G12" s="22">
        <v>10</v>
      </c>
      <c r="H12" s="22"/>
      <c r="I12" s="22">
        <v>6</v>
      </c>
      <c r="J12" s="22"/>
      <c r="K12" s="22">
        <v>20</v>
      </c>
      <c r="L12" s="22">
        <v>8</v>
      </c>
      <c r="M12" s="90">
        <v>28</v>
      </c>
      <c r="N12" s="81" t="s">
        <v>55</v>
      </c>
      <c r="O12" s="81"/>
      <c r="P12" s="81"/>
      <c r="Q12" s="230" t="s">
        <v>458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35</v>
      </c>
      <c r="G14" s="22">
        <v>37</v>
      </c>
      <c r="H14" s="22">
        <v>35</v>
      </c>
      <c r="I14" s="22">
        <v>34</v>
      </c>
      <c r="J14" s="22">
        <v>30</v>
      </c>
      <c r="K14" s="22">
        <v>145</v>
      </c>
      <c r="L14" s="22">
        <v>96</v>
      </c>
      <c r="M14" s="90">
        <f t="shared" ref="M14" si="2">K14+L14</f>
        <v>241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0"/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8</v>
      </c>
      <c r="E16" s="22">
        <v>4</v>
      </c>
      <c r="F16" s="22">
        <v>5</v>
      </c>
      <c r="G16" s="22"/>
      <c r="H16" s="22">
        <v>8</v>
      </c>
      <c r="I16" s="22">
        <v>5</v>
      </c>
      <c r="J16" s="22"/>
      <c r="K16" s="22">
        <v>15</v>
      </c>
      <c r="L16" s="22">
        <v>15</v>
      </c>
      <c r="M16" s="90">
        <f t="shared" ref="M16:M17" si="3">K16+L16</f>
        <v>30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0">
        <f t="shared" si="3"/>
        <v>0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655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v>34</v>
      </c>
      <c r="O19" s="68">
        <v>1692.25</v>
      </c>
      <c r="P19" s="46" t="s">
        <v>220</v>
      </c>
      <c r="Q19" s="64" t="s">
        <v>451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v>28</v>
      </c>
      <c r="O20" s="76" t="s">
        <v>62</v>
      </c>
      <c r="P20" s="74" t="s">
        <v>250</v>
      </c>
      <c r="Q20" s="64" t="s">
        <v>452</v>
      </c>
    </row>
    <row r="21" spans="1:20" ht="25.5" customHeight="1" x14ac:dyDescent="0.25">
      <c r="A21" s="16" t="s">
        <v>46</v>
      </c>
      <c r="B21" s="65">
        <v>206.25</v>
      </c>
      <c r="C21" s="65">
        <v>206.5</v>
      </c>
      <c r="D21" s="65">
        <f t="shared" ref="D21:D23" si="4">C21-B21</f>
        <v>0.25</v>
      </c>
      <c r="E21" s="65">
        <v>206.66666666666666</v>
      </c>
      <c r="F21" s="65">
        <v>206.875</v>
      </c>
      <c r="G21" s="65">
        <f>F21-E21</f>
        <v>0.20833333333334281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0.75694444444445708</v>
      </c>
      <c r="M21" s="151" t="s">
        <v>47</v>
      </c>
      <c r="N21" s="64">
        <v>78</v>
      </c>
      <c r="O21" s="77" t="s">
        <v>66</v>
      </c>
      <c r="P21" s="74" t="s">
        <v>450</v>
      </c>
      <c r="Q21" s="64" t="s">
        <v>453</v>
      </c>
    </row>
    <row r="22" spans="1:20" ht="27" customHeight="1" x14ac:dyDescent="0.25">
      <c r="A22" s="16" t="s">
        <v>48</v>
      </c>
      <c r="B22" s="65">
        <v>206.25</v>
      </c>
      <c r="C22" s="65">
        <v>206.41666666666666</v>
      </c>
      <c r="D22" s="65">
        <f t="shared" si="4"/>
        <v>0.16666666666665719</v>
      </c>
      <c r="E22" s="65">
        <v>206.625</v>
      </c>
      <c r="F22" s="65">
        <v>206.88888888888889</v>
      </c>
      <c r="G22" s="65">
        <f>F22-E22</f>
        <v>0.26388888888888573</v>
      </c>
      <c r="H22" s="65">
        <v>206.91319444444446</v>
      </c>
      <c r="I22" s="65">
        <v>207.20833333333334</v>
      </c>
      <c r="J22" s="70">
        <f>I22-H22-K22</f>
        <v>0.29513888888888573</v>
      </c>
      <c r="K22" s="74"/>
      <c r="L22" s="72">
        <f>D22+G22+J22</f>
        <v>0.72569444444442865</v>
      </c>
      <c r="M22" s="240" t="s">
        <v>207</v>
      </c>
      <c r="N22" s="64">
        <v>35001.85</v>
      </c>
      <c r="O22" s="79" t="s">
        <v>63</v>
      </c>
      <c r="P22" s="74">
        <v>146</v>
      </c>
      <c r="Q22" s="64" t="s">
        <v>454</v>
      </c>
    </row>
    <row r="23" spans="1:20" ht="27" customHeight="1" x14ac:dyDescent="0.25">
      <c r="A23" s="154" t="s">
        <v>50</v>
      </c>
      <c r="B23" s="65">
        <v>206.25</v>
      </c>
      <c r="C23" s="65">
        <v>206.54166666666666</v>
      </c>
      <c r="D23" s="65">
        <f t="shared" si="4"/>
        <v>0.29166666666665719</v>
      </c>
      <c r="E23" s="65">
        <v>206.58333333333334</v>
      </c>
      <c r="F23" s="65">
        <v>206.875</v>
      </c>
      <c r="G23" s="65">
        <v>0.28472222222222221</v>
      </c>
      <c r="H23" s="65">
        <v>206.91319444444446</v>
      </c>
      <c r="I23" s="65">
        <v>207.20833333333334</v>
      </c>
      <c r="J23" s="70">
        <f>I23-H23-K23</f>
        <v>0.29513888888888573</v>
      </c>
      <c r="K23" s="152"/>
      <c r="L23" s="153">
        <f>D23+G23+J23</f>
        <v>0.87152777777776513</v>
      </c>
      <c r="M23" s="151" t="s">
        <v>61</v>
      </c>
      <c r="N23" s="84">
        <v>9</v>
      </c>
      <c r="O23" s="85" t="s">
        <v>64</v>
      </c>
      <c r="P23" s="75">
        <v>5</v>
      </c>
      <c r="Q23" s="64">
        <v>177.55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0.70833333333331439</v>
      </c>
      <c r="E24" s="67"/>
      <c r="F24" s="67"/>
      <c r="G24" s="65">
        <f>SUM(G21:G23)</f>
        <v>0.75694444444445075</v>
      </c>
      <c r="H24" s="67"/>
      <c r="I24" s="67"/>
      <c r="J24" s="70">
        <v>0.89236111111111116</v>
      </c>
      <c r="K24" s="74"/>
      <c r="L24" s="82">
        <f>SUM(L21:L23)</f>
        <v>2.354166666666651</v>
      </c>
      <c r="M24" s="156" t="s">
        <v>206</v>
      </c>
      <c r="N24" s="64">
        <v>34063.379999999997</v>
      </c>
      <c r="P24" s="238" t="s">
        <v>203</v>
      </c>
      <c r="Q24" s="43">
        <v>46503.27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N24+Sheet15!O25</f>
        <v>420887.88</v>
      </c>
      <c r="P25" s="151" t="s">
        <v>205</v>
      </c>
      <c r="Q25" s="86">
        <v>48834.79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v>45060.52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</v>
      </c>
      <c r="M27" s="55"/>
      <c r="N27" s="87">
        <f>N22/L27</f>
        <v>621.70248667850797</v>
      </c>
      <c r="O27" s="80" t="s">
        <v>71</v>
      </c>
      <c r="P27" s="68"/>
      <c r="Q27" s="64" t="s">
        <v>455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77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7.425781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485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28</v>
      </c>
      <c r="E4" s="22">
        <v>30</v>
      </c>
      <c r="F4" s="22">
        <v>27</v>
      </c>
      <c r="G4" s="22">
        <v>30</v>
      </c>
      <c r="H4" s="22">
        <v>26</v>
      </c>
      <c r="I4" s="22">
        <v>28</v>
      </c>
      <c r="J4" s="22">
        <v>33</v>
      </c>
      <c r="K4" s="22">
        <v>130</v>
      </c>
      <c r="L4" s="22">
        <v>72</v>
      </c>
      <c r="M4" s="90">
        <v>202</v>
      </c>
      <c r="N4" s="101" t="s">
        <v>460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0"/>
      <c r="N5" s="101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90"/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3</v>
      </c>
      <c r="F7" s="22">
        <v>4</v>
      </c>
      <c r="G7" s="22">
        <v>5</v>
      </c>
      <c r="H7" s="22">
        <v>2</v>
      </c>
      <c r="I7" s="22">
        <v>2</v>
      </c>
      <c r="J7" s="22"/>
      <c r="K7" s="22">
        <v>16</v>
      </c>
      <c r="L7" s="22">
        <v>2</v>
      </c>
      <c r="M7" s="90">
        <v>18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90">
        <v>210</v>
      </c>
      <c r="N9" s="81" t="s">
        <v>486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0">
        <v>8</v>
      </c>
      <c r="N10" s="81" t="s">
        <v>55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0">
        <v>40</v>
      </c>
      <c r="N11" s="81" t="s">
        <v>214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0">
        <v>6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0">
        <v>234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0">
        <v>8</v>
      </c>
      <c r="N15" s="100" t="s">
        <v>146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0">
        <v>47</v>
      </c>
      <c r="N16" s="100" t="s">
        <v>55</v>
      </c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0">
        <v>12</v>
      </c>
      <c r="N17" s="100"/>
      <c r="O17" s="244" t="s">
        <v>490</v>
      </c>
      <c r="P17" s="81"/>
      <c r="Q17" s="104" t="s">
        <v>222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646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v>36</v>
      </c>
      <c r="O19" s="68">
        <v>1823.98</v>
      </c>
      <c r="P19" s="46" t="s">
        <v>220</v>
      </c>
      <c r="Q19" s="64" t="s">
        <v>489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87</v>
      </c>
      <c r="O20" s="76" t="s">
        <v>62</v>
      </c>
      <c r="P20" s="74" t="s">
        <v>250</v>
      </c>
      <c r="Q20" s="64">
        <v>3750</v>
      </c>
    </row>
    <row r="21" spans="1:20" ht="25.5" customHeight="1" x14ac:dyDescent="0.25">
      <c r="A21" s="16" t="s">
        <v>46</v>
      </c>
      <c r="B21" s="65">
        <v>206.24652777777777</v>
      </c>
      <c r="C21" s="65">
        <v>206.4375</v>
      </c>
      <c r="D21" s="65">
        <f t="shared" ref="D21:D23" si="0">C21-B21</f>
        <v>0.19097222222222854</v>
      </c>
      <c r="E21" s="65">
        <v>206.58333333333334</v>
      </c>
      <c r="F21" s="65">
        <v>206.875</v>
      </c>
      <c r="G21" s="65">
        <f t="shared" ref="G21" si="1">F21-E21</f>
        <v>0.29166666666665719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0.77430555555557135</v>
      </c>
      <c r="M21" s="151" t="s">
        <v>47</v>
      </c>
      <c r="N21" s="64">
        <f>M17+M12+M7</f>
        <v>36</v>
      </c>
      <c r="O21" s="77" t="s">
        <v>66</v>
      </c>
      <c r="P21" s="74" t="s">
        <v>487</v>
      </c>
      <c r="Q21" s="64">
        <v>10020</v>
      </c>
    </row>
    <row r="22" spans="1:20" ht="27" customHeight="1" x14ac:dyDescent="0.25">
      <c r="A22" s="16" t="s">
        <v>48</v>
      </c>
      <c r="B22" s="65">
        <v>206.24305555555554</v>
      </c>
      <c r="C22" s="65">
        <v>206.51041666666666</v>
      </c>
      <c r="D22" s="65">
        <f t="shared" si="0"/>
        <v>0.26736111111111427</v>
      </c>
      <c r="E22" s="65">
        <v>206.58680555555554</v>
      </c>
      <c r="F22" s="65">
        <v>206.875</v>
      </c>
      <c r="G22" s="65">
        <f>F22-E22</f>
        <v>0.28819444444445708</v>
      </c>
      <c r="H22" s="65">
        <v>207.02083333333334</v>
      </c>
      <c r="I22" s="65">
        <v>207.20833333333334</v>
      </c>
      <c r="J22" s="70">
        <f>I22-H22-K22</f>
        <v>0.1875</v>
      </c>
      <c r="K22" s="74"/>
      <c r="L22" s="72">
        <f>D22+G22+J22</f>
        <v>0.74305555555557135</v>
      </c>
      <c r="M22" s="240" t="s">
        <v>207</v>
      </c>
      <c r="N22" s="64">
        <v>37483</v>
      </c>
      <c r="O22" s="79" t="s">
        <v>63</v>
      </c>
      <c r="P22" s="74" t="s">
        <v>488</v>
      </c>
      <c r="Q22" s="64">
        <v>5292</v>
      </c>
    </row>
    <row r="23" spans="1:20" ht="27" customHeight="1" x14ac:dyDescent="0.25">
      <c r="A23" s="154" t="s">
        <v>50</v>
      </c>
      <c r="B23" s="65">
        <v>206.25</v>
      </c>
      <c r="C23" s="65">
        <v>206.51041666666666</v>
      </c>
      <c r="D23" s="65">
        <f t="shared" si="0"/>
        <v>0.26041666666665719</v>
      </c>
      <c r="E23" s="65">
        <v>206.59375</v>
      </c>
      <c r="F23" s="65">
        <v>206.875</v>
      </c>
      <c r="G23" s="65">
        <f t="shared" ref="G23" si="2">F23-E23</f>
        <v>0.28125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0.83333333333334281</v>
      </c>
      <c r="M23" s="151" t="s">
        <v>61</v>
      </c>
      <c r="N23" s="84">
        <v>9</v>
      </c>
      <c r="O23" s="85" t="s">
        <v>64</v>
      </c>
      <c r="P23" s="75">
        <v>26</v>
      </c>
      <c r="Q23" s="64">
        <v>954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0.71875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0.77083333333337123</v>
      </c>
      <c r="K24" s="74"/>
      <c r="L24" s="82">
        <v>2.3298611111111112</v>
      </c>
      <c r="M24" s="156" t="s">
        <v>206</v>
      </c>
      <c r="N24" s="64">
        <v>33794</v>
      </c>
      <c r="P24" s="238" t="s">
        <v>203</v>
      </c>
      <c r="Q24" s="43">
        <v>45687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v>454701.98</v>
      </c>
      <c r="P25" s="151" t="s">
        <v>205</v>
      </c>
      <c r="Q25" s="86">
        <v>49438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51000</v>
      </c>
      <c r="P26" s="239" t="s">
        <v>204</v>
      </c>
      <c r="Q26" s="68">
        <f>Q24+Sheet16!Q26</f>
        <v>90747.51999999999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55.55</v>
      </c>
      <c r="M27" s="55"/>
      <c r="N27" s="87">
        <f>N22/L27</f>
        <v>674.76147614761476</v>
      </c>
      <c r="O27" s="80" t="s">
        <v>71</v>
      </c>
      <c r="P27" s="68"/>
      <c r="Q27" s="64" t="s">
        <v>196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524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</v>
      </c>
      <c r="E4" s="22">
        <v>46</v>
      </c>
      <c r="F4" s="22">
        <v>44</v>
      </c>
      <c r="G4" s="22">
        <v>47</v>
      </c>
      <c r="H4" s="22"/>
      <c r="I4" s="22"/>
      <c r="J4" s="22"/>
      <c r="K4" s="22">
        <v>280</v>
      </c>
      <c r="L4" s="22">
        <v>0</v>
      </c>
      <c r="M4" s="90">
        <f t="shared" ref="M4:M6" si="0">K4+L4</f>
        <v>280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219</v>
      </c>
      <c r="O5" s="65" t="s">
        <v>13</v>
      </c>
      <c r="P5" s="65" t="s">
        <v>13</v>
      </c>
      <c r="Q5" s="246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4</v>
      </c>
      <c r="F6" s="22">
        <v>1</v>
      </c>
      <c r="G6" s="22"/>
      <c r="H6" s="22"/>
      <c r="I6" s="22"/>
      <c r="J6" s="22"/>
      <c r="K6" s="22">
        <v>12</v>
      </c>
      <c r="L6" s="22">
        <v>0</v>
      </c>
      <c r="M6" s="90">
        <f t="shared" si="0"/>
        <v>12</v>
      </c>
      <c r="N6" s="101" t="s">
        <v>55</v>
      </c>
      <c r="O6" s="93"/>
      <c r="P6" s="64"/>
      <c r="Q6" s="321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1</v>
      </c>
      <c r="F7" s="22">
        <v>2</v>
      </c>
      <c r="G7" s="22"/>
      <c r="H7" s="22"/>
      <c r="I7" s="22"/>
      <c r="J7" s="22"/>
      <c r="K7" s="22">
        <v>5</v>
      </c>
      <c r="L7" s="22">
        <v>0</v>
      </c>
      <c r="M7" s="90">
        <f t="shared" ref="M7" si="1">K7+L7</f>
        <v>5</v>
      </c>
      <c r="N7" s="101" t="s">
        <v>146</v>
      </c>
      <c r="O7" s="94"/>
      <c r="P7" s="64"/>
      <c r="Q7" s="322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245" t="s">
        <v>13</v>
      </c>
    </row>
    <row r="9" spans="1:21" ht="12" customHeight="1" x14ac:dyDescent="0.25">
      <c r="A9" s="33"/>
      <c r="B9" s="34" t="s">
        <v>14</v>
      </c>
      <c r="C9" s="22"/>
      <c r="D9" s="22">
        <v>18</v>
      </c>
      <c r="E9" s="22">
        <v>32</v>
      </c>
      <c r="F9" s="22">
        <v>33</v>
      </c>
      <c r="G9" s="22">
        <v>62</v>
      </c>
      <c r="H9" s="22">
        <v>36</v>
      </c>
      <c r="I9" s="22">
        <v>28</v>
      </c>
      <c r="J9" s="22">
        <v>40</v>
      </c>
      <c r="K9" s="22">
        <v>191</v>
      </c>
      <c r="L9" s="22">
        <v>52</v>
      </c>
      <c r="M9" s="90">
        <f t="shared" ref="M9:M12" si="2">K9+L9</f>
        <v>243</v>
      </c>
      <c r="N9" s="81" t="s">
        <v>214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8</v>
      </c>
      <c r="L10" s="22">
        <v>0</v>
      </c>
      <c r="M10" s="90">
        <f t="shared" si="2"/>
        <v>8</v>
      </c>
      <c r="N10" s="81" t="s">
        <v>55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</v>
      </c>
      <c r="E11" s="22">
        <v>2</v>
      </c>
      <c r="F11" s="22">
        <v>1</v>
      </c>
      <c r="G11" s="22">
        <v>1</v>
      </c>
      <c r="H11" s="22">
        <v>3</v>
      </c>
      <c r="I11" s="22">
        <v>2</v>
      </c>
      <c r="J11" s="22">
        <v>5</v>
      </c>
      <c r="K11" s="22">
        <v>5</v>
      </c>
      <c r="L11" s="22">
        <v>10</v>
      </c>
      <c r="M11" s="90">
        <f t="shared" si="2"/>
        <v>15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</v>
      </c>
      <c r="E12" s="22">
        <v>2</v>
      </c>
      <c r="F12" s="22">
        <v>2</v>
      </c>
      <c r="G12" s="22">
        <v>2</v>
      </c>
      <c r="H12" s="22">
        <v>2</v>
      </c>
      <c r="I12" s="22">
        <v>2</v>
      </c>
      <c r="J12" s="22">
        <v>2</v>
      </c>
      <c r="K12" s="22">
        <v>7</v>
      </c>
      <c r="L12" s="22">
        <v>6</v>
      </c>
      <c r="M12" s="90">
        <f t="shared" si="2"/>
        <v>13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234</v>
      </c>
      <c r="L14" s="22">
        <v>0</v>
      </c>
      <c r="M14" s="90">
        <f t="shared" ref="M14:M17" si="3">K14+L14</f>
        <v>234</v>
      </c>
      <c r="N14" s="100" t="s">
        <v>146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4</v>
      </c>
      <c r="L15" s="22">
        <v>0</v>
      </c>
      <c r="M15" s="90">
        <f t="shared" si="3"/>
        <v>4</v>
      </c>
      <c r="N15" s="100" t="s">
        <v>55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35</v>
      </c>
      <c r="L16" s="22">
        <v>0</v>
      </c>
      <c r="M16" s="90">
        <f t="shared" si="3"/>
        <v>35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4</v>
      </c>
      <c r="L17" s="22">
        <v>0</v>
      </c>
      <c r="M17" s="90">
        <f t="shared" si="3"/>
        <v>4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757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12</v>
      </c>
      <c r="O19" s="68" t="s">
        <v>13</v>
      </c>
      <c r="P19" s="46" t="s">
        <v>525</v>
      </c>
      <c r="Q19" s="64" t="s">
        <v>526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62</v>
      </c>
      <c r="O20" s="76" t="s">
        <v>62</v>
      </c>
      <c r="P20" s="74" t="s">
        <v>527</v>
      </c>
      <c r="Q20" s="64" t="s">
        <v>528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" si="4">C21-B21</f>
        <v>0.29166666666665719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206.92013888888889</v>
      </c>
      <c r="I21" s="65">
        <v>207.20833333333334</v>
      </c>
      <c r="J21" s="70">
        <f>I21-H21-K21</f>
        <v>0.28819444444445708</v>
      </c>
      <c r="K21" s="65"/>
      <c r="L21" s="72">
        <f>D21+G21+J21</f>
        <v>0.87847222222222854</v>
      </c>
      <c r="M21" s="151" t="s">
        <v>47</v>
      </c>
      <c r="N21" s="64">
        <f>M17+M12+M7</f>
        <v>22</v>
      </c>
      <c r="O21" s="77" t="s">
        <v>66</v>
      </c>
      <c r="P21" s="74" t="s">
        <v>529</v>
      </c>
      <c r="Q21" s="64" t="s">
        <v>530</v>
      </c>
    </row>
    <row r="22" spans="1:20" ht="27" customHeight="1" x14ac:dyDescent="0.25">
      <c r="A22" s="16" t="s">
        <v>48</v>
      </c>
      <c r="B22" s="65">
        <v>206.24652777777777</v>
      </c>
      <c r="C22" s="65">
        <v>206.54166666666666</v>
      </c>
      <c r="D22" s="65">
        <f t="shared" ref="D22:D23" si="5">C22-B22</f>
        <v>0.29513888888888573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0.87847222222222854</v>
      </c>
      <c r="M22" s="240" t="s">
        <v>207</v>
      </c>
      <c r="N22" s="64">
        <v>42748.98</v>
      </c>
      <c r="O22" s="79" t="s">
        <v>63</v>
      </c>
      <c r="P22" s="74" t="s">
        <v>531</v>
      </c>
      <c r="Q22" s="64" t="s">
        <v>532</v>
      </c>
    </row>
    <row r="23" spans="1:20" ht="27" customHeight="1" x14ac:dyDescent="0.25">
      <c r="A23" s="154" t="s">
        <v>50</v>
      </c>
      <c r="B23" s="65">
        <v>206.29166666666666</v>
      </c>
      <c r="C23" s="65">
        <v>206.54166666666666</v>
      </c>
      <c r="D23" s="65">
        <f t="shared" si="5"/>
        <v>0.25</v>
      </c>
      <c r="E23" s="65">
        <v>206.59027777777777</v>
      </c>
      <c r="F23" s="65">
        <v>206.875</v>
      </c>
      <c r="G23" s="65">
        <f>F23-E23</f>
        <v>0.28472222222222854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0.82638888888891415</v>
      </c>
      <c r="M23" s="151" t="s">
        <v>61</v>
      </c>
      <c r="N23" s="84">
        <v>10</v>
      </c>
      <c r="O23" s="85" t="s">
        <v>64</v>
      </c>
      <c r="P23" s="75" t="s">
        <v>533</v>
      </c>
      <c r="Q23" s="64" t="s">
        <v>534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0.83680555555554292</v>
      </c>
      <c r="E24" s="67"/>
      <c r="F24" s="67"/>
      <c r="G24" s="65">
        <f>SUM(G21:G23)</f>
        <v>0.875</v>
      </c>
      <c r="H24" s="67"/>
      <c r="I24" s="67"/>
      <c r="J24" s="70">
        <f>SUM(J21:J23)</f>
        <v>0.87152777777782831</v>
      </c>
      <c r="K24" s="74"/>
      <c r="L24" s="82">
        <f>SUM(L21:L23)</f>
        <v>2.5833333333333712</v>
      </c>
      <c r="M24" s="156" t="s">
        <v>206</v>
      </c>
      <c r="N24" s="64">
        <v>38047.08</v>
      </c>
      <c r="P24" s="238" t="s">
        <v>203</v>
      </c>
      <c r="Q24" s="43">
        <v>53302.54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N24+Sheet17!O25</f>
        <v>492749.06</v>
      </c>
      <c r="P25" s="151" t="s">
        <v>205</v>
      </c>
      <c r="Q25" s="86">
        <v>58236.71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39" t="s">
        <v>204</v>
      </c>
      <c r="Q26" s="68">
        <f>Q24+Sheet17!Q26</f>
        <v>144050.06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</v>
      </c>
      <c r="M27" s="55"/>
      <c r="N27" s="87">
        <f>N22/L27</f>
        <v>689.49967741935484</v>
      </c>
      <c r="O27" s="80" t="s">
        <v>71</v>
      </c>
      <c r="P27" s="68"/>
      <c r="Q27" s="64" t="s">
        <v>223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535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38</v>
      </c>
      <c r="F4" s="22">
        <v>45</v>
      </c>
      <c r="G4" s="22">
        <v>27</v>
      </c>
      <c r="H4" s="22">
        <v>35</v>
      </c>
      <c r="I4" s="22">
        <v>47</v>
      </c>
      <c r="J4" s="22">
        <v>38</v>
      </c>
      <c r="K4" s="22">
        <v>196</v>
      </c>
      <c r="L4" s="22">
        <v>64</v>
      </c>
      <c r="M4" s="90">
        <f t="shared" ref="M4" si="0">K4+L4</f>
        <v>260</v>
      </c>
      <c r="N4" s="101" t="s">
        <v>146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2</v>
      </c>
      <c r="G5" s="22">
        <v>1</v>
      </c>
      <c r="H5" s="22">
        <v>2</v>
      </c>
      <c r="I5" s="22"/>
      <c r="J5" s="22"/>
      <c r="K5" s="22">
        <v>5</v>
      </c>
      <c r="L5" s="22">
        <v>0</v>
      </c>
      <c r="M5" s="90">
        <f t="shared" ref="M5" si="1">K5+L5</f>
        <v>5</v>
      </c>
      <c r="N5" s="101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>
        <v>3</v>
      </c>
      <c r="F6" s="22">
        <v>4</v>
      </c>
      <c r="G6" s="22">
        <v>4</v>
      </c>
      <c r="H6" s="22">
        <v>5</v>
      </c>
      <c r="I6" s="22">
        <v>2</v>
      </c>
      <c r="J6" s="22">
        <v>2</v>
      </c>
      <c r="K6" s="22">
        <v>15</v>
      </c>
      <c r="L6" s="22">
        <v>5</v>
      </c>
      <c r="M6" s="90">
        <f t="shared" ref="M6:M7" si="2">K6+L6</f>
        <v>20</v>
      </c>
      <c r="N6" s="101" t="s">
        <v>226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>
        <v>3</v>
      </c>
      <c r="G7" s="22"/>
      <c r="H7" s="22">
        <v>3</v>
      </c>
      <c r="I7" s="22">
        <v>2</v>
      </c>
      <c r="J7" s="22"/>
      <c r="K7" s="22">
        <v>7</v>
      </c>
      <c r="L7" s="22">
        <v>0</v>
      </c>
      <c r="M7" s="90">
        <f t="shared" si="2"/>
        <v>7</v>
      </c>
      <c r="N7" s="101" t="s">
        <v>55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151</v>
      </c>
      <c r="L9" s="22">
        <v>74</v>
      </c>
      <c r="M9" s="90">
        <f t="shared" ref="M9:M12" si="3">K9+L9</f>
        <v>225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11</v>
      </c>
      <c r="L10" s="22">
        <v>0</v>
      </c>
      <c r="M10" s="90">
        <f t="shared" si="3"/>
        <v>11</v>
      </c>
      <c r="N10" s="81" t="s">
        <v>55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27</v>
      </c>
      <c r="L11" s="22">
        <v>5</v>
      </c>
      <c r="M11" s="90">
        <f t="shared" si="3"/>
        <v>32</v>
      </c>
      <c r="N11" s="81" t="s">
        <v>146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16</v>
      </c>
      <c r="L12" s="22">
        <v>3</v>
      </c>
      <c r="M12" s="90">
        <f t="shared" si="3"/>
        <v>19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162</v>
      </c>
      <c r="L14" s="22">
        <v>100</v>
      </c>
      <c r="M14" s="90">
        <f t="shared" ref="M14:M17" si="4">K14+L14</f>
        <v>262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15</v>
      </c>
      <c r="L15" s="22">
        <v>0</v>
      </c>
      <c r="M15" s="90">
        <f t="shared" si="4"/>
        <v>15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0">
        <f t="shared" si="4"/>
        <v>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</v>
      </c>
      <c r="L17" s="22">
        <v>0</v>
      </c>
      <c r="M17" s="90">
        <f t="shared" si="4"/>
        <v>2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747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31</v>
      </c>
      <c r="O19" s="68">
        <v>923.95</v>
      </c>
      <c r="P19" s="46" t="s">
        <v>200</v>
      </c>
      <c r="Q19" s="64" t="s">
        <v>536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52</v>
      </c>
      <c r="O20" s="76" t="s">
        <v>62</v>
      </c>
      <c r="P20" s="74" t="s">
        <v>201</v>
      </c>
      <c r="Q20" s="64" t="s">
        <v>537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5">C21-B21</f>
        <v>0.29166666666665719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0.87152777777779988</v>
      </c>
      <c r="M21" s="151" t="s">
        <v>47</v>
      </c>
      <c r="N21" s="64">
        <f>M17+M12+M7</f>
        <v>28</v>
      </c>
      <c r="O21" s="77" t="s">
        <v>66</v>
      </c>
      <c r="P21" s="74" t="s">
        <v>431</v>
      </c>
      <c r="Q21" s="64" t="s">
        <v>538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 t="shared" ref="D22" si="6">C22-B22</f>
        <v>0.27083333333331439</v>
      </c>
      <c r="E22" s="65">
        <v>206.60416666666666</v>
      </c>
      <c r="F22" s="65">
        <v>206.875</v>
      </c>
      <c r="G22" s="65">
        <f>F22-E22</f>
        <v>0.27083333333334281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0.84027777777777146</v>
      </c>
      <c r="M22" s="240" t="s">
        <v>207</v>
      </c>
      <c r="N22" s="64">
        <v>41762.300000000003</v>
      </c>
      <c r="O22" s="79" t="s">
        <v>63</v>
      </c>
      <c r="P22" s="74" t="s">
        <v>539</v>
      </c>
      <c r="Q22" s="64" t="s">
        <v>540</v>
      </c>
    </row>
    <row r="23" spans="1:20" ht="27" customHeight="1" x14ac:dyDescent="0.25">
      <c r="A23" s="154" t="s">
        <v>50</v>
      </c>
      <c r="B23" s="65">
        <v>206.25694444444446</v>
      </c>
      <c r="C23" s="65">
        <v>206.54166666666666</v>
      </c>
      <c r="D23" s="65">
        <f t="shared" si="5"/>
        <v>0.28472222222220012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206.91319444444446</v>
      </c>
      <c r="I23" s="65">
        <v>207.20833333333334</v>
      </c>
      <c r="J23" s="70">
        <f>I23-H23-K23</f>
        <v>0.29513888888888573</v>
      </c>
      <c r="K23" s="152"/>
      <c r="L23" s="153">
        <f>D23+G23+J23</f>
        <v>0.87152777777774304</v>
      </c>
      <c r="M23" s="151" t="s">
        <v>61</v>
      </c>
      <c r="N23" s="84">
        <v>10</v>
      </c>
      <c r="O23" s="85" t="s">
        <v>64</v>
      </c>
      <c r="P23" s="75" t="s">
        <v>541</v>
      </c>
      <c r="Q23" s="64">
        <v>1552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0.84722222222217169</v>
      </c>
      <c r="E24" s="67"/>
      <c r="F24" s="67"/>
      <c r="G24" s="65">
        <f>SUM(G21:G23)</f>
        <v>0.85069444444445708</v>
      </c>
      <c r="H24" s="67"/>
      <c r="I24" s="67"/>
      <c r="J24" s="70">
        <f>SUM(J21:J23)</f>
        <v>0.88541666666668561</v>
      </c>
      <c r="K24" s="74"/>
      <c r="L24" s="82">
        <f>SUM(L21:L23)</f>
        <v>2.5833333333333144</v>
      </c>
      <c r="M24" s="156" t="s">
        <v>206</v>
      </c>
      <c r="N24" s="64">
        <v>37674.26</v>
      </c>
      <c r="P24" s="238" t="s">
        <v>203</v>
      </c>
      <c r="Q24" s="43">
        <v>53405.7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N24+Sheet18!O25</f>
        <v>530423.31999999995</v>
      </c>
      <c r="P25" s="151" t="s">
        <v>205</v>
      </c>
      <c r="Q25" s="86">
        <v>58374.81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7">
        <v>57000</v>
      </c>
      <c r="P26" s="239" t="s">
        <v>204</v>
      </c>
      <c r="Q26" s="68">
        <f>Q24+Sheet18!Q26</f>
        <v>197455.76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</v>
      </c>
      <c r="M27" s="55"/>
      <c r="N27" s="87">
        <f>N22/L27</f>
        <v>673.58548387096778</v>
      </c>
      <c r="O27" s="80" t="s">
        <v>71</v>
      </c>
      <c r="P27" s="68"/>
      <c r="Q27" s="64" t="s">
        <v>225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6" workbookViewId="0">
      <selection activeCell="M21" sqref="M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6.8554687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42578125" style="1" customWidth="1"/>
    <col min="16" max="16" width="19.5703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276</v>
      </c>
    </row>
    <row r="3" spans="1:17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90"/>
      <c r="N4" s="101"/>
      <c r="O4" s="92" t="s">
        <v>85</v>
      </c>
      <c r="P4" s="102" t="s">
        <v>86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0"/>
      <c r="N5" s="101"/>
      <c r="O5" s="65" t="s">
        <v>55</v>
      </c>
      <c r="P5" s="65" t="s">
        <v>13</v>
      </c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90"/>
      <c r="N6" s="101"/>
      <c r="O6" s="101" t="s">
        <v>55</v>
      </c>
      <c r="P6" s="64"/>
      <c r="Q6" s="317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90"/>
      <c r="N7" s="101"/>
      <c r="O7" s="94"/>
      <c r="P7" s="64"/>
      <c r="Q7" s="318"/>
    </row>
    <row r="8" spans="1:17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156"/>
    </row>
    <row r="9" spans="1:17" ht="13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90"/>
      <c r="N9" s="81"/>
      <c r="O9" s="81"/>
      <c r="P9" s="81" t="s">
        <v>197</v>
      </c>
      <c r="Q9" s="37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0"/>
      <c r="N10" s="81"/>
      <c r="O10" s="311" t="s">
        <v>118</v>
      </c>
      <c r="P10" s="312"/>
      <c r="Q10" s="43" t="s">
        <v>70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0"/>
      <c r="N11" s="65"/>
      <c r="O11" s="65"/>
      <c r="P11" s="65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0"/>
      <c r="N12" s="81"/>
      <c r="O12" s="81"/>
      <c r="P12" s="81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0"/>
      <c r="N14" s="100"/>
      <c r="O14" s="98"/>
      <c r="P14" s="81"/>
      <c r="Q14" s="37"/>
    </row>
    <row r="15" spans="1:17" ht="17.25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0"/>
      <c r="N15" s="100" t="s">
        <v>13</v>
      </c>
      <c r="O15" s="99"/>
      <c r="P15" s="81"/>
      <c r="Q15" s="37"/>
    </row>
    <row r="16" spans="1:17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0"/>
      <c r="N16" s="100" t="s">
        <v>13</v>
      </c>
      <c r="O16" s="100"/>
      <c r="P16" s="81"/>
      <c r="Q16" s="37"/>
    </row>
    <row r="17" spans="1:20" ht="22.5" customHeight="1" x14ac:dyDescent="0.25">
      <c r="A17" s="64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0"/>
      <c r="N17" s="100"/>
      <c r="P17" s="97" t="s">
        <v>144</v>
      </c>
      <c r="Q17" s="225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0</v>
      </c>
      <c r="O18" s="313" t="s">
        <v>68</v>
      </c>
      <c r="P18" s="314"/>
      <c r="Q18" s="64" t="s">
        <v>13</v>
      </c>
    </row>
    <row r="19" spans="1:20" ht="24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0</v>
      </c>
      <c r="O19" s="68"/>
      <c r="P19" s="46" t="s">
        <v>278</v>
      </c>
      <c r="Q19" s="64"/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0</v>
      </c>
      <c r="O20" s="76" t="s">
        <v>192</v>
      </c>
      <c r="P20" s="74"/>
      <c r="Q20" s="64"/>
    </row>
    <row r="21" spans="1:20" ht="25.5" customHeight="1" x14ac:dyDescent="0.25">
      <c r="A21" s="16" t="s">
        <v>46</v>
      </c>
      <c r="B21" s="65">
        <v>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/>
      <c r="L21" s="72">
        <f>D21+G21+J21</f>
        <v>0</v>
      </c>
      <c r="M21" s="151" t="s">
        <v>47</v>
      </c>
      <c r="N21" s="64">
        <f>M17+M12+M7</f>
        <v>0</v>
      </c>
      <c r="O21" s="77" t="s">
        <v>66</v>
      </c>
      <c r="P21" s="74"/>
      <c r="Q21" s="64"/>
    </row>
    <row r="22" spans="1:20" ht="27" customHeight="1" x14ac:dyDescent="0.25">
      <c r="A22" s="16" t="s">
        <v>48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74"/>
      <c r="L22" s="72">
        <f>D22+G22+J22</f>
        <v>0</v>
      </c>
      <c r="M22" s="49" t="s">
        <v>49</v>
      </c>
      <c r="N22" s="64"/>
      <c r="O22" s="79" t="s">
        <v>63</v>
      </c>
      <c r="P22" s="74"/>
      <c r="Q22" s="64"/>
    </row>
    <row r="23" spans="1:20" ht="27" customHeight="1" x14ac:dyDescent="0.25">
      <c r="A23" s="154" t="s">
        <v>50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152"/>
      <c r="L23" s="153">
        <f>D23+G23+J23</f>
        <v>0</v>
      </c>
      <c r="M23" s="151" t="s">
        <v>61</v>
      </c>
      <c r="N23" s="84">
        <v>2</v>
      </c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6"/>
      <c r="C24" s="66"/>
      <c r="D24" s="65">
        <f>SUM(D21:D23)</f>
        <v>0</v>
      </c>
      <c r="E24" s="67"/>
      <c r="F24" s="67"/>
      <c r="G24" s="65">
        <f>SUM(G21:G23)</f>
        <v>0</v>
      </c>
      <c r="H24" s="67"/>
      <c r="I24" s="67"/>
      <c r="J24" s="70">
        <f>SUM(J21:J23)</f>
        <v>0</v>
      </c>
      <c r="K24" s="74"/>
      <c r="L24" s="82">
        <f>SUM(L21:L23)</f>
        <v>0</v>
      </c>
      <c r="M24" s="64" t="s">
        <v>75</v>
      </c>
      <c r="N24" s="64">
        <v>7216.72</v>
      </c>
      <c r="P24" s="78" t="s">
        <v>193</v>
      </c>
      <c r="Q24" s="43">
        <v>7216.72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76</v>
      </c>
      <c r="O25" s="68">
        <f>N24 +Sheet1!N24</f>
        <v>40806.47</v>
      </c>
      <c r="P25" s="151" t="s">
        <v>194</v>
      </c>
      <c r="Q25" s="86">
        <v>50888.42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/>
      <c r="P26" s="51" t="s">
        <v>195</v>
      </c>
      <c r="Q26" s="68">
        <f>Q24 +Sheet1!Q25</f>
        <v>64701.72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/>
      <c r="M27" s="55"/>
      <c r="N27" s="87"/>
      <c r="O27" s="80" t="s">
        <v>71</v>
      </c>
      <c r="P27" s="68"/>
      <c r="Q27" s="64" t="s">
        <v>196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59"/>
      <c r="C30" s="61" t="s">
        <v>230</v>
      </c>
      <c r="D30" s="1"/>
      <c r="E30" s="60"/>
      <c r="F30" s="60"/>
      <c r="G30" s="6"/>
      <c r="H30" s="1"/>
      <c r="I30" s="1"/>
      <c r="J30" s="1"/>
      <c r="K30" s="3"/>
      <c r="L30" s="6"/>
      <c r="Q30" s="61" t="s">
        <v>231</v>
      </c>
    </row>
    <row r="31" spans="1:20" ht="1.5" hidden="1" customHeight="1" x14ac:dyDescent="0.25">
      <c r="A31" s="59"/>
      <c r="B31" s="59"/>
      <c r="C31" s="2"/>
      <c r="D31" s="1"/>
      <c r="E31" s="3"/>
      <c r="G31" s="4"/>
      <c r="H31" s="5"/>
      <c r="K31" s="3"/>
      <c r="L31" s="4" t="s">
        <v>53</v>
      </c>
      <c r="T31" s="1" t="s">
        <v>54</v>
      </c>
    </row>
    <row r="32" spans="1:20" x14ac:dyDescent="0.25">
      <c r="A32" s="59"/>
      <c r="B32" s="63" t="s">
        <v>279</v>
      </c>
      <c r="D32" s="59"/>
      <c r="E32" s="60"/>
      <c r="F32" s="61"/>
      <c r="G32" s="61" t="s">
        <v>13</v>
      </c>
      <c r="H32" s="248" t="s">
        <v>13</v>
      </c>
      <c r="I32" s="59" t="s">
        <v>13</v>
      </c>
      <c r="J32" s="60"/>
      <c r="K32" s="60"/>
      <c r="L32" s="62"/>
      <c r="M32" s="62"/>
      <c r="N32" s="59"/>
      <c r="O32" s="59"/>
      <c r="Q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542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45</v>
      </c>
      <c r="F4" s="22">
        <v>47</v>
      </c>
      <c r="G4" s="22">
        <v>22</v>
      </c>
      <c r="H4" s="22">
        <v>37</v>
      </c>
      <c r="I4" s="22">
        <v>30</v>
      </c>
      <c r="J4" s="22"/>
      <c r="K4" s="22">
        <v>153</v>
      </c>
      <c r="L4" s="22">
        <v>58</v>
      </c>
      <c r="M4" s="90">
        <f t="shared" ref="M4" si="0">K4+L4</f>
        <v>211</v>
      </c>
      <c r="N4" s="101"/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ref="M5" si="1">K5+L5</f>
        <v>0</v>
      </c>
      <c r="N5" s="101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8</v>
      </c>
      <c r="F6" s="22">
        <v>9</v>
      </c>
      <c r="G6" s="22">
        <v>8</v>
      </c>
      <c r="H6" s="22">
        <v>5</v>
      </c>
      <c r="I6" s="22">
        <v>4</v>
      </c>
      <c r="J6" s="22"/>
      <c r="K6" s="22">
        <v>25</v>
      </c>
      <c r="L6" s="22">
        <v>15</v>
      </c>
      <c r="M6" s="90">
        <f t="shared" ref="M6:M7" si="2">K6+L6</f>
        <v>40</v>
      </c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>
        <v>2</v>
      </c>
      <c r="I7" s="22"/>
      <c r="J7" s="22"/>
      <c r="K7" s="22">
        <v>2</v>
      </c>
      <c r="L7" s="22">
        <v>0</v>
      </c>
      <c r="M7" s="90">
        <f t="shared" si="2"/>
        <v>2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119</v>
      </c>
      <c r="L9" s="22">
        <v>15</v>
      </c>
      <c r="M9" s="90">
        <f t="shared" ref="M9:M12" si="3">K9+L9</f>
        <v>134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0">
        <f t="shared" si="3"/>
        <v>0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10</v>
      </c>
      <c r="L11" s="22">
        <v>0</v>
      </c>
      <c r="M11" s="90">
        <f t="shared" si="3"/>
        <v>10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77</v>
      </c>
      <c r="L12" s="22">
        <v>0</v>
      </c>
      <c r="M12" s="90">
        <f t="shared" si="3"/>
        <v>77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160</v>
      </c>
      <c r="L14" s="22">
        <v>0</v>
      </c>
      <c r="M14" s="90">
        <f t="shared" ref="M14:M17" si="4">K14+L14</f>
        <v>160</v>
      </c>
      <c r="N14" s="100"/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25</v>
      </c>
      <c r="L15" s="22">
        <v>0</v>
      </c>
      <c r="M15" s="90">
        <f t="shared" si="4"/>
        <v>25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25</v>
      </c>
      <c r="L16" s="22">
        <v>0</v>
      </c>
      <c r="M16" s="90">
        <f t="shared" si="4"/>
        <v>25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0">
        <f t="shared" si="4"/>
        <v>0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505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v>46</v>
      </c>
      <c r="O19" s="68">
        <v>1086.3699999999999</v>
      </c>
      <c r="P19" s="46" t="s">
        <v>200</v>
      </c>
      <c r="Q19" s="64" t="s">
        <v>543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75</v>
      </c>
      <c r="O20" s="76" t="s">
        <v>62</v>
      </c>
      <c r="P20" s="74" t="s">
        <v>201</v>
      </c>
      <c r="Q20" s="64" t="s">
        <v>544</v>
      </c>
    </row>
    <row r="21" spans="1:20" ht="25.5" customHeight="1" x14ac:dyDescent="0.25">
      <c r="A21" s="16" t="s">
        <v>46</v>
      </c>
      <c r="B21" s="65">
        <v>206.29166666666666</v>
      </c>
      <c r="C21" s="65">
        <v>206.54166666666666</v>
      </c>
      <c r="D21" s="65">
        <f t="shared" ref="D21:D23" si="5">C21-B21</f>
        <v>0.25</v>
      </c>
      <c r="E21" s="65">
        <v>206.6875</v>
      </c>
      <c r="F21" s="65">
        <v>206.875</v>
      </c>
      <c r="G21" s="65">
        <f>F21-E21</f>
        <v>0.1875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0.77083333333334281</v>
      </c>
      <c r="M21" s="151" t="s">
        <v>47</v>
      </c>
      <c r="N21" s="64">
        <f>M17+M12+M7</f>
        <v>79</v>
      </c>
      <c r="O21" s="77" t="s">
        <v>66</v>
      </c>
      <c r="P21" s="74" t="s">
        <v>545</v>
      </c>
      <c r="Q21" s="64" t="s">
        <v>546</v>
      </c>
    </row>
    <row r="22" spans="1:20" ht="27" customHeight="1" x14ac:dyDescent="0.25">
      <c r="A22" s="16" t="s">
        <v>48</v>
      </c>
      <c r="B22" s="65">
        <v>206.30208333333334</v>
      </c>
      <c r="C22" s="65">
        <v>206.54166666666666</v>
      </c>
      <c r="D22" s="65">
        <f t="shared" si="5"/>
        <v>0.23958333333331439</v>
      </c>
      <c r="E22" s="65">
        <v>206.69097222222223</v>
      </c>
      <c r="F22" s="65">
        <v>206.875</v>
      </c>
      <c r="G22" s="65">
        <f>F22-E22</f>
        <v>0.18402777777777146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0.72222222222220012</v>
      </c>
      <c r="M22" s="240" t="s">
        <v>207</v>
      </c>
      <c r="N22" s="64">
        <v>35186.370000000003</v>
      </c>
      <c r="O22" s="79" t="s">
        <v>63</v>
      </c>
      <c r="P22" s="74" t="s">
        <v>547</v>
      </c>
      <c r="Q22" s="64" t="s">
        <v>548</v>
      </c>
    </row>
    <row r="23" spans="1:20" ht="27" customHeight="1" x14ac:dyDescent="0.25">
      <c r="A23" s="154" t="s">
        <v>50</v>
      </c>
      <c r="B23" s="65">
        <v>206.3125</v>
      </c>
      <c r="C23" s="65">
        <v>206.54166666666666</v>
      </c>
      <c r="D23" s="65">
        <f t="shared" si="5"/>
        <v>0.22916666666665719</v>
      </c>
      <c r="E23" s="65">
        <v>206.68402777777777</v>
      </c>
      <c r="F23" s="65">
        <v>206.875</v>
      </c>
      <c r="G23" s="65">
        <f>F23-E23</f>
        <v>0.19097222222222854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0.71180555555557135</v>
      </c>
      <c r="M23" s="151" t="s">
        <v>61</v>
      </c>
      <c r="N23" s="84">
        <v>9</v>
      </c>
      <c r="O23" s="85" t="s">
        <v>64</v>
      </c>
      <c r="P23" s="75">
        <v>35</v>
      </c>
      <c r="Q23" s="64">
        <v>1257.49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0.71874999999997158</v>
      </c>
      <c r="E24" s="67"/>
      <c r="F24" s="67"/>
      <c r="G24" s="65">
        <f>SUM(G21:G23)</f>
        <v>0.5625</v>
      </c>
      <c r="H24" s="67"/>
      <c r="I24" s="67"/>
      <c r="J24" s="70">
        <f>SUM(J21:J23)</f>
        <v>0.92361111111114269</v>
      </c>
      <c r="K24" s="74"/>
      <c r="L24" s="82">
        <f>SUM(L21:L23)</f>
        <v>2.2048611111111143</v>
      </c>
      <c r="M24" s="156" t="s">
        <v>206</v>
      </c>
      <c r="N24" s="64">
        <v>33941.96</v>
      </c>
      <c r="P24" s="238" t="s">
        <v>203</v>
      </c>
      <c r="Q24" s="43">
        <v>49329.41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N24+Sheet19!O25</f>
        <v>564365.27999999991</v>
      </c>
      <c r="P25" s="151" t="s">
        <v>205</v>
      </c>
      <c r="Q25" s="86">
        <v>54146.43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39" t="s">
        <v>204</v>
      </c>
      <c r="Q26" s="68">
        <f>Q24+Sheet18!Q26</f>
        <v>193379.47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52.55</v>
      </c>
      <c r="M27" s="55"/>
      <c r="N27" s="87">
        <f>N22/L27</f>
        <v>669.57887725975274</v>
      </c>
      <c r="O27" s="80" t="s">
        <v>71</v>
      </c>
      <c r="P27" s="68"/>
      <c r="Q27" s="64" t="s">
        <v>549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L22" sqref="L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8.28515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550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180</v>
      </c>
      <c r="L4" s="22">
        <v>47</v>
      </c>
      <c r="M4" s="90">
        <f t="shared" ref="M4" si="0">K4+L4</f>
        <v>227</v>
      </c>
      <c r="N4" s="101"/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2</v>
      </c>
      <c r="L5" s="22">
        <v>0</v>
      </c>
      <c r="M5" s="90">
        <f t="shared" ref="M5" si="1">K5+L5</f>
        <v>2</v>
      </c>
      <c r="N5" s="101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45</v>
      </c>
      <c r="L6" s="22">
        <v>0</v>
      </c>
      <c r="M6" s="90">
        <f t="shared" ref="M6:M7" si="2">K6+L6</f>
        <v>45</v>
      </c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20</v>
      </c>
      <c r="L7" s="22">
        <v>0</v>
      </c>
      <c r="M7" s="90">
        <f t="shared" si="2"/>
        <v>20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90</v>
      </c>
      <c r="L9" s="22">
        <v>60</v>
      </c>
      <c r="M9" s="90">
        <f t="shared" ref="M9:M12" si="3">K9+L9</f>
        <v>150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6</v>
      </c>
      <c r="L10" s="22">
        <v>0</v>
      </c>
      <c r="M10" s="90">
        <f t="shared" si="3"/>
        <v>6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25</v>
      </c>
      <c r="L11" s="22">
        <v>0</v>
      </c>
      <c r="M11" s="90">
        <f t="shared" si="3"/>
        <v>25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42</v>
      </c>
      <c r="L12" s="22">
        <v>0</v>
      </c>
      <c r="M12" s="90">
        <f t="shared" si="3"/>
        <v>42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125</v>
      </c>
      <c r="L14" s="22">
        <v>65</v>
      </c>
      <c r="M14" s="90">
        <f t="shared" ref="M14:M17" si="4">K14+L14</f>
        <v>190</v>
      </c>
      <c r="N14" s="100"/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9</v>
      </c>
      <c r="L15" s="22">
        <v>6</v>
      </c>
      <c r="M15" s="90">
        <f t="shared" si="4"/>
        <v>15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30</v>
      </c>
      <c r="L16" s="22">
        <v>12</v>
      </c>
      <c r="M16" s="90">
        <f t="shared" si="4"/>
        <v>42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7</v>
      </c>
      <c r="L17" s="22">
        <v>0</v>
      </c>
      <c r="M17" s="90">
        <f t="shared" si="4"/>
        <v>7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567</v>
      </c>
      <c r="O18" s="313" t="s">
        <v>68</v>
      </c>
      <c r="P18" s="314"/>
      <c r="Q18" s="64" t="s">
        <v>13</v>
      </c>
    </row>
    <row r="19" spans="1:20" ht="24.75" customHeight="1" x14ac:dyDescent="0.25">
      <c r="A19" s="154" t="s">
        <v>39</v>
      </c>
      <c r="B19" s="323" t="s">
        <v>40</v>
      </c>
      <c r="C19" s="324"/>
      <c r="D19" s="325"/>
      <c r="E19" s="323" t="s">
        <v>57</v>
      </c>
      <c r="F19" s="324"/>
      <c r="G19" s="325"/>
      <c r="H19" s="323" t="s">
        <v>56</v>
      </c>
      <c r="I19" s="324"/>
      <c r="J19" s="325"/>
      <c r="K19" s="45" t="s">
        <v>13</v>
      </c>
      <c r="L19" s="45"/>
      <c r="M19" s="151" t="s">
        <v>41</v>
      </c>
      <c r="N19" s="64">
        <f>M5+M10+M15</f>
        <v>23</v>
      </c>
      <c r="O19" s="68">
        <v>909</v>
      </c>
      <c r="P19" s="46" t="s">
        <v>200</v>
      </c>
      <c r="Q19" s="64" t="s">
        <v>551</v>
      </c>
    </row>
    <row r="20" spans="1:20" ht="15.75" customHeight="1" x14ac:dyDescent="0.25">
      <c r="A20" s="16"/>
      <c r="B20" s="302" t="s">
        <v>42</v>
      </c>
      <c r="C20" s="17" t="s">
        <v>43</v>
      </c>
      <c r="D20" s="17" t="s">
        <v>44</v>
      </c>
      <c r="E20" s="302" t="s">
        <v>42</v>
      </c>
      <c r="F20" s="17" t="s">
        <v>43</v>
      </c>
      <c r="G20" s="17" t="s">
        <v>44</v>
      </c>
      <c r="H20" s="302" t="s">
        <v>42</v>
      </c>
      <c r="I20" s="17" t="s">
        <v>43</v>
      </c>
      <c r="J20" s="17" t="s">
        <v>44</v>
      </c>
      <c r="K20" s="75" t="s">
        <v>60</v>
      </c>
      <c r="L20" s="18" t="s">
        <v>45</v>
      </c>
      <c r="M20" s="151" t="s">
        <v>72</v>
      </c>
      <c r="N20" s="64">
        <f>M6+M11+M16</f>
        <v>112</v>
      </c>
      <c r="O20" s="76" t="s">
        <v>62</v>
      </c>
      <c r="P20" s="74" t="s">
        <v>552</v>
      </c>
      <c r="Q20" s="64" t="s">
        <v>553</v>
      </c>
    </row>
    <row r="21" spans="1:20" ht="25.5" customHeight="1" x14ac:dyDescent="0.25">
      <c r="A21" s="16" t="s">
        <v>46</v>
      </c>
      <c r="B21" s="65">
        <v>206.28819444444446</v>
      </c>
      <c r="C21" s="65">
        <v>206.54166666666666</v>
      </c>
      <c r="D21" s="65">
        <f t="shared" ref="D21:D23" si="5">C21-B21</f>
        <v>0.25347222222220012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206.95138888888889</v>
      </c>
      <c r="I21" s="65">
        <v>207.20833333333334</v>
      </c>
      <c r="J21" s="65">
        <f>I21-H21-K21</f>
        <v>0.25694444444445708</v>
      </c>
      <c r="K21" s="65"/>
      <c r="L21" s="303">
        <f>D21+G21+J21</f>
        <v>0.80208333333331439</v>
      </c>
      <c r="M21" s="151" t="s">
        <v>47</v>
      </c>
      <c r="N21" s="64">
        <f>M17+M12+M7</f>
        <v>69</v>
      </c>
      <c r="O21" s="77" t="s">
        <v>66</v>
      </c>
      <c r="P21" s="74" t="s">
        <v>554</v>
      </c>
      <c r="Q21" s="64" t="s">
        <v>555</v>
      </c>
    </row>
    <row r="22" spans="1:20" ht="27" customHeight="1" x14ac:dyDescent="0.25">
      <c r="A22" s="16" t="s">
        <v>48</v>
      </c>
      <c r="B22" s="65">
        <v>206.27430555555554</v>
      </c>
      <c r="C22" s="65">
        <v>206.41666666666666</v>
      </c>
      <c r="D22" s="65">
        <f t="shared" si="5"/>
        <v>0.14236111111111427</v>
      </c>
      <c r="E22" s="65">
        <v>206.60416666666666</v>
      </c>
      <c r="F22" s="65">
        <v>206.875</v>
      </c>
      <c r="G22" s="65">
        <f>F22-E22</f>
        <v>0.27083333333334281</v>
      </c>
      <c r="H22" s="65">
        <v>206.96527777777777</v>
      </c>
      <c r="I22" s="65">
        <v>207.20833333333334</v>
      </c>
      <c r="J22" s="65">
        <f>I22-H22-K22</f>
        <v>0.24305555555557135</v>
      </c>
      <c r="K22" s="74"/>
      <c r="L22" s="303">
        <f>D22+G22+J22</f>
        <v>0.65625000000002842</v>
      </c>
      <c r="M22" s="240" t="s">
        <v>207</v>
      </c>
      <c r="N22" s="64">
        <v>36135.47</v>
      </c>
      <c r="O22" s="79" t="s">
        <v>63</v>
      </c>
      <c r="P22" s="74" t="s">
        <v>556</v>
      </c>
      <c r="Q22" s="64" t="s">
        <v>557</v>
      </c>
    </row>
    <row r="23" spans="1:20" ht="27" customHeight="1" x14ac:dyDescent="0.25">
      <c r="A23" s="16" t="s">
        <v>50</v>
      </c>
      <c r="B23" s="65">
        <v>206.27083333333334</v>
      </c>
      <c r="C23" s="65">
        <v>206.54166666666666</v>
      </c>
      <c r="D23" s="65">
        <f t="shared" si="5"/>
        <v>0.27083333333331439</v>
      </c>
      <c r="E23" s="65">
        <v>206.57638888888889</v>
      </c>
      <c r="F23" s="65">
        <v>206.875</v>
      </c>
      <c r="G23" s="65">
        <f t="shared" ref="G23" si="6">F23-E23</f>
        <v>0.29861111111111427</v>
      </c>
      <c r="H23" s="65">
        <v>206.90972222222223</v>
      </c>
      <c r="I23" s="65">
        <v>207.20833333333334</v>
      </c>
      <c r="J23" s="65">
        <f>I23-H23-K23</f>
        <v>0.29861111111111427</v>
      </c>
      <c r="K23" s="74"/>
      <c r="L23" s="303">
        <f>D23+G23+J23</f>
        <v>0.86805555555554292</v>
      </c>
      <c r="M23" s="151" t="s">
        <v>61</v>
      </c>
      <c r="N23" s="84">
        <v>9</v>
      </c>
      <c r="O23" s="85" t="s">
        <v>64</v>
      </c>
      <c r="P23" s="75" t="s">
        <v>232</v>
      </c>
      <c r="Q23" s="64" t="s">
        <v>558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0.66666666666662877</v>
      </c>
      <c r="E24" s="67"/>
      <c r="F24" s="67"/>
      <c r="G24" s="65">
        <f>SUM(G21:G23)</f>
        <v>0.86111111111111427</v>
      </c>
      <c r="H24" s="67"/>
      <c r="I24" s="67"/>
      <c r="J24" s="65">
        <f>SUM(J21:J23)</f>
        <v>0.79861111111114269</v>
      </c>
      <c r="K24" s="74"/>
      <c r="L24" s="304">
        <f>SUM(L21:L23)</f>
        <v>2.3263888888888857</v>
      </c>
      <c r="M24" s="156" t="s">
        <v>206</v>
      </c>
      <c r="N24" s="64">
        <v>34069.86</v>
      </c>
      <c r="P24" s="238" t="s">
        <v>203</v>
      </c>
      <c r="Q24" s="43">
        <v>53741.14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N24+Sheet20!O25</f>
        <v>598435.1399999999</v>
      </c>
      <c r="P25" s="151" t="s">
        <v>205</v>
      </c>
      <c r="Q25" s="86">
        <v>49365.54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v>598445.14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55.5</v>
      </c>
      <c r="M27" s="55"/>
      <c r="N27" s="87">
        <f>N22/L27</f>
        <v>651.08954954954959</v>
      </c>
      <c r="O27" s="80" t="s">
        <v>71</v>
      </c>
      <c r="P27" s="68"/>
      <c r="Q27" s="64" t="s">
        <v>229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0" workbookViewId="0">
      <selection activeCell="L22" sqref="L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150</v>
      </c>
      <c r="L4" s="22">
        <v>57</v>
      </c>
      <c r="M4" s="90">
        <f t="shared" ref="M4:M7" si="0">K4+L4</f>
        <v>207</v>
      </c>
      <c r="N4" s="101"/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5</v>
      </c>
      <c r="L5" s="22">
        <v>0</v>
      </c>
      <c r="M5" s="90">
        <f t="shared" si="0"/>
        <v>5</v>
      </c>
      <c r="N5" s="101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27</v>
      </c>
      <c r="L6" s="22">
        <v>10</v>
      </c>
      <c r="M6" s="90">
        <f t="shared" si="0"/>
        <v>37</v>
      </c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8</v>
      </c>
      <c r="L7" s="22">
        <v>0</v>
      </c>
      <c r="M7" s="90">
        <f t="shared" si="0"/>
        <v>8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200</v>
      </c>
      <c r="L9" s="22">
        <v>61</v>
      </c>
      <c r="M9" s="90">
        <f t="shared" ref="M9:M12" si="1">K9+L9</f>
        <v>261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10</v>
      </c>
      <c r="L10" s="22">
        <v>0</v>
      </c>
      <c r="M10" s="90">
        <f t="shared" si="1"/>
        <v>10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12</v>
      </c>
      <c r="L11" s="22">
        <v>8</v>
      </c>
      <c r="M11" s="90">
        <f t="shared" si="1"/>
        <v>20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13</v>
      </c>
      <c r="L12" s="22">
        <v>0</v>
      </c>
      <c r="M12" s="90">
        <f t="shared" si="1"/>
        <v>13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190</v>
      </c>
      <c r="L14" s="22">
        <v>87</v>
      </c>
      <c r="M14" s="90">
        <f t="shared" ref="M14:M17" si="2">K14+L14</f>
        <v>277</v>
      </c>
      <c r="N14" s="100"/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2"/>
        <v>0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36</v>
      </c>
      <c r="L16" s="22">
        <v>0</v>
      </c>
      <c r="M16" s="90">
        <f t="shared" si="2"/>
        <v>36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0">
        <f t="shared" si="2"/>
        <v>0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745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15</v>
      </c>
      <c r="O19" s="68">
        <v>900.31</v>
      </c>
      <c r="P19" s="46" t="s">
        <v>559</v>
      </c>
      <c r="Q19" s="64" t="s">
        <v>560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93</v>
      </c>
      <c r="O20" s="76" t="s">
        <v>62</v>
      </c>
      <c r="P20" s="74" t="s">
        <v>245</v>
      </c>
      <c r="Q20" s="64" t="s">
        <v>561</v>
      </c>
    </row>
    <row r="21" spans="1:20" ht="25.5" customHeight="1" x14ac:dyDescent="0.25">
      <c r="A21" s="16" t="s">
        <v>46</v>
      </c>
      <c r="B21" s="65">
        <v>206.30555555555554</v>
      </c>
      <c r="C21" s="65">
        <v>206.54166666666666</v>
      </c>
      <c r="D21" s="65">
        <f t="shared" ref="D21:D23" si="3">C21-B21</f>
        <v>0.23611111111111427</v>
      </c>
      <c r="E21" s="65">
        <v>206.58333333333334</v>
      </c>
      <c r="F21" s="65">
        <v>206.875</v>
      </c>
      <c r="G21" s="65">
        <f t="shared" ref="G21" si="4">F21-E21</f>
        <v>0.29166666666665719</v>
      </c>
      <c r="H21" s="65">
        <v>206.95833333333334</v>
      </c>
      <c r="I21" s="65">
        <v>207.20833333333334</v>
      </c>
      <c r="J21" s="70">
        <f>I21-H21-K21</f>
        <v>0.25</v>
      </c>
      <c r="K21" s="65"/>
      <c r="L21" s="72">
        <f>D21+G21+J21</f>
        <v>0.77777777777777146</v>
      </c>
      <c r="M21" s="151" t="s">
        <v>47</v>
      </c>
      <c r="N21" s="64">
        <f>M17+M12+M7</f>
        <v>21</v>
      </c>
      <c r="O21" s="77" t="s">
        <v>66</v>
      </c>
      <c r="P21" s="74" t="s">
        <v>562</v>
      </c>
      <c r="Q21" s="64" t="s">
        <v>563</v>
      </c>
    </row>
    <row r="22" spans="1:20" ht="27" customHeight="1" x14ac:dyDescent="0.25">
      <c r="A22" s="16" t="s">
        <v>48</v>
      </c>
      <c r="B22" s="65">
        <v>206.29861111111111</v>
      </c>
      <c r="C22" s="65">
        <v>206.54166666666666</v>
      </c>
      <c r="D22" s="65">
        <f t="shared" si="3"/>
        <v>0.24305555555554292</v>
      </c>
      <c r="E22" s="65">
        <v>206.58333333333334</v>
      </c>
      <c r="F22" s="65">
        <v>206.875</v>
      </c>
      <c r="G22" s="65">
        <f t="shared" ref="G22" si="5">F22-E22</f>
        <v>0.29166666666665719</v>
      </c>
      <c r="H22" s="65">
        <v>206.9375</v>
      </c>
      <c r="I22" s="65">
        <v>207.20833333333334</v>
      </c>
      <c r="J22" s="70">
        <f>I22-H22-K22</f>
        <v>0.27083333333334281</v>
      </c>
      <c r="K22" s="74"/>
      <c r="L22" s="72">
        <f>D22+G22+J22</f>
        <v>0.80555555555554292</v>
      </c>
      <c r="M22" s="240" t="s">
        <v>207</v>
      </c>
      <c r="N22" s="64">
        <v>37340.5</v>
      </c>
      <c r="O22" s="79" t="s">
        <v>63</v>
      </c>
      <c r="P22" s="74" t="s">
        <v>564</v>
      </c>
      <c r="Q22" s="64" t="s">
        <v>565</v>
      </c>
    </row>
    <row r="23" spans="1:20" ht="27" customHeight="1" x14ac:dyDescent="0.25">
      <c r="A23" s="154" t="s">
        <v>50</v>
      </c>
      <c r="B23" s="65">
        <v>206.27083333333334</v>
      </c>
      <c r="C23" s="65">
        <v>206.54166666666666</v>
      </c>
      <c r="D23" s="65">
        <f t="shared" si="3"/>
        <v>0.27083333333331439</v>
      </c>
      <c r="E23" s="65">
        <v>206.58333333333334</v>
      </c>
      <c r="F23" s="65">
        <v>206.875</v>
      </c>
      <c r="G23" s="65">
        <f t="shared" ref="G23" si="6">F23-E23</f>
        <v>0.29166666666665719</v>
      </c>
      <c r="H23" s="65">
        <v>206.92013888888889</v>
      </c>
      <c r="I23" s="65">
        <v>207.20833333333334</v>
      </c>
      <c r="J23" s="70">
        <f>I23-H23-K23</f>
        <v>0.28819444444445708</v>
      </c>
      <c r="K23" s="152"/>
      <c r="L23" s="153">
        <f>D23+G23+J23</f>
        <v>0.85069444444442865</v>
      </c>
      <c r="M23" s="151" t="s">
        <v>61</v>
      </c>
      <c r="N23" s="84">
        <v>10</v>
      </c>
      <c r="O23" s="85" t="s">
        <v>64</v>
      </c>
      <c r="P23" s="75">
        <v>33</v>
      </c>
      <c r="Q23" s="64" t="s">
        <v>566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0.74999999999997158</v>
      </c>
      <c r="E24" s="67"/>
      <c r="F24" s="67"/>
      <c r="G24" s="65">
        <f>SUM(G21:G23)</f>
        <v>0.87499999999997158</v>
      </c>
      <c r="H24" s="67"/>
      <c r="I24" s="67"/>
      <c r="J24" s="70">
        <f>SUM(J21:J23)</f>
        <v>0.80902777777779988</v>
      </c>
      <c r="K24" s="74"/>
      <c r="L24" s="82">
        <f>SUM(L21:L23)</f>
        <v>2.434027777777743</v>
      </c>
      <c r="M24" s="156" t="s">
        <v>206</v>
      </c>
      <c r="N24" s="64">
        <v>37340.5</v>
      </c>
      <c r="P24" s="238" t="s">
        <v>203</v>
      </c>
      <c r="Q24" s="43">
        <v>53794.65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N24+Sheet21!O25</f>
        <v>635775.6399999999</v>
      </c>
      <c r="P25" s="151" t="s">
        <v>205</v>
      </c>
      <c r="Q25" s="86">
        <v>49870.78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39" t="s">
        <v>204</v>
      </c>
      <c r="Q26" s="68">
        <f>Q24+Sheet21!Q26</f>
        <v>652239.79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58.25</v>
      </c>
      <c r="M27" s="55"/>
      <c r="N27" s="87">
        <f>N22/L27</f>
        <v>641.03862660944208</v>
      </c>
      <c r="O27" s="80" t="s">
        <v>71</v>
      </c>
      <c r="P27" s="68"/>
      <c r="Q27" s="64" t="s">
        <v>196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5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8" workbookViewId="0">
      <selection activeCell="H22" sqref="H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6.140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570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160</v>
      </c>
      <c r="L4" s="22">
        <v>43</v>
      </c>
      <c r="M4" s="90">
        <f t="shared" ref="M4:M6" si="0">K4+L4</f>
        <v>203</v>
      </c>
      <c r="N4" s="101"/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32</v>
      </c>
      <c r="L6" s="22">
        <v>0</v>
      </c>
      <c r="M6" s="90">
        <f t="shared" si="0"/>
        <v>32</v>
      </c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15</v>
      </c>
      <c r="L7" s="22">
        <v>0</v>
      </c>
      <c r="M7" s="90">
        <f t="shared" ref="M7" si="1">K7+L7</f>
        <v>15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150</v>
      </c>
      <c r="L9" s="22">
        <v>41</v>
      </c>
      <c r="M9" s="90">
        <f t="shared" ref="M9:M12" si="2">K9+L9</f>
        <v>191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0">
        <f t="shared" si="2"/>
        <v>0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36</v>
      </c>
      <c r="L11" s="22">
        <v>0</v>
      </c>
      <c r="M11" s="90">
        <f t="shared" si="2"/>
        <v>36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26</v>
      </c>
      <c r="L12" s="22">
        <v>0</v>
      </c>
      <c r="M12" s="90">
        <f t="shared" si="2"/>
        <v>26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200</v>
      </c>
      <c r="L14" s="22">
        <v>70</v>
      </c>
      <c r="M14" s="90">
        <f t="shared" ref="M14:M17" si="3">K14+L14</f>
        <v>270</v>
      </c>
      <c r="N14" s="100" t="s">
        <v>13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3"/>
        <v>0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35</v>
      </c>
      <c r="L16" s="22">
        <v>0</v>
      </c>
      <c r="M16" s="90">
        <f t="shared" si="3"/>
        <v>35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35</v>
      </c>
      <c r="L17" s="22">
        <v>0</v>
      </c>
      <c r="M17" s="90">
        <f t="shared" si="3"/>
        <v>35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664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0</v>
      </c>
      <c r="O19" s="68">
        <v>754</v>
      </c>
      <c r="P19" s="46" t="s">
        <v>220</v>
      </c>
      <c r="Q19" s="64" t="s">
        <v>567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103</v>
      </c>
      <c r="O20" s="76" t="s">
        <v>62</v>
      </c>
      <c r="P20" s="74" t="s">
        <v>245</v>
      </c>
      <c r="Q20" s="64" t="s">
        <v>234</v>
      </c>
    </row>
    <row r="21" spans="1:20" ht="25.5" customHeight="1" x14ac:dyDescent="0.25">
      <c r="A21" s="16" t="s">
        <v>46</v>
      </c>
      <c r="B21" s="65">
        <v>206.32291666666666</v>
      </c>
      <c r="C21" s="65">
        <v>206.5</v>
      </c>
      <c r="D21" s="65">
        <f t="shared" ref="D21:D23" si="4">C21-B21</f>
        <v>0.17708333333334281</v>
      </c>
      <c r="E21" s="65">
        <v>206.60416666666666</v>
      </c>
      <c r="F21" s="65">
        <v>206.875</v>
      </c>
      <c r="G21" s="65">
        <f>F21-E21</f>
        <v>0.27083333333334281</v>
      </c>
      <c r="H21" s="65">
        <v>206.9375</v>
      </c>
      <c r="I21" s="65">
        <v>207.20833333333334</v>
      </c>
      <c r="J21" s="70">
        <f>I21-H21-K21</f>
        <v>0.27083333333334281</v>
      </c>
      <c r="K21" s="65"/>
      <c r="L21" s="72">
        <f>D21+G21+J21</f>
        <v>0.71875000000002842</v>
      </c>
      <c r="M21" s="151" t="s">
        <v>47</v>
      </c>
      <c r="N21" s="64">
        <f>M17+M12+M7</f>
        <v>76</v>
      </c>
      <c r="O21" s="77" t="s">
        <v>66</v>
      </c>
      <c r="P21" s="74" t="s">
        <v>568</v>
      </c>
      <c r="Q21" s="64" t="s">
        <v>569</v>
      </c>
    </row>
    <row r="22" spans="1:20" ht="27" customHeight="1" x14ac:dyDescent="0.25">
      <c r="A22" s="16" t="s">
        <v>48</v>
      </c>
      <c r="B22" s="65">
        <v>206.29166666666666</v>
      </c>
      <c r="C22" s="65">
        <v>206.45833333333334</v>
      </c>
      <c r="D22" s="65">
        <f t="shared" si="4"/>
        <v>0.16666666666668561</v>
      </c>
      <c r="E22" s="65">
        <v>206.61458333333334</v>
      </c>
      <c r="F22" s="65">
        <v>206.875</v>
      </c>
      <c r="G22" s="65">
        <f>F22-E22</f>
        <v>0.26041666666665719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0.71875000000002842</v>
      </c>
      <c r="M22" s="240" t="s">
        <v>207</v>
      </c>
      <c r="N22" s="64">
        <v>38363.78</v>
      </c>
      <c r="O22" s="79" t="s">
        <v>63</v>
      </c>
      <c r="P22" s="74" t="s">
        <v>571</v>
      </c>
      <c r="Q22" s="64" t="s">
        <v>235</v>
      </c>
    </row>
    <row r="23" spans="1:20" ht="27" customHeight="1" x14ac:dyDescent="0.25">
      <c r="A23" s="154" t="s">
        <v>50</v>
      </c>
      <c r="B23" s="65">
        <v>206.24652777777777</v>
      </c>
      <c r="C23" s="65">
        <v>206.54166666666666</v>
      </c>
      <c r="D23" s="65">
        <f t="shared" si="4"/>
        <v>0.29513888888888573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206.92013888888889</v>
      </c>
      <c r="I23" s="65">
        <v>207.20833333333334</v>
      </c>
      <c r="J23" s="70">
        <f>I23-H23-K23</f>
        <v>0.28819444444445708</v>
      </c>
      <c r="K23" s="152"/>
      <c r="L23" s="153">
        <f>D23+G23+J23</f>
        <v>0.875</v>
      </c>
      <c r="M23" s="151" t="s">
        <v>61</v>
      </c>
      <c r="N23" s="84">
        <v>10</v>
      </c>
      <c r="O23" s="85" t="s">
        <v>64</v>
      </c>
      <c r="P23" s="75">
        <v>37</v>
      </c>
      <c r="Q23" s="64">
        <v>1379.93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0.63888888888891415</v>
      </c>
      <c r="E24" s="67"/>
      <c r="F24" s="67"/>
      <c r="G24" s="65">
        <f>SUM(G21:G23)</f>
        <v>0.82291666666665719</v>
      </c>
      <c r="H24" s="67"/>
      <c r="I24" s="67"/>
      <c r="J24" s="70">
        <f>SUM(J21:J23)</f>
        <v>0.8506944444444855</v>
      </c>
      <c r="K24" s="74"/>
      <c r="L24" s="82">
        <f>SUM(L21:L23)</f>
        <v>2.3125000000000568</v>
      </c>
      <c r="M24" s="156" t="s">
        <v>206</v>
      </c>
      <c r="N24" s="64">
        <v>37663.879999999997</v>
      </c>
      <c r="P24" s="238" t="s">
        <v>203</v>
      </c>
      <c r="Q24" s="43">
        <v>53822.22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N24+Sheet22!O25</f>
        <v>673439.5199999999</v>
      </c>
      <c r="P25" s="151" t="s">
        <v>205</v>
      </c>
      <c r="Q25" s="86">
        <v>50026.63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54000</v>
      </c>
      <c r="P26" s="239" t="s">
        <v>204</v>
      </c>
      <c r="Q26" s="68">
        <f>Q24+Sheet22!Q26</f>
        <v>706062.01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58.55</v>
      </c>
      <c r="M27" s="55"/>
      <c r="N27" s="87">
        <f>N22/L27</f>
        <v>655.23108454312558</v>
      </c>
      <c r="O27" s="80" t="s">
        <v>71</v>
      </c>
      <c r="P27" s="68"/>
      <c r="Q27" s="64" t="s">
        <v>227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zoomScaleNormal="100" workbookViewId="0">
      <selection activeCell="L22" sqref="L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4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583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190</v>
      </c>
      <c r="L4" s="22">
        <v>40</v>
      </c>
      <c r="M4" s="90">
        <f t="shared" ref="M4:M7" si="0">K4+L4</f>
        <v>230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146</v>
      </c>
      <c r="O5" s="65" t="s">
        <v>13</v>
      </c>
      <c r="P5" s="65" t="s">
        <v>13</v>
      </c>
      <c r="Q5" s="65" t="s">
        <v>238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27</v>
      </c>
      <c r="L6" s="22">
        <v>0</v>
      </c>
      <c r="M6" s="90">
        <f t="shared" si="0"/>
        <v>27</v>
      </c>
      <c r="N6" s="101" t="s">
        <v>240</v>
      </c>
      <c r="O6" s="93"/>
      <c r="P6" s="64"/>
      <c r="Q6" s="319" t="s">
        <v>239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38</v>
      </c>
      <c r="L7" s="22">
        <v>0</v>
      </c>
      <c r="M7" s="90">
        <f t="shared" si="0"/>
        <v>38</v>
      </c>
      <c r="N7" s="101" t="s">
        <v>55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180</v>
      </c>
      <c r="L9" s="22">
        <v>57</v>
      </c>
      <c r="M9" s="90">
        <f t="shared" ref="M9:M12" si="1">K9+L9</f>
        <v>237</v>
      </c>
      <c r="N9" s="81" t="s">
        <v>214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0">
        <f t="shared" si="1"/>
        <v>0</v>
      </c>
      <c r="N10" s="81" t="s">
        <v>214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15</v>
      </c>
      <c r="L11" s="22">
        <v>0</v>
      </c>
      <c r="M11" s="90">
        <f t="shared" si="1"/>
        <v>15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12</v>
      </c>
      <c r="L12" s="22">
        <v>0</v>
      </c>
      <c r="M12" s="90">
        <f t="shared" si="1"/>
        <v>12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195</v>
      </c>
      <c r="L14" s="22">
        <v>60</v>
      </c>
      <c r="M14" s="90">
        <f t="shared" ref="M14" si="2">K14+L14</f>
        <v>255</v>
      </c>
      <c r="N14" s="100" t="s">
        <v>146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ref="M15" si="3">K15+L15</f>
        <v>0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0</v>
      </c>
      <c r="M16" s="90">
        <f t="shared" ref="M16:M17" si="4">K16+L16</f>
        <v>10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10</v>
      </c>
      <c r="L17" s="22">
        <v>0</v>
      </c>
      <c r="M17" s="90">
        <f t="shared" si="4"/>
        <v>10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722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0</v>
      </c>
      <c r="O19" s="68" t="s">
        <v>13</v>
      </c>
      <c r="P19" s="46" t="s">
        <v>572</v>
      </c>
      <c r="Q19" s="64" t="s">
        <v>573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52</v>
      </c>
      <c r="O20" s="76" t="s">
        <v>62</v>
      </c>
      <c r="P20" s="74" t="s">
        <v>201</v>
      </c>
      <c r="Q20" s="64" t="s">
        <v>202</v>
      </c>
    </row>
    <row r="21" spans="1:20" ht="25.5" customHeight="1" x14ac:dyDescent="0.25">
      <c r="A21" s="16" t="s">
        <v>46</v>
      </c>
      <c r="B21" s="65">
        <v>206.24305555555554</v>
      </c>
      <c r="C21" s="65">
        <v>206.54166666666666</v>
      </c>
      <c r="D21" s="65">
        <f t="shared" ref="D21:D23" si="5">C21-B21</f>
        <v>0.29861111111111427</v>
      </c>
      <c r="E21" s="65">
        <v>206.61458333333334</v>
      </c>
      <c r="F21" s="65">
        <v>206.875</v>
      </c>
      <c r="G21" s="65">
        <f>F21-E21</f>
        <v>0.26041666666665719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0.85763888888888573</v>
      </c>
      <c r="M21" s="151" t="s">
        <v>47</v>
      </c>
      <c r="N21" s="64">
        <f>M17+M12+M7</f>
        <v>60</v>
      </c>
      <c r="O21" s="77" t="s">
        <v>66</v>
      </c>
      <c r="P21" s="74" t="s">
        <v>574</v>
      </c>
      <c r="Q21" s="64" t="s">
        <v>575</v>
      </c>
    </row>
    <row r="22" spans="1:20" ht="27" customHeight="1" x14ac:dyDescent="0.25">
      <c r="A22" s="16" t="s">
        <v>48</v>
      </c>
      <c r="B22" s="65">
        <v>206.33333333333334</v>
      </c>
      <c r="C22" s="65">
        <v>206.48958333333334</v>
      </c>
      <c r="D22" s="65">
        <f t="shared" si="5"/>
        <v>0.15625</v>
      </c>
      <c r="E22" s="65">
        <v>206.59027777777777</v>
      </c>
      <c r="F22" s="65">
        <v>206.875</v>
      </c>
      <c r="G22" s="65">
        <f>F22-E22</f>
        <v>0.28472222222222854</v>
      </c>
      <c r="H22" s="65">
        <v>206.91319444444446</v>
      </c>
      <c r="I22" s="65">
        <v>207.20833333333334</v>
      </c>
      <c r="J22" s="70">
        <f>I22-H22-K22</f>
        <v>0.29513888888888573</v>
      </c>
      <c r="K22" s="74"/>
      <c r="L22" s="72">
        <f>D22+G22+J22</f>
        <v>0.73611111111111427</v>
      </c>
      <c r="M22" s="240" t="s">
        <v>207</v>
      </c>
      <c r="N22" s="64">
        <v>38260</v>
      </c>
      <c r="O22" s="79" t="s">
        <v>63</v>
      </c>
      <c r="P22" s="74" t="s">
        <v>576</v>
      </c>
      <c r="Q22" s="64" t="s">
        <v>577</v>
      </c>
    </row>
    <row r="23" spans="1:20" ht="27" customHeight="1" x14ac:dyDescent="0.25">
      <c r="A23" s="154" t="s">
        <v>50</v>
      </c>
      <c r="B23" s="65">
        <v>206.25</v>
      </c>
      <c r="C23" s="65">
        <v>206.54166666666666</v>
      </c>
      <c r="D23" s="65">
        <f t="shared" si="5"/>
        <v>0.29166666666665719</v>
      </c>
      <c r="E23" s="65">
        <v>206.61458333333334</v>
      </c>
      <c r="F23" s="65">
        <v>206.875</v>
      </c>
      <c r="G23" s="65">
        <f>F23-E23</f>
        <v>0.26041666666665719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0.84375</v>
      </c>
      <c r="M23" s="151" t="s">
        <v>61</v>
      </c>
      <c r="N23" s="84">
        <v>10</v>
      </c>
      <c r="O23" s="85" t="s">
        <v>64</v>
      </c>
      <c r="P23" s="75">
        <v>25</v>
      </c>
      <c r="Q23" s="64" t="s">
        <v>578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0.74652777777777146</v>
      </c>
      <c r="E24" s="67"/>
      <c r="F24" s="67"/>
      <c r="G24" s="65">
        <f>SUM(G21:G23)</f>
        <v>0.80555555555554292</v>
      </c>
      <c r="H24" s="67"/>
      <c r="I24" s="67"/>
      <c r="J24" s="70">
        <f>SUM(J21:J23)</f>
        <v>0.88541666666668561</v>
      </c>
      <c r="K24" s="74"/>
      <c r="L24" s="82">
        <f>SUM(L21:L23)</f>
        <v>2.4375</v>
      </c>
      <c r="M24" s="156" t="s">
        <v>206</v>
      </c>
      <c r="N24" s="64">
        <v>38131.97</v>
      </c>
      <c r="P24" s="238" t="s">
        <v>203</v>
      </c>
      <c r="Q24" s="43">
        <v>57144.58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N24+Sheet23!O25</f>
        <v>711571.48999999987</v>
      </c>
      <c r="P25" s="151" t="s">
        <v>205</v>
      </c>
      <c r="Q25" s="86">
        <v>52483.03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4000</v>
      </c>
      <c r="P26" s="239" t="s">
        <v>204</v>
      </c>
      <c r="Q26" s="68">
        <v>754008.68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58.3</v>
      </c>
      <c r="M27" s="55"/>
      <c r="N27" s="87">
        <f>N22/L27</f>
        <v>656.26072041166378</v>
      </c>
      <c r="O27" s="80" t="s">
        <v>71</v>
      </c>
      <c r="P27" s="68"/>
      <c r="Q27" s="64" t="s">
        <v>579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K22" sqref="K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9" width="9.140625" style="1"/>
    <col min="20" max="20" width="19.28515625" style="1" customWidth="1"/>
    <col min="21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582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14</v>
      </c>
      <c r="E4" s="22">
        <v>26</v>
      </c>
      <c r="F4" s="22">
        <v>30</v>
      </c>
      <c r="G4" s="22">
        <v>5</v>
      </c>
      <c r="H4" s="22">
        <v>20</v>
      </c>
      <c r="I4" s="22">
        <v>25</v>
      </c>
      <c r="J4" s="22">
        <v>20</v>
      </c>
      <c r="K4" s="22">
        <v>165</v>
      </c>
      <c r="L4" s="22">
        <v>65</v>
      </c>
      <c r="M4" s="90">
        <f t="shared" ref="M4:M6" si="0">K4+L4</f>
        <v>230</v>
      </c>
      <c r="N4" s="101" t="s">
        <v>214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146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4</v>
      </c>
      <c r="F6" s="22">
        <v>5</v>
      </c>
      <c r="G6" s="22">
        <v>3</v>
      </c>
      <c r="H6" s="22">
        <v>5</v>
      </c>
      <c r="I6" s="22">
        <v>6</v>
      </c>
      <c r="J6" s="22">
        <v>4</v>
      </c>
      <c r="K6" s="22">
        <v>22</v>
      </c>
      <c r="L6" s="22">
        <v>11</v>
      </c>
      <c r="M6" s="90">
        <f t="shared" si="0"/>
        <v>33</v>
      </c>
      <c r="N6" s="101" t="s">
        <v>55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>
        <v>7</v>
      </c>
      <c r="H7" s="22">
        <v>3</v>
      </c>
      <c r="I7" s="22">
        <v>4</v>
      </c>
      <c r="J7" s="22">
        <v>2</v>
      </c>
      <c r="K7" s="22">
        <v>16</v>
      </c>
      <c r="L7" s="22">
        <v>0</v>
      </c>
      <c r="M7" s="90">
        <f t="shared" ref="M7" si="1">K7+L7</f>
        <v>16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18</v>
      </c>
      <c r="E9" s="22">
        <v>22</v>
      </c>
      <c r="F9" s="22">
        <v>42</v>
      </c>
      <c r="G9" s="22">
        <v>15</v>
      </c>
      <c r="H9" s="22">
        <v>10</v>
      </c>
      <c r="I9" s="22">
        <v>19</v>
      </c>
      <c r="J9" s="22">
        <v>21</v>
      </c>
      <c r="K9" s="22">
        <v>163</v>
      </c>
      <c r="L9" s="22">
        <v>42</v>
      </c>
      <c r="M9" s="90">
        <f t="shared" ref="M9:M12" si="2">K9+L9</f>
        <v>205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2</v>
      </c>
      <c r="F10" s="22"/>
      <c r="G10" s="22">
        <v>3</v>
      </c>
      <c r="H10" s="22">
        <v>2</v>
      </c>
      <c r="I10" s="22"/>
      <c r="J10" s="22"/>
      <c r="K10" s="22">
        <v>10</v>
      </c>
      <c r="L10" s="22">
        <v>0</v>
      </c>
      <c r="M10" s="90">
        <f t="shared" si="2"/>
        <v>10</v>
      </c>
      <c r="N10" s="81" t="s">
        <v>214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10</v>
      </c>
      <c r="F11" s="22">
        <v>10</v>
      </c>
      <c r="G11" s="22">
        <v>4</v>
      </c>
      <c r="H11" s="22">
        <v>4</v>
      </c>
      <c r="I11" s="22">
        <v>15</v>
      </c>
      <c r="J11" s="22">
        <v>7</v>
      </c>
      <c r="K11" s="22">
        <v>45</v>
      </c>
      <c r="L11" s="22">
        <v>15</v>
      </c>
      <c r="M11" s="90">
        <f t="shared" si="2"/>
        <v>60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0">
        <f t="shared" si="2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32</v>
      </c>
      <c r="F14" s="22">
        <v>24</v>
      </c>
      <c r="G14" s="22">
        <v>20</v>
      </c>
      <c r="H14" s="22">
        <v>15</v>
      </c>
      <c r="I14" s="22">
        <v>13</v>
      </c>
      <c r="J14" s="22">
        <v>12</v>
      </c>
      <c r="K14" s="22">
        <v>171</v>
      </c>
      <c r="L14" s="22">
        <v>56</v>
      </c>
      <c r="M14" s="90">
        <f t="shared" ref="M14:M17" si="3">K14+L14</f>
        <v>227</v>
      </c>
      <c r="N14" s="100" t="s">
        <v>146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3"/>
        <v>0</v>
      </c>
      <c r="N15" s="100" t="s">
        <v>219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4</v>
      </c>
      <c r="E16" s="22">
        <v>6</v>
      </c>
      <c r="F16" s="22">
        <v>7</v>
      </c>
      <c r="G16" s="22">
        <v>6</v>
      </c>
      <c r="H16" s="22">
        <v>3</v>
      </c>
      <c r="I16" s="22">
        <v>4</v>
      </c>
      <c r="J16" s="22"/>
      <c r="K16" s="22">
        <v>30</v>
      </c>
      <c r="L16" s="22">
        <v>0</v>
      </c>
      <c r="M16" s="90">
        <f t="shared" si="3"/>
        <v>30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/>
      <c r="G17" s="22"/>
      <c r="H17" s="22"/>
      <c r="I17" s="22"/>
      <c r="J17" s="22"/>
      <c r="K17" s="22">
        <v>4</v>
      </c>
      <c r="L17" s="22">
        <v>0</v>
      </c>
      <c r="M17" s="90">
        <f t="shared" si="3"/>
        <v>4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662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10</v>
      </c>
      <c r="O19" s="68">
        <v>981</v>
      </c>
      <c r="P19" s="46" t="s">
        <v>522</v>
      </c>
      <c r="Q19" s="64" t="s">
        <v>580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123</v>
      </c>
      <c r="O20" s="76" t="s">
        <v>62</v>
      </c>
      <c r="P20" s="74" t="s">
        <v>201</v>
      </c>
      <c r="Q20" s="64" t="s">
        <v>581</v>
      </c>
    </row>
    <row r="21" spans="1:20" ht="25.5" customHeight="1" x14ac:dyDescent="0.25">
      <c r="A21" s="16" t="s">
        <v>46</v>
      </c>
      <c r="B21" s="65">
        <v>206.29166666666666</v>
      </c>
      <c r="C21" s="65">
        <v>206.5</v>
      </c>
      <c r="D21" s="65">
        <f t="shared" ref="D21:D23" si="4">C21-B21</f>
        <v>0.20833333333334281</v>
      </c>
      <c r="E21" s="65">
        <v>206.59722222222223</v>
      </c>
      <c r="F21" s="65">
        <v>206.875</v>
      </c>
      <c r="G21" s="65">
        <f>F21-E21</f>
        <v>0.27777777777777146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0.77083333333334281</v>
      </c>
      <c r="M21" s="151" t="s">
        <v>47</v>
      </c>
      <c r="N21" s="64">
        <f>M17+M12+M7</f>
        <v>20</v>
      </c>
      <c r="O21" s="77" t="s">
        <v>66</v>
      </c>
      <c r="P21" s="74" t="s">
        <v>241</v>
      </c>
      <c r="Q21" s="64" t="s">
        <v>242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 t="shared" si="4"/>
        <v>0.25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206.92013888888889</v>
      </c>
      <c r="I22" s="65">
        <v>207.20833333333334</v>
      </c>
      <c r="J22" s="70">
        <f>I22-H22-K22</f>
        <v>0.28819444444445708</v>
      </c>
      <c r="K22" s="74"/>
      <c r="L22" s="72">
        <f>D22+G22+J22</f>
        <v>0.82986111111111427</v>
      </c>
      <c r="M22" s="240" t="s">
        <v>207</v>
      </c>
      <c r="N22" s="64">
        <v>38231.97</v>
      </c>
      <c r="O22" s="79" t="s">
        <v>63</v>
      </c>
      <c r="P22" s="74" t="s">
        <v>217</v>
      </c>
      <c r="Q22" s="64" t="s">
        <v>243</v>
      </c>
    </row>
    <row r="23" spans="1:20" ht="27" customHeight="1" x14ac:dyDescent="0.25">
      <c r="A23" s="154" t="s">
        <v>50</v>
      </c>
      <c r="B23" s="65">
        <v>206.27083333333334</v>
      </c>
      <c r="C23" s="65">
        <v>206.54166666666666</v>
      </c>
      <c r="D23" s="65">
        <f t="shared" si="4"/>
        <v>0.27083333333331439</v>
      </c>
      <c r="E23" s="65">
        <v>206.59375</v>
      </c>
      <c r="F23" s="65">
        <v>206.875</v>
      </c>
      <c r="G23" s="65">
        <f t="shared" ref="G23" si="5">F23-E23</f>
        <v>0.28125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0.84375</v>
      </c>
      <c r="M23" s="151" t="s">
        <v>61</v>
      </c>
      <c r="N23" s="84">
        <v>10</v>
      </c>
      <c r="O23" s="85" t="s">
        <v>64</v>
      </c>
      <c r="P23" s="75">
        <v>34</v>
      </c>
      <c r="Q23" s="64">
        <v>1263.1300000000001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0.72916666666665719</v>
      </c>
      <c r="E24" s="67"/>
      <c r="F24" s="67"/>
      <c r="G24" s="65">
        <f>SUM(G21:G23)</f>
        <v>0.85069444444442865</v>
      </c>
      <c r="H24" s="67"/>
      <c r="I24" s="67"/>
      <c r="J24" s="70">
        <f>SUM(J21:J23)</f>
        <v>0.86458333333337123</v>
      </c>
      <c r="K24" s="74"/>
      <c r="L24" s="82">
        <f>SUM(L21:L23)</f>
        <v>2.4444444444444571</v>
      </c>
      <c r="M24" s="156" t="s">
        <v>206</v>
      </c>
      <c r="N24" s="64">
        <v>38100</v>
      </c>
      <c r="P24" s="238" t="s">
        <v>203</v>
      </c>
      <c r="Q24" s="43">
        <v>52148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N24+Sheet24!O25</f>
        <v>749671.48999999987</v>
      </c>
      <c r="P25" s="151" t="s">
        <v>205</v>
      </c>
      <c r="Q25" s="86">
        <v>51134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41000</v>
      </c>
      <c r="P26" s="239" t="s">
        <v>204</v>
      </c>
      <c r="Q26" s="68">
        <f>Q24+Sheet24!Q26</f>
        <v>806156.68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58.4</v>
      </c>
      <c r="M27" s="55"/>
      <c r="N27" s="87">
        <f>N22/L27</f>
        <v>654.65702054794519</v>
      </c>
      <c r="O27" s="80" t="s">
        <v>71</v>
      </c>
      <c r="P27" s="68"/>
      <c r="Q27" s="64" t="s">
        <v>196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  <c r="T29" s="1" t="s">
        <v>13</v>
      </c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19685039370078741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L22" sqref="L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584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38</v>
      </c>
      <c r="F4" s="22">
        <v>40</v>
      </c>
      <c r="G4" s="22">
        <v>30</v>
      </c>
      <c r="H4" s="22">
        <v>42</v>
      </c>
      <c r="I4" s="22">
        <v>37</v>
      </c>
      <c r="J4" s="22">
        <v>29</v>
      </c>
      <c r="K4" s="22">
        <v>206</v>
      </c>
      <c r="L4" s="22">
        <v>50</v>
      </c>
      <c r="M4" s="90">
        <f t="shared" ref="M4:M7" si="0">K4+L4</f>
        <v>256</v>
      </c>
      <c r="N4" s="101" t="s">
        <v>146</v>
      </c>
      <c r="O4" s="92" t="s">
        <v>85</v>
      </c>
      <c r="P4" s="294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0">
        <f t="shared" si="0"/>
        <v>0</v>
      </c>
      <c r="N6" s="101" t="s">
        <v>590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>
        <v>4</v>
      </c>
      <c r="E7" s="22">
        <v>4</v>
      </c>
      <c r="F7" s="22"/>
      <c r="G7" s="22"/>
      <c r="H7" s="22">
        <v>5</v>
      </c>
      <c r="I7" s="22">
        <v>4</v>
      </c>
      <c r="J7" s="22">
        <v>5</v>
      </c>
      <c r="K7" s="22">
        <v>22</v>
      </c>
      <c r="L7" s="22">
        <v>0</v>
      </c>
      <c r="M7" s="90">
        <f t="shared" si="0"/>
        <v>22</v>
      </c>
      <c r="N7" s="101" t="s">
        <v>55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36</v>
      </c>
      <c r="E9" s="22">
        <v>38</v>
      </c>
      <c r="F9" s="22">
        <v>35</v>
      </c>
      <c r="G9" s="22">
        <v>38</v>
      </c>
      <c r="H9" s="22">
        <v>32</v>
      </c>
      <c r="I9" s="22">
        <v>24</v>
      </c>
      <c r="J9" s="22">
        <v>32</v>
      </c>
      <c r="K9" s="22">
        <v>170</v>
      </c>
      <c r="L9" s="22">
        <v>75</v>
      </c>
      <c r="M9" s="90">
        <f t="shared" ref="M9:M12" si="1">K9+L9</f>
        <v>245</v>
      </c>
      <c r="N9" s="81" t="s">
        <v>146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0">
        <f t="shared" si="1"/>
        <v>0</v>
      </c>
      <c r="N10" s="81" t="s">
        <v>240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4</v>
      </c>
      <c r="E11" s="22">
        <v>3</v>
      </c>
      <c r="F11" s="22">
        <v>3</v>
      </c>
      <c r="G11" s="22"/>
      <c r="H11" s="22" t="s">
        <v>13</v>
      </c>
      <c r="I11" s="22">
        <v>5</v>
      </c>
      <c r="J11" s="22">
        <v>5</v>
      </c>
      <c r="K11" s="22">
        <v>15</v>
      </c>
      <c r="L11" s="22">
        <v>5</v>
      </c>
      <c r="M11" s="90">
        <f t="shared" si="1"/>
        <v>20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0">
        <f t="shared" si="1"/>
        <v>0</v>
      </c>
      <c r="N12" s="81" t="s">
        <v>460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23</v>
      </c>
      <c r="E14" s="22">
        <v>40</v>
      </c>
      <c r="F14" s="22">
        <v>42</v>
      </c>
      <c r="G14" s="22">
        <v>25</v>
      </c>
      <c r="H14" s="22">
        <v>35</v>
      </c>
      <c r="I14" s="22">
        <v>30</v>
      </c>
      <c r="J14" s="22">
        <v>40</v>
      </c>
      <c r="K14" s="22">
        <v>180</v>
      </c>
      <c r="L14" s="22">
        <v>55</v>
      </c>
      <c r="M14" s="90">
        <f t="shared" ref="M14:M17" si="2">K14+L14</f>
        <v>235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2"/>
        <v>0</v>
      </c>
      <c r="N15" s="100" t="s">
        <v>214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4</v>
      </c>
      <c r="E16" s="22">
        <v>5</v>
      </c>
      <c r="F16" s="22">
        <v>12</v>
      </c>
      <c r="G16" s="22">
        <v>14</v>
      </c>
      <c r="H16" s="22">
        <v>15</v>
      </c>
      <c r="I16" s="22">
        <v>10</v>
      </c>
      <c r="J16" s="22">
        <v>10</v>
      </c>
      <c r="K16" s="22">
        <v>65</v>
      </c>
      <c r="L16" s="22">
        <v>5</v>
      </c>
      <c r="M16" s="90">
        <f t="shared" si="2"/>
        <v>70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0">
        <f t="shared" si="2"/>
        <v>0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736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0</v>
      </c>
      <c r="O19" s="68" t="s">
        <v>13</v>
      </c>
      <c r="P19" s="46" t="s">
        <v>522</v>
      </c>
      <c r="Q19" s="64" t="s">
        <v>589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90</v>
      </c>
      <c r="O20" s="76" t="s">
        <v>62</v>
      </c>
      <c r="P20" s="74" t="s">
        <v>201</v>
      </c>
      <c r="Q20" s="64" t="s">
        <v>588</v>
      </c>
    </row>
    <row r="21" spans="1:20" ht="25.5" customHeight="1" x14ac:dyDescent="0.25">
      <c r="A21" s="16" t="s">
        <v>46</v>
      </c>
      <c r="B21" s="65">
        <v>206.27083333333334</v>
      </c>
      <c r="C21" s="65">
        <v>206.5</v>
      </c>
      <c r="D21" s="65">
        <f t="shared" ref="D21:D22" si="3">C21-B21</f>
        <v>0.22916666666665719</v>
      </c>
      <c r="E21" s="65">
        <v>206.57638888888889</v>
      </c>
      <c r="F21" s="65">
        <v>206.875</v>
      </c>
      <c r="G21" s="65">
        <f>F21-E21</f>
        <v>0.29861111111111427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0.86111111111111427</v>
      </c>
      <c r="M21" s="151" t="s">
        <v>47</v>
      </c>
      <c r="N21" s="64">
        <f>M17+M12+M7</f>
        <v>22</v>
      </c>
      <c r="O21" s="77" t="s">
        <v>66</v>
      </c>
      <c r="P21" s="74" t="s">
        <v>586</v>
      </c>
      <c r="Q21" s="64" t="s">
        <v>587</v>
      </c>
    </row>
    <row r="22" spans="1:20" ht="27" customHeight="1" x14ac:dyDescent="0.25">
      <c r="A22" s="16" t="s">
        <v>48</v>
      </c>
      <c r="B22" s="65">
        <v>206.25694444444446</v>
      </c>
      <c r="C22" s="65">
        <v>206.54166666666666</v>
      </c>
      <c r="D22" s="65">
        <f t="shared" si="3"/>
        <v>0.28472222222220012</v>
      </c>
      <c r="E22" s="65">
        <v>206.57986111111111</v>
      </c>
      <c r="F22" s="65">
        <v>206.875</v>
      </c>
      <c r="G22" s="65">
        <f>F22-E22</f>
        <v>0.29513888888888573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0.91319444444442865</v>
      </c>
      <c r="M22" s="240" t="s">
        <v>207</v>
      </c>
      <c r="N22" s="64">
        <v>41900</v>
      </c>
      <c r="O22" s="79" t="s">
        <v>63</v>
      </c>
      <c r="P22" s="74" t="s">
        <v>531</v>
      </c>
      <c r="Q22" s="64" t="s">
        <v>585</v>
      </c>
    </row>
    <row r="23" spans="1:20" ht="27" customHeight="1" x14ac:dyDescent="0.25">
      <c r="A23" s="154" t="s">
        <v>50</v>
      </c>
      <c r="B23" s="65">
        <v>206.29166666666666</v>
      </c>
      <c r="C23" s="65">
        <v>206.54166666666666</v>
      </c>
      <c r="D23" s="65">
        <f t="shared" ref="D23" si="4">C23-B23</f>
        <v>0.25</v>
      </c>
      <c r="E23" s="65">
        <v>206.58333333333334</v>
      </c>
      <c r="F23" s="65">
        <v>206.875</v>
      </c>
      <c r="G23" s="65">
        <f t="shared" ref="G23" si="5">F23-E23</f>
        <v>0.29166666666665719</v>
      </c>
      <c r="H23" s="65">
        <v>206.97916666666666</v>
      </c>
      <c r="I23" s="65">
        <v>207.16666666666666</v>
      </c>
      <c r="J23" s="70">
        <f>I23-H23-K23</f>
        <v>0.1875</v>
      </c>
      <c r="K23" s="152"/>
      <c r="L23" s="153">
        <f>D23+G23+J23</f>
        <v>0.72916666666665719</v>
      </c>
      <c r="M23" s="151" t="s">
        <v>61</v>
      </c>
      <c r="N23" s="84">
        <v>10</v>
      </c>
      <c r="O23" s="85" t="s">
        <v>64</v>
      </c>
      <c r="P23" s="75">
        <v>35</v>
      </c>
      <c r="Q23" s="64">
        <v>1275.33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0.76388888888885731</v>
      </c>
      <c r="E24" s="67"/>
      <c r="F24" s="67"/>
      <c r="G24" s="65">
        <f>SUM(G21:G23)</f>
        <v>0.88541666666665719</v>
      </c>
      <c r="H24" s="67"/>
      <c r="I24" s="67"/>
      <c r="J24" s="70">
        <f>SUM(J21:J23)</f>
        <v>0.85416666666668561</v>
      </c>
      <c r="K24" s="74"/>
      <c r="L24" s="82">
        <f>SUM(L21:L23)</f>
        <v>2.5034722222222001</v>
      </c>
      <c r="M24" s="156" t="s">
        <v>206</v>
      </c>
      <c r="N24" s="64">
        <v>37663.22</v>
      </c>
      <c r="P24" s="238" t="s">
        <v>203</v>
      </c>
      <c r="Q24" s="43">
        <v>52510.18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N24+Sheet24!O25</f>
        <v>749234.70999999985</v>
      </c>
      <c r="P25" s="151" t="s">
        <v>205</v>
      </c>
      <c r="Q25" s="86">
        <v>57157.99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51000</v>
      </c>
      <c r="P26" s="239" t="s">
        <v>204</v>
      </c>
      <c r="Q26" s="68">
        <f>Q24+Sheet24!Q26</f>
        <v>806518.8600000001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60.05</v>
      </c>
      <c r="M27" s="55"/>
      <c r="N27" s="87">
        <f>N22/L27</f>
        <v>697.751873438801</v>
      </c>
      <c r="O27" s="80" t="s">
        <v>71</v>
      </c>
      <c r="P27" s="68"/>
      <c r="Q27" s="64" t="s">
        <v>196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599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32</v>
      </c>
      <c r="F4" s="22">
        <v>28</v>
      </c>
      <c r="G4" s="22">
        <v>30</v>
      </c>
      <c r="H4" s="22">
        <v>20</v>
      </c>
      <c r="I4" s="22">
        <v>23</v>
      </c>
      <c r="J4" s="22">
        <v>20</v>
      </c>
      <c r="K4" s="22">
        <v>113</v>
      </c>
      <c r="L4" s="22">
        <v>70</v>
      </c>
      <c r="M4" s="90">
        <v>183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0"/>
      <c r="N5" s="101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13</v>
      </c>
      <c r="E6" s="22">
        <v>15</v>
      </c>
      <c r="F6" s="22">
        <v>12</v>
      </c>
      <c r="G6" s="22">
        <v>10</v>
      </c>
      <c r="H6" s="22"/>
      <c r="I6" s="22">
        <v>10</v>
      </c>
      <c r="J6" s="22"/>
      <c r="K6" s="22">
        <v>50</v>
      </c>
      <c r="L6" s="22">
        <v>10</v>
      </c>
      <c r="M6" s="90">
        <v>60</v>
      </c>
      <c r="N6" s="101" t="s">
        <v>146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>
        <v>3</v>
      </c>
      <c r="E7" s="22"/>
      <c r="F7" s="22">
        <v>3</v>
      </c>
      <c r="G7" s="22"/>
      <c r="H7" s="22">
        <v>5</v>
      </c>
      <c r="I7" s="22"/>
      <c r="J7" s="22">
        <v>1</v>
      </c>
      <c r="K7" s="22">
        <v>15</v>
      </c>
      <c r="L7" s="22">
        <v>2</v>
      </c>
      <c r="M7" s="90">
        <v>17</v>
      </c>
      <c r="N7" s="101" t="s">
        <v>146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40</v>
      </c>
      <c r="E9" s="22">
        <v>43</v>
      </c>
      <c r="F9" s="22">
        <v>29</v>
      </c>
      <c r="G9" s="22">
        <v>28</v>
      </c>
      <c r="H9" s="22"/>
      <c r="I9" s="22"/>
      <c r="J9" s="22"/>
      <c r="K9" s="22">
        <v>173</v>
      </c>
      <c r="L9" s="22">
        <v>65</v>
      </c>
      <c r="M9" s="90">
        <v>238</v>
      </c>
      <c r="N9" s="81" t="s">
        <v>214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7</v>
      </c>
      <c r="L10" s="22">
        <v>0</v>
      </c>
      <c r="M10" s="90">
        <v>7</v>
      </c>
      <c r="N10" s="81" t="s">
        <v>55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>
        <v>2</v>
      </c>
      <c r="G11" s="22">
        <v>3</v>
      </c>
      <c r="H11" s="22"/>
      <c r="I11" s="22"/>
      <c r="J11" s="22"/>
      <c r="K11" s="22">
        <v>20</v>
      </c>
      <c r="L11" s="22">
        <v>0</v>
      </c>
      <c r="M11" s="90">
        <v>20</v>
      </c>
      <c r="N11" s="81" t="s">
        <v>55</v>
      </c>
      <c r="O11" s="249">
        <v>4.3</v>
      </c>
      <c r="P11" s="249">
        <v>21.5</v>
      </c>
      <c r="Q11" s="33" t="s">
        <v>13</v>
      </c>
    </row>
    <row r="12" spans="1:21" ht="13.5" customHeight="1" x14ac:dyDescent="0.25">
      <c r="A12" s="36"/>
      <c r="B12" s="34" t="s">
        <v>19</v>
      </c>
      <c r="C12" s="22"/>
      <c r="D12" s="22">
        <v>5</v>
      </c>
      <c r="E12" s="22">
        <v>6</v>
      </c>
      <c r="F12" s="22"/>
      <c r="G12" s="22"/>
      <c r="H12" s="22"/>
      <c r="I12" s="22"/>
      <c r="J12" s="22"/>
      <c r="K12" s="22">
        <v>17</v>
      </c>
      <c r="L12" s="22">
        <v>0</v>
      </c>
      <c r="M12" s="90">
        <v>17</v>
      </c>
      <c r="N12" s="81" t="s">
        <v>460</v>
      </c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>
        <v>10</v>
      </c>
      <c r="D14" s="22">
        <v>42</v>
      </c>
      <c r="E14" s="22">
        <v>32</v>
      </c>
      <c r="F14" s="22">
        <v>44</v>
      </c>
      <c r="G14" s="22">
        <v>33</v>
      </c>
      <c r="H14" s="22">
        <v>50</v>
      </c>
      <c r="I14" s="22">
        <v>45</v>
      </c>
      <c r="J14" s="22">
        <v>38</v>
      </c>
      <c r="K14" s="22">
        <v>191</v>
      </c>
      <c r="L14" s="22">
        <v>103</v>
      </c>
      <c r="M14" s="90">
        <v>294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v>0</v>
      </c>
      <c r="N15" s="100" t="s">
        <v>240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2</v>
      </c>
      <c r="E16" s="22">
        <v>1</v>
      </c>
      <c r="F16" s="22">
        <v>1</v>
      </c>
      <c r="G16" s="22">
        <v>2</v>
      </c>
      <c r="H16" s="22">
        <v>1</v>
      </c>
      <c r="I16" s="22">
        <v>1</v>
      </c>
      <c r="J16" s="22"/>
      <c r="K16" s="22">
        <v>8</v>
      </c>
      <c r="L16" s="22">
        <v>5</v>
      </c>
      <c r="M16" s="90">
        <v>13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7</v>
      </c>
      <c r="L17" s="22">
        <v>1</v>
      </c>
      <c r="M17" s="90">
        <v>8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715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7</v>
      </c>
      <c r="O19" s="68">
        <v>439</v>
      </c>
      <c r="P19" s="46" t="s">
        <v>572</v>
      </c>
      <c r="Q19" s="64" t="s">
        <v>591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93</v>
      </c>
      <c r="O20" s="76" t="s">
        <v>62</v>
      </c>
      <c r="P20" s="74" t="s">
        <v>201</v>
      </c>
      <c r="Q20" s="64" t="s">
        <v>592</v>
      </c>
    </row>
    <row r="21" spans="1:20" ht="25.5" customHeight="1" x14ac:dyDescent="0.25">
      <c r="A21" s="16" t="s">
        <v>46</v>
      </c>
      <c r="B21" s="65">
        <v>206.29166666666666</v>
      </c>
      <c r="C21" s="65">
        <v>206.54166666666666</v>
      </c>
      <c r="D21" s="65">
        <f t="shared" ref="D21:D23" si="0">C21-B21</f>
        <v>0.25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0.83680555555557135</v>
      </c>
      <c r="M21" s="151" t="s">
        <v>47</v>
      </c>
      <c r="N21" s="64">
        <f>M17+M12+M7</f>
        <v>42</v>
      </c>
      <c r="O21" s="77" t="s">
        <v>66</v>
      </c>
      <c r="P21" s="74" t="s">
        <v>593</v>
      </c>
      <c r="Q21" s="64" t="s">
        <v>594</v>
      </c>
    </row>
    <row r="22" spans="1:20" ht="27" customHeight="1" x14ac:dyDescent="0.25">
      <c r="A22" s="16" t="s">
        <v>48</v>
      </c>
      <c r="B22" s="65">
        <v>206.28472222222223</v>
      </c>
      <c r="C22" s="65">
        <v>206.54166666666666</v>
      </c>
      <c r="D22" s="65">
        <f t="shared" ref="D22" si="1">C22-B22</f>
        <v>0.25694444444442865</v>
      </c>
      <c r="E22" s="65">
        <v>206.59027777777777</v>
      </c>
      <c r="F22" s="65">
        <v>206.875</v>
      </c>
      <c r="G22" s="65">
        <f>F22-E22</f>
        <v>0.28472222222222854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0.83333333333334281</v>
      </c>
      <c r="M22" s="240" t="s">
        <v>207</v>
      </c>
      <c r="N22" s="64">
        <v>41541.74</v>
      </c>
      <c r="O22" s="79" t="s">
        <v>63</v>
      </c>
      <c r="P22" s="74" t="s">
        <v>595</v>
      </c>
      <c r="Q22" s="64" t="s">
        <v>596</v>
      </c>
    </row>
    <row r="23" spans="1:20" ht="27" customHeight="1" x14ac:dyDescent="0.25">
      <c r="A23" s="154" t="s">
        <v>50</v>
      </c>
      <c r="B23" s="65">
        <v>206.29513888888889</v>
      </c>
      <c r="C23" s="65">
        <v>206.54166666666666</v>
      </c>
      <c r="D23" s="65">
        <f t="shared" si="0"/>
        <v>0.24652777777777146</v>
      </c>
      <c r="E23" s="65">
        <v>206.59375</v>
      </c>
      <c r="F23" s="65">
        <v>206.875</v>
      </c>
      <c r="G23" s="65">
        <f t="shared" ref="G23" si="2">F23-E23</f>
        <v>0.28125</v>
      </c>
      <c r="H23" s="65">
        <v>206.92013888888889</v>
      </c>
      <c r="I23" s="65">
        <v>207.20833333333334</v>
      </c>
      <c r="J23" s="70">
        <f>I23-H23-K23</f>
        <v>0.28819444444445708</v>
      </c>
      <c r="K23" s="152"/>
      <c r="L23" s="153">
        <f>D23+G23+J23</f>
        <v>0.81597222222222854</v>
      </c>
      <c r="M23" s="151" t="s">
        <v>61</v>
      </c>
      <c r="N23" s="84">
        <v>10</v>
      </c>
      <c r="O23" s="85" t="s">
        <v>64</v>
      </c>
      <c r="P23" s="75" t="s">
        <v>597</v>
      </c>
      <c r="Q23" s="64">
        <v>777.42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0.75347222222220012</v>
      </c>
      <c r="E24" s="67"/>
      <c r="F24" s="67"/>
      <c r="G24" s="65">
        <f>SUM(G21:G23)</f>
        <v>0.85416666666668561</v>
      </c>
      <c r="H24" s="67"/>
      <c r="I24" s="67"/>
      <c r="J24" s="70">
        <f>SUM(J21:J23)</f>
        <v>0.87847222222225696</v>
      </c>
      <c r="K24" s="74"/>
      <c r="L24" s="82">
        <f>SUM(L21:L23)</f>
        <v>2.4861111111111427</v>
      </c>
      <c r="M24" s="156" t="s">
        <v>206</v>
      </c>
      <c r="N24" s="64">
        <v>38221.94</v>
      </c>
      <c r="P24" s="238" t="s">
        <v>203</v>
      </c>
      <c r="Q24" s="43">
        <v>52529.279999999999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N24+Sheet26!O25</f>
        <v>787456.64999999991</v>
      </c>
      <c r="P25" s="151" t="s">
        <v>205</v>
      </c>
      <c r="Q25" s="86">
        <v>57165.89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39" t="s">
        <v>204</v>
      </c>
      <c r="Q26" s="68">
        <f>Q24+Sheet26!Q26</f>
        <v>859048.14000000013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59.4</v>
      </c>
      <c r="M27" s="55"/>
      <c r="N27" s="87">
        <f>N22/L27</f>
        <v>699.35589225589229</v>
      </c>
      <c r="O27" s="80" t="s">
        <v>71</v>
      </c>
      <c r="P27" s="68"/>
      <c r="Q27" s="64" t="s">
        <v>598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7.57031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37</v>
      </c>
      <c r="F4" s="22">
        <v>30</v>
      </c>
      <c r="G4" s="22">
        <v>26</v>
      </c>
      <c r="H4" s="22">
        <v>25</v>
      </c>
      <c r="I4" s="22">
        <v>25</v>
      </c>
      <c r="J4" s="22">
        <v>24</v>
      </c>
      <c r="K4" s="22">
        <v>145</v>
      </c>
      <c r="L4" s="22">
        <v>52</v>
      </c>
      <c r="M4" s="90">
        <v>197</v>
      </c>
      <c r="N4" s="101" t="s">
        <v>146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0"/>
      <c r="N5" s="101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9</v>
      </c>
      <c r="E6" s="22">
        <v>11</v>
      </c>
      <c r="F6" s="22">
        <v>10</v>
      </c>
      <c r="G6" s="22">
        <v>4</v>
      </c>
      <c r="H6" s="22">
        <v>5</v>
      </c>
      <c r="I6" s="22">
        <v>6</v>
      </c>
      <c r="J6" s="22"/>
      <c r="K6" s="22">
        <v>40</v>
      </c>
      <c r="L6" s="22">
        <v>5</v>
      </c>
      <c r="M6" s="90">
        <v>45</v>
      </c>
      <c r="N6" s="101" t="s">
        <v>55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/>
      <c r="F7" s="22"/>
      <c r="G7" s="22"/>
      <c r="H7" s="22">
        <v>3</v>
      </c>
      <c r="I7" s="22">
        <v>3</v>
      </c>
      <c r="J7" s="22"/>
      <c r="K7" s="22">
        <v>8</v>
      </c>
      <c r="L7" s="22"/>
      <c r="M7" s="90">
        <v>8</v>
      </c>
      <c r="N7" s="101" t="s">
        <v>214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36</v>
      </c>
      <c r="E9" s="22">
        <v>38</v>
      </c>
      <c r="F9" s="22">
        <v>38</v>
      </c>
      <c r="G9" s="22">
        <v>20</v>
      </c>
      <c r="H9" s="22">
        <v>27</v>
      </c>
      <c r="I9" s="22">
        <v>41</v>
      </c>
      <c r="J9" s="22">
        <v>29</v>
      </c>
      <c r="K9" s="22">
        <v>175</v>
      </c>
      <c r="L9" s="22">
        <v>55</v>
      </c>
      <c r="M9" s="90">
        <v>230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2</v>
      </c>
      <c r="F10" s="22">
        <v>2</v>
      </c>
      <c r="G10" s="22"/>
      <c r="H10" s="22"/>
      <c r="I10" s="22">
        <v>1</v>
      </c>
      <c r="J10" s="22"/>
      <c r="K10" s="22">
        <v>7</v>
      </c>
      <c r="L10" s="22">
        <v>0</v>
      </c>
      <c r="M10" s="90">
        <f t="shared" ref="M10:M11" si="0">K10+L10</f>
        <v>7</v>
      </c>
      <c r="N10" s="81" t="s">
        <v>240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4</v>
      </c>
      <c r="E11" s="22">
        <v>2</v>
      </c>
      <c r="F11" s="22">
        <v>1</v>
      </c>
      <c r="G11" s="22">
        <v>2</v>
      </c>
      <c r="H11" s="22"/>
      <c r="I11" s="22">
        <v>1</v>
      </c>
      <c r="J11" s="22">
        <v>2</v>
      </c>
      <c r="K11" s="22">
        <v>12</v>
      </c>
      <c r="L11" s="22">
        <v>0</v>
      </c>
      <c r="M11" s="90">
        <f t="shared" si="0"/>
        <v>12</v>
      </c>
      <c r="N11" s="81" t="s">
        <v>214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6</v>
      </c>
      <c r="E12" s="22">
        <v>8</v>
      </c>
      <c r="F12" s="22">
        <v>7</v>
      </c>
      <c r="G12" s="22">
        <v>4</v>
      </c>
      <c r="H12" s="22">
        <v>6</v>
      </c>
      <c r="I12" s="22"/>
      <c r="J12" s="22"/>
      <c r="K12" s="22">
        <v>0</v>
      </c>
      <c r="L12" s="22">
        <v>0</v>
      </c>
      <c r="M12" s="90">
        <v>31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35</v>
      </c>
      <c r="E14" s="22">
        <v>50</v>
      </c>
      <c r="F14" s="22">
        <v>35</v>
      </c>
      <c r="G14" s="22">
        <v>45</v>
      </c>
      <c r="H14" s="22">
        <v>30</v>
      </c>
      <c r="I14" s="22">
        <v>25</v>
      </c>
      <c r="J14" s="22">
        <v>18</v>
      </c>
      <c r="K14" s="22">
        <v>165</v>
      </c>
      <c r="L14" s="22">
        <v>73</v>
      </c>
      <c r="M14" s="90">
        <v>238</v>
      </c>
      <c r="N14" s="100" t="s">
        <v>502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>
        <v>2</v>
      </c>
      <c r="E15" s="22">
        <v>1</v>
      </c>
      <c r="F15" s="22">
        <v>2</v>
      </c>
      <c r="G15" s="22">
        <v>1</v>
      </c>
      <c r="H15" s="22">
        <v>1</v>
      </c>
      <c r="I15" s="22">
        <v>2</v>
      </c>
      <c r="J15" s="22">
        <v>1</v>
      </c>
      <c r="K15" s="22">
        <v>10</v>
      </c>
      <c r="L15" s="22"/>
      <c r="M15" s="90">
        <v>10</v>
      </c>
      <c r="N15" s="100" t="s">
        <v>55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1</v>
      </c>
      <c r="E16" s="22">
        <v>1</v>
      </c>
      <c r="F16" s="22"/>
      <c r="G16" s="22">
        <v>1</v>
      </c>
      <c r="H16" s="22">
        <v>1</v>
      </c>
      <c r="I16" s="22">
        <v>2</v>
      </c>
      <c r="J16" s="22">
        <v>1</v>
      </c>
      <c r="K16" s="22"/>
      <c r="L16" s="22">
        <v>7</v>
      </c>
      <c r="M16" s="90">
        <v>7</v>
      </c>
      <c r="N16" s="100" t="s">
        <v>146</v>
      </c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4</v>
      </c>
      <c r="F17" s="22">
        <v>5</v>
      </c>
      <c r="G17" s="22">
        <v>10</v>
      </c>
      <c r="H17" s="22">
        <v>15</v>
      </c>
      <c r="I17" s="22">
        <v>1</v>
      </c>
      <c r="J17" s="22">
        <v>1</v>
      </c>
      <c r="K17" s="22">
        <v>39</v>
      </c>
      <c r="L17" s="22"/>
      <c r="M17" s="90">
        <v>39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665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17</v>
      </c>
      <c r="O19" s="68">
        <v>619</v>
      </c>
      <c r="P19" s="46" t="s">
        <v>493</v>
      </c>
      <c r="Q19" s="64" t="s">
        <v>497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64</v>
      </c>
      <c r="O20" s="76" t="s">
        <v>62</v>
      </c>
      <c r="P20" s="74" t="s">
        <v>494</v>
      </c>
      <c r="Q20" s="64" t="s">
        <v>498</v>
      </c>
    </row>
    <row r="21" spans="1:20" ht="25.5" customHeight="1" x14ac:dyDescent="0.25">
      <c r="A21" s="16" t="s">
        <v>46</v>
      </c>
      <c r="B21" s="65">
        <v>206.27083333333334</v>
      </c>
      <c r="C21" s="65">
        <v>206.5</v>
      </c>
      <c r="D21" s="65">
        <f t="shared" ref="D21:D23" si="1">C21-B21</f>
        <v>0.22916666666665719</v>
      </c>
      <c r="E21" s="65">
        <v>206.59375</v>
      </c>
      <c r="F21" s="65">
        <v>206.875</v>
      </c>
      <c r="G21" s="65">
        <f>F21-E21</f>
        <v>0.28125</v>
      </c>
      <c r="H21" s="65">
        <v>206.90625</v>
      </c>
      <c r="I21" s="65">
        <v>207.20833333333334</v>
      </c>
      <c r="J21" s="70">
        <f>I21-H21-K21</f>
        <v>0.30208333333334281</v>
      </c>
      <c r="K21" s="65"/>
      <c r="L21" s="72">
        <f>D21+G21+J21</f>
        <v>0.8125</v>
      </c>
      <c r="M21" s="151" t="s">
        <v>47</v>
      </c>
      <c r="N21" s="64">
        <f>M17+M12+M7</f>
        <v>78</v>
      </c>
      <c r="O21" s="77" t="s">
        <v>66</v>
      </c>
      <c r="P21" s="74" t="s">
        <v>495</v>
      </c>
      <c r="Q21" s="64" t="s">
        <v>499</v>
      </c>
    </row>
    <row r="22" spans="1:20" ht="27" customHeight="1" x14ac:dyDescent="0.25">
      <c r="A22" s="16" t="s">
        <v>492</v>
      </c>
      <c r="B22" s="65">
        <v>206.25</v>
      </c>
      <c r="C22" s="65">
        <v>206.54166666666666</v>
      </c>
      <c r="D22" s="65">
        <f t="shared" si="1"/>
        <v>0.29166666666665719</v>
      </c>
      <c r="E22" s="65">
        <v>206.59722222222223</v>
      </c>
      <c r="F22" s="65">
        <v>206.875</v>
      </c>
      <c r="G22" s="65">
        <f>F22-E22</f>
        <v>0.27777777777777146</v>
      </c>
      <c r="H22" s="65">
        <v>206.90972222222223</v>
      </c>
      <c r="I22" s="65">
        <v>207.20833333333334</v>
      </c>
      <c r="J22" s="70">
        <f>I22-H22-K22</f>
        <v>0.29861111111111427</v>
      </c>
      <c r="K22" s="74"/>
      <c r="L22" s="72">
        <f>D22+G22+J22</f>
        <v>0.86805555555554292</v>
      </c>
      <c r="M22" s="240" t="s">
        <v>207</v>
      </c>
      <c r="N22" s="64">
        <v>37884.17</v>
      </c>
      <c r="O22" s="79" t="s">
        <v>63</v>
      </c>
      <c r="P22" s="74" t="s">
        <v>496</v>
      </c>
      <c r="Q22" s="64" t="s">
        <v>500</v>
      </c>
    </row>
    <row r="23" spans="1:20" ht="27" customHeight="1" x14ac:dyDescent="0.25">
      <c r="A23" s="154" t="s">
        <v>50</v>
      </c>
      <c r="B23" s="65">
        <v>206.27083333333334</v>
      </c>
      <c r="C23" s="65">
        <v>206.54166666666666</v>
      </c>
      <c r="D23" s="65">
        <f t="shared" si="1"/>
        <v>0.27083333333331439</v>
      </c>
      <c r="E23" s="65">
        <v>206.63888888888889</v>
      </c>
      <c r="F23" s="65">
        <v>206.875</v>
      </c>
      <c r="G23" s="65">
        <f t="shared" ref="G23" si="2">F23-E23</f>
        <v>0.23611111111111427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0.79861111111111427</v>
      </c>
      <c r="M23" s="151" t="s">
        <v>61</v>
      </c>
      <c r="N23" s="84">
        <v>11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0.79166666666662877</v>
      </c>
      <c r="E24" s="67"/>
      <c r="F24" s="67"/>
      <c r="G24" s="65">
        <f>SUM(G21:G23)</f>
        <v>0.79513888888888573</v>
      </c>
      <c r="H24" s="67"/>
      <c r="I24" s="67"/>
      <c r="J24" s="70">
        <f>SUM(J21:J23)</f>
        <v>0.89236111111114269</v>
      </c>
      <c r="K24" s="74"/>
      <c r="L24" s="82">
        <f>SUM(L21:L23)</f>
        <v>2.4791666666666572</v>
      </c>
      <c r="M24" s="156" t="s">
        <v>206</v>
      </c>
      <c r="N24" s="64">
        <v>41850.58</v>
      </c>
      <c r="P24" s="238" t="s">
        <v>203</v>
      </c>
      <c r="Q24" s="43">
        <v>55163.88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v>871744.42</v>
      </c>
      <c r="P25" s="151" t="s">
        <v>205</v>
      </c>
      <c r="Q25" s="86">
        <v>60657.23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39" t="s">
        <v>204</v>
      </c>
      <c r="Q26" s="68">
        <f>Q24+Sheet27!Q26</f>
        <v>914212.02000000014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56.15</v>
      </c>
      <c r="M27" s="55"/>
      <c r="N27" s="87">
        <f>N22/L27</f>
        <v>674.69581478183431</v>
      </c>
      <c r="O27" s="80" t="s">
        <v>71</v>
      </c>
      <c r="P27" s="68"/>
      <c r="Q27" s="64" t="s">
        <v>501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G22" sqref="G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602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40</v>
      </c>
      <c r="E4" s="22">
        <v>42</v>
      </c>
      <c r="F4" s="22">
        <v>40</v>
      </c>
      <c r="G4" s="22">
        <v>26</v>
      </c>
      <c r="H4" s="22">
        <v>40</v>
      </c>
      <c r="I4" s="22">
        <v>35</v>
      </c>
      <c r="J4" s="22">
        <v>30</v>
      </c>
      <c r="K4" s="22">
        <v>205</v>
      </c>
      <c r="L4" s="22">
        <v>48</v>
      </c>
      <c r="M4" s="90">
        <v>253</v>
      </c>
      <c r="N4" s="101" t="s">
        <v>502</v>
      </c>
      <c r="O4" s="92" t="s">
        <v>85</v>
      </c>
      <c r="P4" s="237" t="s">
        <v>86</v>
      </c>
      <c r="Q4" s="33" t="s">
        <v>13</v>
      </c>
    </row>
    <row r="5" spans="1:21" ht="12.75" customHeight="1" x14ac:dyDescent="0.25">
      <c r="A5" s="23" t="s">
        <v>15</v>
      </c>
      <c r="B5" s="21" t="s">
        <v>16</v>
      </c>
      <c r="C5" s="22"/>
      <c r="D5" s="22"/>
      <c r="E5" s="22"/>
      <c r="F5" s="22">
        <v>4</v>
      </c>
      <c r="G5" s="22"/>
      <c r="H5" s="22"/>
      <c r="I5" s="22">
        <v>3</v>
      </c>
      <c r="J5" s="22"/>
      <c r="K5" s="22">
        <v>7</v>
      </c>
      <c r="L5" s="22"/>
      <c r="M5" s="90">
        <v>7</v>
      </c>
      <c r="N5" s="101" t="s">
        <v>510</v>
      </c>
      <c r="O5" s="65" t="s">
        <v>13</v>
      </c>
      <c r="P5" s="65" t="s">
        <v>13</v>
      </c>
      <c r="Q5" s="299" t="s">
        <v>603</v>
      </c>
    </row>
    <row r="6" spans="1:21" ht="26.25" customHeight="1" x14ac:dyDescent="0.25">
      <c r="A6" s="23" t="s">
        <v>17</v>
      </c>
      <c r="B6" s="21" t="s">
        <v>18</v>
      </c>
      <c r="C6" s="22"/>
      <c r="D6" s="22">
        <v>2</v>
      </c>
      <c r="E6" s="22">
        <v>3</v>
      </c>
      <c r="F6" s="22">
        <v>3</v>
      </c>
      <c r="G6" s="22"/>
      <c r="H6" s="22"/>
      <c r="I6" s="22"/>
      <c r="J6" s="22"/>
      <c r="K6" s="22">
        <v>8</v>
      </c>
      <c r="L6" s="22"/>
      <c r="M6" s="90">
        <v>8</v>
      </c>
      <c r="N6" s="101" t="s">
        <v>146</v>
      </c>
      <c r="O6" s="93"/>
      <c r="P6" s="64"/>
      <c r="Q6" s="3" t="s">
        <v>604</v>
      </c>
    </row>
    <row r="7" spans="1:21" ht="15" customHeight="1" x14ac:dyDescent="0.25">
      <c r="A7" s="25"/>
      <c r="B7" s="21" t="s">
        <v>19</v>
      </c>
      <c r="C7" s="22"/>
      <c r="D7" s="22">
        <v>14</v>
      </c>
      <c r="E7" s="22">
        <v>18</v>
      </c>
      <c r="F7" s="22">
        <v>13</v>
      </c>
      <c r="G7" s="22">
        <v>1</v>
      </c>
      <c r="H7" s="22">
        <v>16</v>
      </c>
      <c r="I7" s="22">
        <v>20</v>
      </c>
      <c r="J7" s="22"/>
      <c r="K7" s="22">
        <v>81</v>
      </c>
      <c r="L7" s="22">
        <v>1</v>
      </c>
      <c r="M7" s="90">
        <v>82</v>
      </c>
      <c r="N7" s="101" t="s">
        <v>55</v>
      </c>
      <c r="O7" s="94"/>
      <c r="P7" s="64"/>
      <c r="Q7" s="3" t="s">
        <v>605</v>
      </c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19" t="s">
        <v>511</v>
      </c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40</v>
      </c>
      <c r="F9" s="22">
        <v>50</v>
      </c>
      <c r="G9" s="22">
        <v>35</v>
      </c>
      <c r="H9" s="22">
        <v>35</v>
      </c>
      <c r="I9" s="22">
        <v>10</v>
      </c>
      <c r="J9" s="22">
        <v>15</v>
      </c>
      <c r="K9" s="22">
        <v>165</v>
      </c>
      <c r="L9" s="22">
        <v>50</v>
      </c>
      <c r="M9" s="90">
        <v>215</v>
      </c>
      <c r="N9" s="81" t="s">
        <v>214</v>
      </c>
      <c r="O9" s="96"/>
      <c r="P9" s="81"/>
      <c r="Q9" s="320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</v>
      </c>
      <c r="L10" s="22"/>
      <c r="M10" s="90">
        <v>3</v>
      </c>
      <c r="N10" s="81" t="s">
        <v>214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1</v>
      </c>
      <c r="F11" s="22">
        <v>2</v>
      </c>
      <c r="G11" s="22"/>
      <c r="H11" s="22"/>
      <c r="I11" s="22"/>
      <c r="J11" s="22"/>
      <c r="K11" s="22"/>
      <c r="L11" s="22">
        <v>5</v>
      </c>
      <c r="M11" s="90">
        <v>5</v>
      </c>
      <c r="N11" s="81" t="s">
        <v>55</v>
      </c>
      <c r="O11" s="81"/>
      <c r="P11" s="81"/>
      <c r="Q11" s="33"/>
    </row>
    <row r="12" spans="1:21" ht="14.25" customHeight="1" x14ac:dyDescent="0.25">
      <c r="A12" s="36"/>
      <c r="B12" s="34" t="s">
        <v>19</v>
      </c>
      <c r="C12" s="22"/>
      <c r="D12" s="22"/>
      <c r="E12" s="22"/>
      <c r="F12" s="22">
        <v>7</v>
      </c>
      <c r="G12" s="22">
        <v>15</v>
      </c>
      <c r="H12" s="22">
        <v>15</v>
      </c>
      <c r="I12" s="22"/>
      <c r="J12" s="22"/>
      <c r="K12" s="22">
        <v>45</v>
      </c>
      <c r="L12" s="22">
        <v>5</v>
      </c>
      <c r="M12" s="90">
        <v>50</v>
      </c>
      <c r="N12" s="81" t="s">
        <v>240</v>
      </c>
      <c r="O12" s="81"/>
      <c r="P12" s="81"/>
      <c r="Q12" s="230" t="s">
        <v>600</v>
      </c>
    </row>
    <row r="13" spans="1:21" ht="40.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230" t="s">
        <v>601</v>
      </c>
    </row>
    <row r="14" spans="1:21" ht="15" x14ac:dyDescent="0.25">
      <c r="A14" s="33"/>
      <c r="B14" s="21" t="s">
        <v>14</v>
      </c>
      <c r="C14" s="22">
        <v>5</v>
      </c>
      <c r="D14" s="22">
        <v>30</v>
      </c>
      <c r="E14" s="22">
        <v>36</v>
      </c>
      <c r="F14" s="22">
        <v>39</v>
      </c>
      <c r="G14" s="22">
        <v>28</v>
      </c>
      <c r="H14" s="22">
        <v>4</v>
      </c>
      <c r="I14" s="22">
        <v>42</v>
      </c>
      <c r="J14" s="22">
        <v>35</v>
      </c>
      <c r="K14" s="22">
        <v>175</v>
      </c>
      <c r="L14" s="22">
        <v>85</v>
      </c>
      <c r="M14" s="90">
        <v>260</v>
      </c>
      <c r="N14" s="100" t="s">
        <v>214</v>
      </c>
      <c r="O14" s="98"/>
      <c r="P14" s="81"/>
      <c r="Q14" s="230" t="s">
        <v>13</v>
      </c>
    </row>
    <row r="15" spans="1:21" ht="18" customHeight="1" x14ac:dyDescent="0.25">
      <c r="A15" s="103" t="s">
        <v>36</v>
      </c>
      <c r="B15" s="21" t="s">
        <v>16</v>
      </c>
      <c r="C15" s="22"/>
      <c r="D15" s="22">
        <v>2</v>
      </c>
      <c r="E15" s="22">
        <v>2</v>
      </c>
      <c r="F15" s="22">
        <v>3</v>
      </c>
      <c r="G15" s="22"/>
      <c r="H15" s="22">
        <v>1</v>
      </c>
      <c r="I15" s="22"/>
      <c r="J15" s="22"/>
      <c r="K15" s="22">
        <v>8</v>
      </c>
      <c r="L15" s="22"/>
      <c r="M15" s="90">
        <v>8</v>
      </c>
      <c r="N15" s="100" t="s">
        <v>502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>
        <v>3</v>
      </c>
      <c r="D16" s="22">
        <v>10</v>
      </c>
      <c r="E16" s="22">
        <v>8</v>
      </c>
      <c r="F16" s="22">
        <v>17</v>
      </c>
      <c r="G16" s="22">
        <v>15</v>
      </c>
      <c r="H16" s="22">
        <v>10</v>
      </c>
      <c r="I16" s="22">
        <v>9</v>
      </c>
      <c r="J16" s="22">
        <v>10</v>
      </c>
      <c r="K16" s="22">
        <v>65</v>
      </c>
      <c r="L16" s="22">
        <v>10</v>
      </c>
      <c r="M16" s="90">
        <v>75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2</v>
      </c>
      <c r="G17" s="22"/>
      <c r="H17" s="22">
        <v>3</v>
      </c>
      <c r="I17" s="22">
        <v>3</v>
      </c>
      <c r="J17" s="22"/>
      <c r="K17" s="22">
        <v>8</v>
      </c>
      <c r="L17" s="22"/>
      <c r="M17" s="90">
        <v>8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728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v>18</v>
      </c>
      <c r="O19" s="68">
        <v>1747.1</v>
      </c>
      <c r="P19" s="46" t="s">
        <v>220</v>
      </c>
      <c r="Q19" s="64" t="s">
        <v>505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v>88</v>
      </c>
      <c r="O20" s="76" t="s">
        <v>62</v>
      </c>
      <c r="P20" s="74" t="s">
        <v>245</v>
      </c>
      <c r="Q20" s="64" t="s">
        <v>506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0">C21-B21</f>
        <v>0.29166666666665719</v>
      </c>
      <c r="E21" s="65">
        <v>206.61111111111111</v>
      </c>
      <c r="F21" s="65">
        <v>206.875</v>
      </c>
      <c r="G21" s="65">
        <f>F21-E21</f>
        <v>0.26388888888888573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0.88888888888888573</v>
      </c>
      <c r="M21" s="151" t="s">
        <v>47</v>
      </c>
      <c r="N21" s="64">
        <v>140</v>
      </c>
      <c r="O21" s="77" t="s">
        <v>66</v>
      </c>
      <c r="P21" s="74" t="s">
        <v>246</v>
      </c>
      <c r="Q21" s="64" t="s">
        <v>507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 t="shared" si="0"/>
        <v>0.29166666666665719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206.91319444444446</v>
      </c>
      <c r="I22" s="65">
        <v>207.20833333333334</v>
      </c>
      <c r="J22" s="70">
        <f>I22-H22-K22</f>
        <v>0.29513888888888573</v>
      </c>
      <c r="K22" s="74"/>
      <c r="L22" s="72">
        <f>D22+G22+J22</f>
        <v>0.87847222222220012</v>
      </c>
      <c r="M22" s="240" t="s">
        <v>207</v>
      </c>
      <c r="N22" s="64">
        <v>42897.1</v>
      </c>
      <c r="O22" s="79" t="s">
        <v>63</v>
      </c>
      <c r="P22" s="74" t="s">
        <v>247</v>
      </c>
      <c r="Q22" s="64" t="s">
        <v>508</v>
      </c>
    </row>
    <row r="23" spans="1:20" ht="27" customHeight="1" x14ac:dyDescent="0.25">
      <c r="A23" s="154" t="s">
        <v>50</v>
      </c>
      <c r="B23" s="65">
        <v>206.26041666666666</v>
      </c>
      <c r="C23" s="65">
        <v>206.54166666666666</v>
      </c>
      <c r="D23" s="65">
        <f t="shared" si="0"/>
        <v>0.28125</v>
      </c>
      <c r="E23" s="65">
        <v>206.63194444444446</v>
      </c>
      <c r="F23" s="65">
        <v>206.875</v>
      </c>
      <c r="G23" s="65">
        <f t="shared" ref="G23" si="1">F23-E23</f>
        <v>0.24305555555554292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0.81597222222222854</v>
      </c>
      <c r="M23" s="151" t="s">
        <v>61</v>
      </c>
      <c r="N23" s="84">
        <v>10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0.86458333333331439</v>
      </c>
      <c r="E24" s="67"/>
      <c r="F24" s="67"/>
      <c r="G24" s="65">
        <f>SUM(G21:G23)</f>
        <v>0.79861111111108585</v>
      </c>
      <c r="H24" s="67"/>
      <c r="I24" s="67"/>
      <c r="J24" s="70">
        <f>SUM(J21:J23)</f>
        <v>0.92013888888891415</v>
      </c>
      <c r="K24" s="74"/>
      <c r="L24" s="82">
        <f>SUM(L21:L23)</f>
        <v>2.5833333333333144</v>
      </c>
      <c r="M24" s="156" t="s">
        <v>206</v>
      </c>
      <c r="N24" s="64">
        <v>38415.919999999998</v>
      </c>
      <c r="P24" s="238" t="s">
        <v>203</v>
      </c>
      <c r="Q24" s="43">
        <v>48708.54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N24+Sheet28!O25</f>
        <v>910160.34000000008</v>
      </c>
      <c r="P25" s="151" t="s">
        <v>205</v>
      </c>
      <c r="Q25" s="86">
        <v>53499.74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57000</v>
      </c>
      <c r="P26" s="239" t="s">
        <v>204</v>
      </c>
      <c r="Q26" s="68">
        <f>Q24+Sheet28!Q26</f>
        <v>962920.56000000017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</v>
      </c>
      <c r="M27" s="55"/>
      <c r="N27" s="87">
        <f>N22/L27</f>
        <v>691.88870967741934</v>
      </c>
      <c r="O27" s="80" t="s">
        <v>71</v>
      </c>
      <c r="P27" s="68"/>
      <c r="Q27" s="64" t="s">
        <v>509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8:Q9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6" workbookViewId="0">
      <selection activeCell="B21" sqref="B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" style="1" customWidth="1"/>
    <col min="14" max="14" width="10.140625" style="1" customWidth="1"/>
    <col min="15" max="15" width="14" style="1" customWidth="1"/>
    <col min="16" max="16" width="13.42578125" style="1" customWidth="1"/>
    <col min="17" max="17" width="22.57031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280</v>
      </c>
    </row>
    <row r="3" spans="1:17" ht="27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90"/>
      <c r="N4" s="101"/>
      <c r="O4" s="92" t="s">
        <v>85</v>
      </c>
      <c r="P4" s="102" t="s">
        <v>86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0"/>
      <c r="N5" s="101"/>
      <c r="O5" s="65"/>
      <c r="P5" s="65"/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90"/>
      <c r="N6" s="101"/>
      <c r="O6" s="93"/>
      <c r="P6" s="64"/>
      <c r="Q6" s="309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90"/>
      <c r="N7" s="101"/>
      <c r="O7" s="94"/>
      <c r="P7" s="64"/>
      <c r="Q7" s="310"/>
    </row>
    <row r="8" spans="1:17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17" ht="14.25" customHeight="1" x14ac:dyDescent="0.25">
      <c r="A9" s="33"/>
      <c r="B9" s="34" t="s">
        <v>14</v>
      </c>
      <c r="C9" s="22"/>
      <c r="D9" s="22"/>
      <c r="E9" s="22"/>
      <c r="F9" s="90"/>
      <c r="G9" s="22"/>
      <c r="H9" s="22"/>
      <c r="I9" s="22"/>
      <c r="J9" s="22"/>
      <c r="K9" s="22"/>
      <c r="L9" s="22"/>
      <c r="M9" s="90"/>
      <c r="N9" s="81"/>
      <c r="O9" s="81"/>
      <c r="P9" s="81" t="s">
        <v>197</v>
      </c>
      <c r="Q9" s="37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0"/>
      <c r="N10" s="81"/>
      <c r="O10" s="311" t="s">
        <v>117</v>
      </c>
      <c r="P10" s="312"/>
      <c r="Q10" s="43" t="s">
        <v>70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0"/>
      <c r="N11" s="81"/>
      <c r="O11" s="65"/>
      <c r="P11" s="65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0"/>
      <c r="N12" s="81"/>
      <c r="O12" s="81"/>
      <c r="P12" s="81"/>
      <c r="Q12" s="37" t="s">
        <v>13</v>
      </c>
    </row>
    <row r="13" spans="1:17" ht="33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O13" s="97"/>
      <c r="P13" s="81"/>
      <c r="Q13" s="37" t="s">
        <v>13</v>
      </c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0"/>
      <c r="N14" s="100"/>
      <c r="O14" s="98"/>
      <c r="P14" s="81"/>
      <c r="Q14" s="37"/>
    </row>
    <row r="15" spans="1:17" ht="14.25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0"/>
      <c r="N15" s="100"/>
      <c r="O15" s="99"/>
      <c r="P15" s="81"/>
      <c r="Q15" s="37"/>
    </row>
    <row r="16" spans="1:17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0"/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0"/>
      <c r="N17" s="100"/>
      <c r="O17" s="99" t="s">
        <v>283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0</v>
      </c>
      <c r="O18" s="313" t="s">
        <v>68</v>
      </c>
      <c r="P18" s="314"/>
      <c r="Q18" s="64" t="s">
        <v>67</v>
      </c>
    </row>
    <row r="19" spans="1:20" ht="27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0</v>
      </c>
      <c r="O19" s="68" t="s">
        <v>13</v>
      </c>
      <c r="P19" s="46" t="s">
        <v>284</v>
      </c>
      <c r="Q19" s="64"/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0</v>
      </c>
      <c r="O20" s="76" t="s">
        <v>62</v>
      </c>
      <c r="P20" s="74"/>
      <c r="Q20" s="64"/>
    </row>
    <row r="21" spans="1:20" ht="25.5" customHeight="1" x14ac:dyDescent="0.25">
      <c r="A21" s="16" t="s">
        <v>46</v>
      </c>
      <c r="B21" s="65">
        <v>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151" t="s">
        <v>47</v>
      </c>
      <c r="N21" s="64">
        <f>M17+M12+M7</f>
        <v>0</v>
      </c>
      <c r="O21" s="77" t="s">
        <v>66</v>
      </c>
      <c r="P21" s="74"/>
      <c r="Q21" s="64"/>
    </row>
    <row r="22" spans="1:20" ht="27" customHeight="1" x14ac:dyDescent="0.25">
      <c r="A22" s="16" t="s">
        <v>48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49" t="s">
        <v>49</v>
      </c>
      <c r="N22" s="64"/>
      <c r="O22" s="79" t="s">
        <v>63</v>
      </c>
      <c r="P22" s="74"/>
      <c r="Q22" s="64"/>
    </row>
    <row r="23" spans="1:20" ht="27" customHeight="1" x14ac:dyDescent="0.25">
      <c r="A23" s="154" t="s">
        <v>50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151" t="s">
        <v>61</v>
      </c>
      <c r="N23" s="84"/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4" t="s">
        <v>198</v>
      </c>
      <c r="N24" s="64"/>
      <c r="P24" s="78" t="s">
        <v>65</v>
      </c>
      <c r="Q24" s="43"/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76</v>
      </c>
      <c r="O25" s="68">
        <f>N24+Sheet2!O25</f>
        <v>40806.47</v>
      </c>
      <c r="P25" s="151" t="s">
        <v>74</v>
      </c>
      <c r="Q25" s="86"/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/>
      <c r="P26" s="51" t="s">
        <v>84</v>
      </c>
      <c r="Q26" s="68"/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/>
      <c r="M27" s="55"/>
      <c r="N27" s="87" t="e">
        <f>N22/L27</f>
        <v>#DIV/0!</v>
      </c>
      <c r="O27" s="80" t="s">
        <v>71</v>
      </c>
      <c r="P27" s="68"/>
      <c r="Q27" s="64" t="s">
        <v>199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5" workbookViewId="0">
      <selection activeCell="D23" sqref="D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606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34</v>
      </c>
      <c r="F4" s="22">
        <v>44</v>
      </c>
      <c r="G4" s="22">
        <v>22</v>
      </c>
      <c r="H4" s="22">
        <v>34</v>
      </c>
      <c r="I4" s="22">
        <v>40</v>
      </c>
      <c r="J4" s="22">
        <v>25</v>
      </c>
      <c r="K4" s="22">
        <v>195</v>
      </c>
      <c r="L4" s="22">
        <v>34</v>
      </c>
      <c r="M4" s="90">
        <v>229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1</v>
      </c>
      <c r="I5" s="22">
        <v>4</v>
      </c>
      <c r="J5" s="22"/>
      <c r="K5" s="22">
        <v>5</v>
      </c>
      <c r="L5" s="22"/>
      <c r="M5" s="90">
        <v>5</v>
      </c>
      <c r="N5" s="101" t="s">
        <v>214</v>
      </c>
      <c r="O5" s="65" t="s">
        <v>13</v>
      </c>
      <c r="P5" s="65" t="s">
        <v>13</v>
      </c>
      <c r="Q5" s="65"/>
    </row>
    <row r="6" spans="1:21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15</v>
      </c>
      <c r="F6" s="22">
        <v>5</v>
      </c>
      <c r="G6" s="22">
        <v>9</v>
      </c>
      <c r="H6" s="22">
        <v>3</v>
      </c>
      <c r="I6" s="22"/>
      <c r="J6" s="22">
        <v>4</v>
      </c>
      <c r="K6" s="22">
        <v>36</v>
      </c>
      <c r="L6" s="22">
        <v>10</v>
      </c>
      <c r="M6" s="90">
        <v>46</v>
      </c>
      <c r="N6" s="101" t="s">
        <v>55</v>
      </c>
      <c r="O6" s="93"/>
      <c r="P6" s="64"/>
      <c r="Q6" s="319"/>
    </row>
    <row r="7" spans="1:21" ht="15" customHeight="1" x14ac:dyDescent="0.25">
      <c r="A7" s="25"/>
      <c r="B7" s="21" t="s">
        <v>19</v>
      </c>
      <c r="C7" s="22"/>
      <c r="D7" s="22">
        <v>6</v>
      </c>
      <c r="E7" s="22"/>
      <c r="F7" s="22">
        <v>5</v>
      </c>
      <c r="G7" s="22">
        <v>3</v>
      </c>
      <c r="H7" s="22">
        <v>4</v>
      </c>
      <c r="I7" s="22">
        <v>5</v>
      </c>
      <c r="J7" s="22">
        <v>2</v>
      </c>
      <c r="K7" s="22">
        <v>25</v>
      </c>
      <c r="L7" s="22"/>
      <c r="M7" s="90">
        <v>25</v>
      </c>
      <c r="N7" s="101" t="s">
        <v>240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90">
        <v>236</v>
      </c>
      <c r="N9" s="81" t="s">
        <v>214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0">
        <v>5</v>
      </c>
      <c r="N10" s="81" t="s">
        <v>146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0">
        <v>8</v>
      </c>
      <c r="N11" s="81" t="s">
        <v>510</v>
      </c>
      <c r="O11" s="81"/>
      <c r="P11" s="81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0">
        <v>65</v>
      </c>
      <c r="N12" s="81" t="s">
        <v>146</v>
      </c>
      <c r="O12" s="81"/>
      <c r="P12" s="81"/>
      <c r="Q12" s="37"/>
    </row>
    <row r="13" spans="1:21" ht="52.5" customHeight="1" x14ac:dyDescent="0.25">
      <c r="A13" s="30" t="s">
        <v>2</v>
      </c>
      <c r="B13" s="31" t="s">
        <v>3</v>
      </c>
      <c r="C13" s="296" t="s">
        <v>115</v>
      </c>
      <c r="D13" s="296" t="s">
        <v>29</v>
      </c>
      <c r="E13" s="296" t="s">
        <v>30</v>
      </c>
      <c r="F13" s="296" t="s">
        <v>31</v>
      </c>
      <c r="G13" s="296" t="s">
        <v>32</v>
      </c>
      <c r="H13" s="296" t="s">
        <v>33</v>
      </c>
      <c r="I13" s="296" t="s">
        <v>34</v>
      </c>
      <c r="J13" s="296" t="s">
        <v>35</v>
      </c>
      <c r="K13" s="75" t="s">
        <v>11</v>
      </c>
      <c r="L13" s="75" t="s">
        <v>11</v>
      </c>
      <c r="M13" s="297" t="s">
        <v>83</v>
      </c>
      <c r="N13" s="298" t="s">
        <v>12</v>
      </c>
      <c r="P13" s="81"/>
      <c r="Q13" s="295" t="s">
        <v>514</v>
      </c>
    </row>
    <row r="14" spans="1:21" ht="15" x14ac:dyDescent="0.25">
      <c r="A14" s="33"/>
      <c r="B14" s="21" t="s">
        <v>14</v>
      </c>
      <c r="C14" s="22"/>
      <c r="D14" s="22">
        <v>25</v>
      </c>
      <c r="E14" s="22">
        <v>40</v>
      </c>
      <c r="F14" s="22">
        <v>40</v>
      </c>
      <c r="G14" s="22">
        <v>30</v>
      </c>
      <c r="H14" s="22">
        <v>45</v>
      </c>
      <c r="I14" s="22">
        <v>38</v>
      </c>
      <c r="J14" s="22">
        <v>27</v>
      </c>
      <c r="K14" s="22">
        <v>245</v>
      </c>
      <c r="L14" s="22"/>
      <c r="M14" s="90">
        <v>245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>
        <v>1</v>
      </c>
      <c r="F15" s="22">
        <v>1</v>
      </c>
      <c r="G15" s="22"/>
      <c r="H15" s="22">
        <v>1</v>
      </c>
      <c r="I15" s="22">
        <v>2</v>
      </c>
      <c r="J15" s="22"/>
      <c r="K15" s="22">
        <v>5</v>
      </c>
      <c r="L15" s="22"/>
      <c r="M15" s="90">
        <v>5</v>
      </c>
      <c r="N15" s="100" t="s">
        <v>55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1</v>
      </c>
      <c r="E16" s="22">
        <v>2</v>
      </c>
      <c r="F16" s="22">
        <v>4</v>
      </c>
      <c r="G16" s="22">
        <v>3</v>
      </c>
      <c r="H16" s="22">
        <v>1</v>
      </c>
      <c r="I16" s="22">
        <v>2</v>
      </c>
      <c r="J16" s="22">
        <v>2</v>
      </c>
      <c r="K16" s="22">
        <v>15</v>
      </c>
      <c r="L16" s="22"/>
      <c r="M16" s="90">
        <v>15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8</v>
      </c>
      <c r="F17" s="22">
        <v>10</v>
      </c>
      <c r="G17" s="22">
        <v>10</v>
      </c>
      <c r="H17" s="22">
        <v>8</v>
      </c>
      <c r="I17" s="22">
        <v>4</v>
      </c>
      <c r="J17" s="22">
        <v>5</v>
      </c>
      <c r="K17" s="22">
        <v>45</v>
      </c>
      <c r="L17" s="22"/>
      <c r="M17" s="90">
        <v>45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v>710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v>15</v>
      </c>
      <c r="O19" s="68">
        <v>1498.32</v>
      </c>
      <c r="P19" s="46" t="s">
        <v>211</v>
      </c>
      <c r="Q19" s="64" t="s">
        <v>515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v>69</v>
      </c>
      <c r="O20" s="76" t="s">
        <v>62</v>
      </c>
      <c r="P20" s="74">
        <v>74</v>
      </c>
      <c r="Q20" s="64">
        <v>4628.83</v>
      </c>
    </row>
    <row r="21" spans="1:20" ht="25.5" customHeight="1" x14ac:dyDescent="0.25">
      <c r="A21" s="16" t="s">
        <v>46</v>
      </c>
      <c r="B21" s="65">
        <v>206.26041666666666</v>
      </c>
      <c r="C21" s="65">
        <v>206.54166666666666</v>
      </c>
      <c r="D21" s="65">
        <f>C21-B21</f>
        <v>0.28125</v>
      </c>
      <c r="E21" s="65">
        <v>206.59027777777777</v>
      </c>
      <c r="F21" s="65">
        <v>206.875</v>
      </c>
      <c r="G21" s="65">
        <f>F21-E21</f>
        <v>0.28472222222222854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0.85763888888891415</v>
      </c>
      <c r="M21" s="151" t="s">
        <v>47</v>
      </c>
      <c r="N21" s="64">
        <v>135</v>
      </c>
      <c r="O21" s="77" t="s">
        <v>66</v>
      </c>
      <c r="P21" s="74">
        <v>201</v>
      </c>
      <c r="Q21" s="64">
        <v>6092.64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206.59375</v>
      </c>
      <c r="F22" s="65">
        <v>206.875</v>
      </c>
      <c r="G22" s="65">
        <f t="shared" ref="G22" si="0">F22-E22</f>
        <v>0.28125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0.90625</v>
      </c>
      <c r="M22" s="240" t="s">
        <v>207</v>
      </c>
      <c r="N22" s="64">
        <v>41398.32</v>
      </c>
      <c r="O22" s="79" t="s">
        <v>63</v>
      </c>
      <c r="P22" s="74">
        <v>181</v>
      </c>
      <c r="Q22" s="64">
        <v>4454</v>
      </c>
    </row>
    <row r="23" spans="1:20" ht="27" customHeight="1" x14ac:dyDescent="0.25">
      <c r="A23" s="154" t="s">
        <v>50</v>
      </c>
      <c r="B23" s="65">
        <v>206.25347222222223</v>
      </c>
      <c r="C23" s="65">
        <v>206.38541666666666</v>
      </c>
      <c r="D23" s="65">
        <f>C23-B23</f>
        <v>0.13194444444442865</v>
      </c>
      <c r="E23" s="65"/>
      <c r="F23" s="65"/>
      <c r="G23" s="65"/>
      <c r="H23" s="65"/>
      <c r="I23" s="65"/>
      <c r="J23" s="70"/>
      <c r="K23" s="152"/>
      <c r="L23" s="153">
        <f>D23+G23+J23</f>
        <v>0.13194444444442865</v>
      </c>
      <c r="M23" s="151" t="s">
        <v>61</v>
      </c>
      <c r="N23" s="84">
        <v>10</v>
      </c>
      <c r="O23" s="85" t="s">
        <v>64</v>
      </c>
      <c r="P23" s="75">
        <v>0</v>
      </c>
      <c r="Q23" s="64">
        <v>0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0.70486111111108585</v>
      </c>
      <c r="E24" s="67"/>
      <c r="F24" s="67"/>
      <c r="G24" s="65">
        <f>SUM(G21:G23)</f>
        <v>0.56597222222222854</v>
      </c>
      <c r="H24" s="67"/>
      <c r="I24" s="67"/>
      <c r="J24" s="70">
        <f>SUM(J21:J23)</f>
        <v>0.62500000000002842</v>
      </c>
      <c r="K24" s="74"/>
      <c r="L24" s="82">
        <f>SUM(L21:L23)</f>
        <v>1.8958333333333428</v>
      </c>
      <c r="M24" s="156" t="s">
        <v>206</v>
      </c>
      <c r="N24" s="64">
        <v>37965.019999999997</v>
      </c>
      <c r="P24" s="238" t="s">
        <v>203</v>
      </c>
      <c r="Q24" s="43">
        <v>47812.41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v>948125.36</v>
      </c>
      <c r="P25" s="151" t="s">
        <v>205</v>
      </c>
      <c r="Q25" s="86">
        <v>52441.24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57000</v>
      </c>
      <c r="P26" s="239" t="s">
        <v>204</v>
      </c>
      <c r="Q26" s="68"/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45.35</v>
      </c>
      <c r="M27" s="55"/>
      <c r="N27" s="87">
        <f>N22/L27</f>
        <v>912.8626240352811</v>
      </c>
      <c r="O27" s="80" t="s">
        <v>71</v>
      </c>
      <c r="P27" s="68"/>
      <c r="Q27" s="64" t="s">
        <v>516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77" fitToHeight="0" orientation="landscape" horizontalDpi="180" verticalDpi="18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opLeftCell="A13" workbookViewId="0">
      <selection activeCell="A22" sqref="A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208</v>
      </c>
      <c r="Q2" s="13" t="s">
        <v>607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7.25" customHeight="1" x14ac:dyDescent="0.25">
      <c r="A4" s="20"/>
      <c r="B4" s="21" t="s">
        <v>14</v>
      </c>
      <c r="C4" s="22"/>
      <c r="D4" s="22">
        <v>31</v>
      </c>
      <c r="E4" s="22">
        <v>31</v>
      </c>
      <c r="F4" s="22">
        <v>31</v>
      </c>
      <c r="G4" s="22">
        <v>11</v>
      </c>
      <c r="H4" s="22">
        <v>26</v>
      </c>
      <c r="I4" s="22">
        <v>24</v>
      </c>
      <c r="J4" s="22">
        <v>22</v>
      </c>
      <c r="K4" s="22">
        <v>176</v>
      </c>
      <c r="L4" s="22"/>
      <c r="M4" s="90">
        <v>176</v>
      </c>
      <c r="N4" s="101"/>
      <c r="O4" s="92" t="s">
        <v>85</v>
      </c>
      <c r="P4" s="237" t="s">
        <v>86</v>
      </c>
      <c r="Q4" s="33" t="s">
        <v>13</v>
      </c>
    </row>
    <row r="5" spans="1:21" ht="20.2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/>
      <c r="J5" s="22"/>
      <c r="K5" s="22">
        <v>4</v>
      </c>
      <c r="L5" s="22"/>
      <c r="M5" s="90">
        <v>4</v>
      </c>
      <c r="N5" s="101"/>
      <c r="O5" s="65" t="s">
        <v>13</v>
      </c>
      <c r="P5" s="65" t="s">
        <v>13</v>
      </c>
      <c r="Q5" s="65" t="s">
        <v>13</v>
      </c>
    </row>
    <row r="6" spans="1:21" ht="23.25" customHeight="1" x14ac:dyDescent="0.25">
      <c r="A6" s="23" t="s">
        <v>17</v>
      </c>
      <c r="B6" s="21" t="s">
        <v>18</v>
      </c>
      <c r="C6" s="22"/>
      <c r="D6" s="22">
        <v>10</v>
      </c>
      <c r="E6" s="22">
        <v>3</v>
      </c>
      <c r="F6" s="22">
        <v>9</v>
      </c>
      <c r="G6" s="22"/>
      <c r="H6" s="22">
        <v>5</v>
      </c>
      <c r="I6" s="22">
        <v>3</v>
      </c>
      <c r="J6" s="22"/>
      <c r="K6" s="22">
        <v>30</v>
      </c>
      <c r="L6" s="22"/>
      <c r="M6" s="90">
        <v>30</v>
      </c>
      <c r="N6" s="101"/>
      <c r="O6" s="93"/>
      <c r="P6" s="64"/>
      <c r="Q6" s="319" t="s">
        <v>13</v>
      </c>
    </row>
    <row r="7" spans="1:21" ht="21" customHeight="1" x14ac:dyDescent="0.25">
      <c r="A7" s="25"/>
      <c r="B7" s="21" t="s">
        <v>19</v>
      </c>
      <c r="C7" s="22"/>
      <c r="D7" s="22">
        <v>15</v>
      </c>
      <c r="E7" s="22">
        <v>4</v>
      </c>
      <c r="F7" s="22">
        <v>1</v>
      </c>
      <c r="G7" s="22">
        <v>6</v>
      </c>
      <c r="H7" s="22">
        <v>6</v>
      </c>
      <c r="I7" s="22">
        <v>7</v>
      </c>
      <c r="J7" s="22">
        <v>6</v>
      </c>
      <c r="K7" s="22">
        <v>45</v>
      </c>
      <c r="L7" s="22"/>
      <c r="M7" s="90">
        <v>45</v>
      </c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7.25" customHeight="1" x14ac:dyDescent="0.25">
      <c r="A9" s="33"/>
      <c r="B9" s="34" t="s">
        <v>14</v>
      </c>
      <c r="C9" s="22"/>
      <c r="D9" s="22">
        <v>25</v>
      </c>
      <c r="E9" s="22">
        <v>30</v>
      </c>
      <c r="F9" s="22">
        <v>25</v>
      </c>
      <c r="G9" s="22">
        <v>35</v>
      </c>
      <c r="H9" s="22">
        <v>20</v>
      </c>
      <c r="I9" s="22">
        <v>15</v>
      </c>
      <c r="J9" s="22">
        <v>30</v>
      </c>
      <c r="K9" s="22">
        <v>180</v>
      </c>
      <c r="L9" s="22"/>
      <c r="M9" s="90">
        <v>180</v>
      </c>
      <c r="N9" s="81"/>
      <c r="O9" s="96"/>
      <c r="P9" s="81"/>
      <c r="Q9" s="36"/>
      <c r="U9" s="1" t="s">
        <v>13</v>
      </c>
    </row>
    <row r="10" spans="1:21" ht="21" customHeight="1" x14ac:dyDescent="0.25">
      <c r="A10" s="35" t="s">
        <v>27</v>
      </c>
      <c r="B10" s="34" t="s">
        <v>16</v>
      </c>
      <c r="C10" s="22"/>
      <c r="D10" s="22"/>
      <c r="E10" s="22"/>
      <c r="F10" s="22">
        <v>2</v>
      </c>
      <c r="G10" s="22"/>
      <c r="H10" s="22"/>
      <c r="I10" s="22"/>
      <c r="J10" s="22"/>
      <c r="K10" s="22">
        <v>2</v>
      </c>
      <c r="L10" s="22"/>
      <c r="M10" s="90">
        <v>2</v>
      </c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20.25" customHeight="1" x14ac:dyDescent="0.25">
      <c r="A11" s="35" t="s">
        <v>28</v>
      </c>
      <c r="B11" s="34" t="s">
        <v>18</v>
      </c>
      <c r="C11" s="22"/>
      <c r="D11" s="22"/>
      <c r="E11" s="22">
        <v>2</v>
      </c>
      <c r="F11" s="22">
        <v>2</v>
      </c>
      <c r="G11" s="22">
        <v>1</v>
      </c>
      <c r="H11" s="22">
        <v>2</v>
      </c>
      <c r="I11" s="22">
        <v>1</v>
      </c>
      <c r="J11" s="22">
        <v>2</v>
      </c>
      <c r="K11" s="22">
        <v>10</v>
      </c>
      <c r="L11" s="22"/>
      <c r="M11" s="90">
        <v>10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10</v>
      </c>
      <c r="E12" s="22">
        <v>15</v>
      </c>
      <c r="F12" s="22">
        <v>5</v>
      </c>
      <c r="G12" s="22">
        <v>10</v>
      </c>
      <c r="H12" s="22">
        <v>15</v>
      </c>
      <c r="I12" s="22">
        <v>15</v>
      </c>
      <c r="J12" s="22">
        <v>31</v>
      </c>
      <c r="K12" s="22">
        <v>101</v>
      </c>
      <c r="L12" s="22"/>
      <c r="M12" s="90">
        <v>101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9.5" customHeight="1" x14ac:dyDescent="0.25">
      <c r="A14" s="33"/>
      <c r="B14" s="21" t="s">
        <v>14</v>
      </c>
      <c r="C14" s="22">
        <v>5</v>
      </c>
      <c r="D14" s="22">
        <v>37</v>
      </c>
      <c r="E14" s="22">
        <v>38</v>
      </c>
      <c r="F14" s="22">
        <v>35</v>
      </c>
      <c r="G14" s="22">
        <v>25</v>
      </c>
      <c r="H14" s="22">
        <v>34</v>
      </c>
      <c r="I14" s="22">
        <v>29</v>
      </c>
      <c r="J14" s="22">
        <v>32</v>
      </c>
      <c r="K14" s="22">
        <v>210</v>
      </c>
      <c r="L14" s="22">
        <v>25</v>
      </c>
      <c r="M14" s="90">
        <v>235</v>
      </c>
      <c r="N14" s="100"/>
      <c r="O14" s="98"/>
      <c r="P14" s="81"/>
      <c r="Q14" s="37"/>
    </row>
    <row r="15" spans="1:21" ht="24.75" customHeight="1" x14ac:dyDescent="0.25">
      <c r="A15" s="103" t="s">
        <v>36</v>
      </c>
      <c r="B15" s="21" t="s">
        <v>16</v>
      </c>
      <c r="C15" s="22"/>
      <c r="D15" s="22"/>
      <c r="E15" s="22"/>
      <c r="F15" s="22">
        <v>1</v>
      </c>
      <c r="G15" s="22"/>
      <c r="H15" s="22">
        <v>1</v>
      </c>
      <c r="I15" s="22"/>
      <c r="J15" s="22"/>
      <c r="K15" s="22">
        <v>2</v>
      </c>
      <c r="L15" s="22"/>
      <c r="M15" s="90">
        <v>2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3</v>
      </c>
      <c r="E16" s="22">
        <v>2</v>
      </c>
      <c r="F16" s="22">
        <v>3</v>
      </c>
      <c r="G16" s="22">
        <v>1</v>
      </c>
      <c r="H16" s="22">
        <v>4</v>
      </c>
      <c r="I16" s="22">
        <v>5</v>
      </c>
      <c r="J16" s="22">
        <v>2</v>
      </c>
      <c r="K16" s="22">
        <v>15</v>
      </c>
      <c r="L16" s="22">
        <v>5</v>
      </c>
      <c r="M16" s="90">
        <v>20</v>
      </c>
      <c r="N16" s="100"/>
      <c r="O16" s="100"/>
      <c r="P16" s="81"/>
      <c r="Q16" s="37"/>
    </row>
    <row r="17" spans="1:20" ht="24.75" customHeight="1" x14ac:dyDescent="0.25">
      <c r="A17" s="37"/>
      <c r="B17" s="21" t="s">
        <v>19</v>
      </c>
      <c r="C17" s="22"/>
      <c r="D17" s="22"/>
      <c r="E17" s="22">
        <v>2</v>
      </c>
      <c r="F17" s="22">
        <v>2</v>
      </c>
      <c r="G17" s="22"/>
      <c r="H17" s="22">
        <v>4</v>
      </c>
      <c r="I17" s="22">
        <v>3</v>
      </c>
      <c r="J17" s="22">
        <v>2</v>
      </c>
      <c r="K17" s="22">
        <v>13</v>
      </c>
      <c r="L17" s="22"/>
      <c r="M17" s="90">
        <v>13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v>591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v>8</v>
      </c>
      <c r="O19" s="68">
        <v>488.1</v>
      </c>
      <c r="P19" s="46" t="s">
        <v>522</v>
      </c>
      <c r="Q19" s="64" t="s">
        <v>523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 t="s">
        <v>521</v>
      </c>
      <c r="O20" s="76" t="s">
        <v>62</v>
      </c>
      <c r="P20" s="74">
        <v>96</v>
      </c>
      <c r="Q20" s="64">
        <v>6027.6</v>
      </c>
    </row>
    <row r="21" spans="1:20" ht="25.5" customHeight="1" x14ac:dyDescent="0.25">
      <c r="A21" s="16" t="s">
        <v>46</v>
      </c>
      <c r="B21" s="65">
        <v>206.26736111111111</v>
      </c>
      <c r="C21" s="65">
        <v>206.5</v>
      </c>
      <c r="D21" s="65">
        <f>C21-B21</f>
        <v>0.23263888888888573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0.85763888888891415</v>
      </c>
      <c r="M21" s="151" t="s">
        <v>47</v>
      </c>
      <c r="N21" s="64">
        <v>159</v>
      </c>
      <c r="O21" s="77" t="s">
        <v>66</v>
      </c>
      <c r="P21" s="74">
        <v>210</v>
      </c>
      <c r="Q21" s="64">
        <v>6194.18</v>
      </c>
    </row>
    <row r="22" spans="1:20" ht="27" customHeight="1" x14ac:dyDescent="0.25">
      <c r="A22" s="16" t="s">
        <v>48</v>
      </c>
      <c r="B22" s="65">
        <v>206.25</v>
      </c>
      <c r="C22" s="65">
        <v>206.53472222222223</v>
      </c>
      <c r="D22" s="65">
        <f>C22-B22</f>
        <v>0.28472222222222854</v>
      </c>
      <c r="E22" s="65">
        <v>206.58333333333334</v>
      </c>
      <c r="F22" s="65">
        <v>206.875</v>
      </c>
      <c r="G22" s="65">
        <f t="shared" ref="G22" si="0">F22-E22</f>
        <v>0.29166666666665719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0.90972222222222854</v>
      </c>
      <c r="M22" s="240" t="s">
        <v>207</v>
      </c>
      <c r="N22" s="64">
        <v>33888.1</v>
      </c>
      <c r="O22" s="79" t="s">
        <v>63</v>
      </c>
      <c r="P22" s="74" t="s">
        <v>13</v>
      </c>
      <c r="Q22" s="64">
        <v>5849.92</v>
      </c>
    </row>
    <row r="23" spans="1:20" ht="27" customHeight="1" x14ac:dyDescent="0.25">
      <c r="A23" s="154" t="s">
        <v>50</v>
      </c>
      <c r="B23" s="65"/>
      <c r="C23" s="65"/>
      <c r="D23" s="65"/>
      <c r="E23" s="65"/>
      <c r="F23" s="65"/>
      <c r="G23" s="65"/>
      <c r="H23" s="65">
        <v>207.07638888888889</v>
      </c>
      <c r="I23" s="65">
        <v>207.20833333333334</v>
      </c>
      <c r="J23" s="70">
        <f>I23-H23-K23</f>
        <v>0.13194444444445708</v>
      </c>
      <c r="K23" s="152"/>
      <c r="L23" s="153">
        <f>D23+G23+J23</f>
        <v>0.13194444444445708</v>
      </c>
      <c r="M23" s="151" t="s">
        <v>61</v>
      </c>
      <c r="N23" s="84">
        <v>9</v>
      </c>
      <c r="O23" s="85" t="s">
        <v>64</v>
      </c>
      <c r="P23" s="75" t="s">
        <v>13</v>
      </c>
      <c r="Q23" s="64"/>
    </row>
    <row r="24" spans="1:20" ht="30" customHeight="1" x14ac:dyDescent="0.25">
      <c r="A24" s="16" t="s">
        <v>73</v>
      </c>
      <c r="B24" s="66"/>
      <c r="C24" s="66"/>
      <c r="D24" s="65">
        <f>SUM(D21:D23)</f>
        <v>0.51736111111111427</v>
      </c>
      <c r="E24" s="67"/>
      <c r="F24" s="67"/>
      <c r="G24" s="65">
        <f>SUM(G21:G23)</f>
        <v>0.625</v>
      </c>
      <c r="H24" s="67"/>
      <c r="I24" s="67"/>
      <c r="J24" s="70">
        <f>SUM(J21:J23)</f>
        <v>0.7569444444444855</v>
      </c>
      <c r="K24" s="74"/>
      <c r="L24" s="82">
        <f>SUM(L21:L23)</f>
        <v>1.8993055555555998</v>
      </c>
      <c r="M24" s="156" t="s">
        <v>206</v>
      </c>
      <c r="N24" s="64">
        <v>34132.68</v>
      </c>
      <c r="P24" s="238" t="s">
        <v>203</v>
      </c>
      <c r="Q24" s="43">
        <v>46431.95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>
        <v>982258.04</v>
      </c>
      <c r="O25" s="68"/>
      <c r="P25" s="151" t="s">
        <v>205</v>
      </c>
      <c r="Q25" s="86">
        <v>52465.01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57000</v>
      </c>
      <c r="P26" s="239" t="s">
        <v>204</v>
      </c>
      <c r="Q26" s="68"/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45.35</v>
      </c>
      <c r="M27" s="55"/>
      <c r="N27" s="87">
        <f>N22/L27</f>
        <v>747.25689084895248</v>
      </c>
      <c r="O27" s="80" t="s">
        <v>71</v>
      </c>
      <c r="P27" s="68"/>
      <c r="Q27" s="64" t="s">
        <v>209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4.25" customHeight="1" x14ac:dyDescent="0.25">
      <c r="A29" s="59"/>
      <c r="B29" s="61" t="s">
        <v>230</v>
      </c>
      <c r="D29" s="60"/>
      <c r="E29" s="60"/>
      <c r="F29" s="6"/>
      <c r="G29" s="1"/>
      <c r="H29" s="1"/>
      <c r="I29" s="1"/>
      <c r="P29" s="61" t="s">
        <v>231</v>
      </c>
    </row>
    <row r="30" spans="1:20" ht="1.5" hidden="1" customHeight="1" x14ac:dyDescent="0.25">
      <c r="A30" s="59"/>
      <c r="K30" s="4" t="s">
        <v>53</v>
      </c>
      <c r="R30" s="1" t="s">
        <v>54</v>
      </c>
      <c r="T30" s="1" t="s">
        <v>54</v>
      </c>
    </row>
    <row r="31" spans="1:20" x14ac:dyDescent="0.25">
      <c r="A31" s="59" t="s">
        <v>13</v>
      </c>
      <c r="B31" s="63" t="s">
        <v>53</v>
      </c>
      <c r="C31" s="59"/>
      <c r="D31" s="60"/>
      <c r="E31" s="61"/>
      <c r="F31" s="61" t="s">
        <v>13</v>
      </c>
      <c r="G31" s="248" t="s">
        <v>13</v>
      </c>
      <c r="H31" s="59" t="s">
        <v>13</v>
      </c>
      <c r="I31" s="60"/>
      <c r="J31" s="60"/>
      <c r="K31" s="62"/>
      <c r="L31" s="62"/>
      <c r="M31" s="59"/>
      <c r="N31" s="59"/>
      <c r="P31" s="59" t="s">
        <v>54</v>
      </c>
    </row>
    <row r="35" spans="2:13" x14ac:dyDescent="0.25">
      <c r="M35" s="50" t="s">
        <v>13</v>
      </c>
    </row>
    <row r="38" spans="2:13" x14ac:dyDescent="0.25">
      <c r="B38" s="56"/>
      <c r="C38" s="13"/>
      <c r="D38" s="26"/>
      <c r="E38" s="27"/>
      <c r="F38" s="27"/>
      <c r="G38" s="28"/>
      <c r="H38" s="26"/>
      <c r="I38" s="26"/>
      <c r="J38" s="26"/>
    </row>
    <row r="46" spans="2:13" x14ac:dyDescent="0.25">
      <c r="B46" s="1"/>
      <c r="D46" s="1"/>
      <c r="E46" s="1"/>
      <c r="F46" s="1"/>
      <c r="G46" s="1"/>
      <c r="H46" s="1"/>
      <c r="I46" s="1"/>
      <c r="J46" s="1"/>
      <c r="K46" s="1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4" spans="2:11" x14ac:dyDescent="0.25">
      <c r="B64" s="1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39370078740157483" right="0.39370078740157483" top="0.39370078740157483" bottom="0.39370078740157483" header="0.31496062992125984" footer="0.31496062992125984"/>
  <pageSetup paperSize="120" scale="90" orientation="landscape" horizontalDpi="180" verticalDpi="18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V43"/>
  <sheetViews>
    <sheetView tabSelected="1" topLeftCell="E4" workbookViewId="0">
      <selection activeCell="A4" sqref="A4:S43"/>
    </sheetView>
  </sheetViews>
  <sheetFormatPr defaultRowHeight="15" x14ac:dyDescent="0.25"/>
  <cols>
    <col min="1" max="1" width="12.140625" customWidth="1"/>
    <col min="2" max="2" width="10.42578125" customWidth="1"/>
    <col min="3" max="3" width="9.7109375" customWidth="1"/>
    <col min="4" max="4" width="11.5703125" customWidth="1"/>
    <col min="5" max="5" width="10.42578125" customWidth="1"/>
    <col min="6" max="6" width="9.28515625" customWidth="1"/>
    <col min="7" max="7" width="8.28515625" customWidth="1"/>
    <col min="8" max="8" width="8.85546875" customWidth="1"/>
    <col min="9" max="9" width="9.140625" customWidth="1"/>
    <col min="10" max="11" width="9.28515625" customWidth="1"/>
    <col min="12" max="12" width="9.5703125" customWidth="1"/>
    <col min="13" max="13" width="8.85546875" style="146" customWidth="1"/>
    <col min="14" max="14" width="11.7109375" style="146" customWidth="1"/>
    <col min="15" max="15" width="13" style="146" customWidth="1"/>
    <col min="16" max="16" width="12.7109375" customWidth="1"/>
    <col min="17" max="17" width="7.28515625" style="146" customWidth="1"/>
    <col min="18" max="18" width="11.85546875" bestFit="1" customWidth="1"/>
    <col min="19" max="19" width="14.28515625" customWidth="1"/>
  </cols>
  <sheetData>
    <row r="4" spans="1:19" ht="18.75" x14ac:dyDescent="0.3">
      <c r="A4" s="229" t="s">
        <v>310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60"/>
      <c r="N4" s="160"/>
      <c r="O4" s="160"/>
      <c r="P4" s="159"/>
      <c r="Q4" s="160"/>
      <c r="R4" s="159"/>
      <c r="S4" s="159"/>
    </row>
    <row r="5" spans="1:19" ht="15.75" x14ac:dyDescent="0.25">
      <c r="A5" s="158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0"/>
      <c r="N5" s="160"/>
      <c r="O5" s="160"/>
      <c r="P5" s="159"/>
      <c r="Q5" s="160"/>
      <c r="R5" s="159"/>
      <c r="S5" s="159"/>
    </row>
    <row r="6" spans="1:19" ht="15.75" x14ac:dyDescent="0.25">
      <c r="A6" s="162"/>
      <c r="B6" s="326" t="s">
        <v>78</v>
      </c>
      <c r="C6" s="326"/>
      <c r="D6" s="326"/>
      <c r="E6" s="326"/>
      <c r="F6" s="327" t="s">
        <v>616</v>
      </c>
      <c r="G6" s="328"/>
      <c r="H6" s="328"/>
      <c r="I6" s="316"/>
      <c r="J6" s="327" t="s">
        <v>617</v>
      </c>
      <c r="K6" s="328"/>
      <c r="L6" s="328"/>
      <c r="M6" s="316"/>
      <c r="N6" s="164" t="s">
        <v>616</v>
      </c>
      <c r="O6" s="164" t="s">
        <v>617</v>
      </c>
      <c r="P6" s="163" t="s">
        <v>112</v>
      </c>
      <c r="Q6" s="327" t="s">
        <v>111</v>
      </c>
      <c r="R6" s="328"/>
      <c r="S6" s="329"/>
    </row>
    <row r="7" spans="1:19" ht="15.75" x14ac:dyDescent="0.25">
      <c r="A7" s="162" t="s">
        <v>77</v>
      </c>
      <c r="B7" s="162" t="s">
        <v>79</v>
      </c>
      <c r="C7" s="162" t="s">
        <v>80</v>
      </c>
      <c r="D7" s="162" t="s">
        <v>81</v>
      </c>
      <c r="E7" s="162" t="s">
        <v>44</v>
      </c>
      <c r="F7" s="164" t="s">
        <v>14</v>
      </c>
      <c r="G7" s="164" t="s">
        <v>16</v>
      </c>
      <c r="H7" s="164" t="s">
        <v>82</v>
      </c>
      <c r="I7" s="164" t="s">
        <v>618</v>
      </c>
      <c r="J7" s="164" t="s">
        <v>14</v>
      </c>
      <c r="K7" s="164" t="s">
        <v>16</v>
      </c>
      <c r="L7" s="164" t="s">
        <v>82</v>
      </c>
      <c r="M7" s="164" t="s">
        <v>618</v>
      </c>
      <c r="N7" s="164" t="s">
        <v>619</v>
      </c>
      <c r="O7" s="164" t="s">
        <v>619</v>
      </c>
      <c r="P7" s="164" t="s">
        <v>87</v>
      </c>
      <c r="Q7" s="164" t="s">
        <v>88</v>
      </c>
      <c r="R7" s="164" t="s">
        <v>89</v>
      </c>
      <c r="S7" s="164" t="s">
        <v>90</v>
      </c>
    </row>
    <row r="8" spans="1:19" ht="15.75" x14ac:dyDescent="0.25">
      <c r="A8" s="165">
        <v>44013</v>
      </c>
      <c r="B8" s="166">
        <f>'stream I '!I6</f>
        <v>0.88888888888888573</v>
      </c>
      <c r="C8" s="166">
        <f>' stream II  '!I6</f>
        <v>0.65277777777782831</v>
      </c>
      <c r="D8" s="166">
        <f>'stream III '!I6</f>
        <v>0.64930555555557135</v>
      </c>
      <c r="E8" s="155">
        <f>B8+C8+D8</f>
        <v>2.1909722222222854</v>
      </c>
      <c r="F8" s="308">
        <f>Sheet1!$K$4+Sheet1!$K$9+Sheet1!$K$14</f>
        <v>427</v>
      </c>
      <c r="G8" s="308">
        <f>Sheet1!$K$5+Sheet1!$K$10+Sheet1!$K$15</f>
        <v>6</v>
      </c>
      <c r="H8" s="308">
        <f>Sheet1!$K$6+Sheet1!$K$11+Sheet1!$K$16</f>
        <v>69</v>
      </c>
      <c r="I8" s="308">
        <f>Sheet1!$K$7+Sheet1!$K$12+Sheet1!$K$17</f>
        <v>10</v>
      </c>
      <c r="J8" s="308">
        <f>Sheet1!$L$4+Sheet1!$L$9+Sheet1!$L$14</f>
        <v>128</v>
      </c>
      <c r="K8" s="308">
        <f>Sheet1!$L$5+Sheet1!$L$10+Sheet1!$L$15</f>
        <v>0</v>
      </c>
      <c r="L8" s="308">
        <f>Sheet1!$L$6+Sheet1!$L$11+Sheet1!$L$16</f>
        <v>7</v>
      </c>
      <c r="M8" s="308">
        <f>Sheet1!$L$7+Sheet1!$L$12+Sheet1!$M$17</f>
        <v>2</v>
      </c>
      <c r="N8" s="168">
        <f>P8-O8</f>
        <v>25277</v>
      </c>
      <c r="O8" s="168">
        <f>J8*50+K8*27+L8*50</f>
        <v>6750</v>
      </c>
      <c r="P8" s="168">
        <f>Sheet1!N22</f>
        <v>32027</v>
      </c>
      <c r="Q8" s="169">
        <f>Sheet1!N23</f>
        <v>9</v>
      </c>
      <c r="R8" s="168">
        <v>33589.760000000002</v>
      </c>
      <c r="S8" s="168">
        <f>R8</f>
        <v>33589.760000000002</v>
      </c>
    </row>
    <row r="9" spans="1:19" ht="15.75" x14ac:dyDescent="0.25">
      <c r="A9" s="165">
        <v>44014</v>
      </c>
      <c r="B9" s="166">
        <f>'stream I '!I7</f>
        <v>0</v>
      </c>
      <c r="C9" s="166">
        <f>' stream II  '!I7</f>
        <v>0</v>
      </c>
      <c r="D9" s="166">
        <f>'stream III '!I7</f>
        <v>0</v>
      </c>
      <c r="E9" s="155">
        <f>SUM(B9:D9)</f>
        <v>0</v>
      </c>
      <c r="F9" s="308">
        <f>Sheet2!$K$4+Sheet2!$K$9+Sheet2!$K$14</f>
        <v>0</v>
      </c>
      <c r="G9" s="308">
        <f>Sheet2!$K$5+Sheet2!$K$10+Sheet2!$K$15</f>
        <v>0</v>
      </c>
      <c r="H9" s="308">
        <f>Sheet2!$K$6+Sheet2!$K$11+Sheet2!$K$16</f>
        <v>0</v>
      </c>
      <c r="I9" s="308">
        <f>Sheet2!$K$7+Sheet2!$K$12+Sheet2!$K$17</f>
        <v>0</v>
      </c>
      <c r="J9" s="308">
        <f>Sheet2!$L$4+Sheet2!$L$9+Sheet2!$L$14</f>
        <v>0</v>
      </c>
      <c r="K9" s="308">
        <f>Sheet2!$L$5+Sheet2!$L$10+Sheet2!$L$15</f>
        <v>0</v>
      </c>
      <c r="L9" s="308">
        <f>Sheet2!$L$6+Sheet2!$L$11+Sheet3!$L$16</f>
        <v>0</v>
      </c>
      <c r="M9" s="308">
        <f>Sheet2!$L$7+Sheet2!$L$12+Sheet2!$M$17</f>
        <v>0</v>
      </c>
      <c r="N9" s="168">
        <f t="shared" ref="N9:N38" si="0">P9-O9</f>
        <v>0</v>
      </c>
      <c r="O9" s="168">
        <f t="shared" ref="O9:O38" si="1">J9*50+K9*27+L9*50</f>
        <v>0</v>
      </c>
      <c r="P9" s="168">
        <f>Sheet2!N22</f>
        <v>0</v>
      </c>
      <c r="Q9" s="169">
        <f>Sheet2!N23</f>
        <v>2</v>
      </c>
      <c r="R9" s="168">
        <f>Sheet2!N24</f>
        <v>7216.72</v>
      </c>
      <c r="S9" s="168">
        <f>R9+S8</f>
        <v>40806.480000000003</v>
      </c>
    </row>
    <row r="10" spans="1:19" ht="15.75" x14ac:dyDescent="0.25">
      <c r="A10" s="165">
        <v>44015</v>
      </c>
      <c r="B10" s="166">
        <f>'stream I '!I8</f>
        <v>0</v>
      </c>
      <c r="C10" s="166">
        <f>' stream II  '!I8</f>
        <v>0</v>
      </c>
      <c r="D10" s="166">
        <f>'stream III '!I8</f>
        <v>0</v>
      </c>
      <c r="E10" s="155">
        <f t="shared" ref="E10:E37" si="2">SUM(B10:D10)</f>
        <v>0</v>
      </c>
      <c r="F10" s="308">
        <f>Sheet3!$K$4+Sheet3!$K$9+Sheet3!$K$14</f>
        <v>0</v>
      </c>
      <c r="G10" s="308">
        <f>Sheet3!$K$5+Sheet3!$K$10+Sheet3!$K$15</f>
        <v>0</v>
      </c>
      <c r="H10" s="308">
        <f>Sheet3!$K$6+Sheet3!$K$11+Sheet3!$K$16</f>
        <v>0</v>
      </c>
      <c r="I10" s="308">
        <f>Sheet3!$K$7+Sheet3!$K$12+Sheet3!$K$17</f>
        <v>0</v>
      </c>
      <c r="J10" s="308">
        <f>Sheet3!$L$4+Sheet3!$L$9+Sheet3!$L$14</f>
        <v>0</v>
      </c>
      <c r="K10" s="308">
        <f>Sheet3!$L$5+Sheet3!$L$10+Sheet3!$L$15</f>
        <v>0</v>
      </c>
      <c r="L10" s="308">
        <f>Sheet3!$L$6+Sheet3!$L$11+Sheet3!$L$16</f>
        <v>0</v>
      </c>
      <c r="M10" s="308">
        <f>Sheet3!$L$7+Sheet3!$L$12+Sheet3!$M$17</f>
        <v>0</v>
      </c>
      <c r="N10" s="168">
        <f t="shared" si="0"/>
        <v>0</v>
      </c>
      <c r="O10" s="168">
        <f t="shared" si="1"/>
        <v>0</v>
      </c>
      <c r="P10" s="168">
        <f>Sheet3!N22</f>
        <v>0</v>
      </c>
      <c r="Q10" s="169">
        <f>Sheet3!N23</f>
        <v>0</v>
      </c>
      <c r="R10" s="168">
        <v>0</v>
      </c>
      <c r="S10" s="168">
        <f t="shared" ref="S10:S36" si="3">R10+S9</f>
        <v>40806.480000000003</v>
      </c>
    </row>
    <row r="11" spans="1:19" ht="15.75" x14ac:dyDescent="0.25">
      <c r="A11" s="165">
        <v>44016</v>
      </c>
      <c r="B11" s="166">
        <f>'stream I '!I9</f>
        <v>0</v>
      </c>
      <c r="C11" s="166">
        <f>' stream II  '!I9</f>
        <v>0</v>
      </c>
      <c r="D11" s="166">
        <f>'stream III '!I9</f>
        <v>0</v>
      </c>
      <c r="E11" s="155">
        <f t="shared" si="2"/>
        <v>0</v>
      </c>
      <c r="F11" s="308">
        <f>Sheet4!$K$4+Sheet4!$K$9+Sheet4!$K$14</f>
        <v>0</v>
      </c>
      <c r="G11" s="308">
        <f>Sheet4!$K$5+Sheet4!$K$10+Sheet4!$K$15</f>
        <v>0</v>
      </c>
      <c r="H11" s="308">
        <f>Sheet4!$K$6+Sheet4!$K$11+Sheet4!$K$16</f>
        <v>0</v>
      </c>
      <c r="I11" s="308">
        <f>Sheet4!$K$7+Sheet4!$K$12+Sheet4!$K$17</f>
        <v>0</v>
      </c>
      <c r="J11" s="308">
        <f>Sheet4!$L$4+Sheet4!$L$9+Sheet4!$L$14</f>
        <v>0</v>
      </c>
      <c r="K11" s="308">
        <f>Sheet4!$L$5+Sheet4!$L$10+Sheet4!$L$15</f>
        <v>0</v>
      </c>
      <c r="L11" s="308">
        <f>Sheet4!$L$6+Sheet4!$L$11+Sheet4!$L$16</f>
        <v>0</v>
      </c>
      <c r="M11" s="308">
        <f>Sheet4!$L$7+Sheet4!$L$12+Sheet4!$M$17</f>
        <v>0</v>
      </c>
      <c r="N11" s="168">
        <f t="shared" si="0"/>
        <v>0</v>
      </c>
      <c r="O11" s="168">
        <f t="shared" si="1"/>
        <v>0</v>
      </c>
      <c r="P11" s="168">
        <f>Sheet4!N22</f>
        <v>0</v>
      </c>
      <c r="Q11" s="169">
        <f>Sheet4!N23</f>
        <v>0</v>
      </c>
      <c r="R11" s="168">
        <f>Sheet4!N24</f>
        <v>0</v>
      </c>
      <c r="S11" s="168">
        <f t="shared" si="3"/>
        <v>40806.480000000003</v>
      </c>
    </row>
    <row r="12" spans="1:19" ht="15.75" x14ac:dyDescent="0.25">
      <c r="A12" s="165">
        <v>44017</v>
      </c>
      <c r="B12" s="166">
        <f>'stream I '!I10</f>
        <v>0.77083333333334281</v>
      </c>
      <c r="C12" s="166">
        <f>' stream II  '!I10</f>
        <v>0.90277777777777146</v>
      </c>
      <c r="D12" s="166">
        <f>'stream III '!I10</f>
        <v>0.8125</v>
      </c>
      <c r="E12" s="155">
        <f t="shared" si="2"/>
        <v>2.4861111111111143</v>
      </c>
      <c r="F12" s="308">
        <f>Sheet5!$K$4+Sheet5!$K$9+Sheet5!$K$14</f>
        <v>464</v>
      </c>
      <c r="G12" s="308">
        <f>Sheet5!$K$5+Sheet5!$K$10+Sheet5!$K$15</f>
        <v>19</v>
      </c>
      <c r="H12" s="308">
        <f>Sheet5!$K$6+Sheet5!$K$11+Sheet5!$K$16</f>
        <v>103</v>
      </c>
      <c r="I12" s="308">
        <f>Sheet5!$K$7+Sheet5!$K$12+Sheet5!$K$17</f>
        <v>26</v>
      </c>
      <c r="J12" s="308">
        <f>Sheet5!$L$4+Sheet5!$L$9+Sheet5!$L$14</f>
        <v>141</v>
      </c>
      <c r="K12" s="308">
        <f>Sheet5!$L$5+Sheet5!$L$10+Sheet5!$L$15</f>
        <v>0</v>
      </c>
      <c r="L12" s="308">
        <f>Sheet5!$L$6+Sheet5!$L$11+Sheet5!$L$16</f>
        <v>37</v>
      </c>
      <c r="M12" s="308">
        <f>Sheet5!$L$7+Sheet5!$L$12+Sheet5!$M$17</f>
        <v>22</v>
      </c>
      <c r="N12" s="168">
        <f t="shared" si="0"/>
        <v>29347.11</v>
      </c>
      <c r="O12" s="168">
        <f t="shared" si="1"/>
        <v>8900</v>
      </c>
      <c r="P12" s="168">
        <f>Sheet5!N22</f>
        <v>38247.11</v>
      </c>
      <c r="Q12" s="169">
        <f>Sheet5!N23</f>
        <v>8</v>
      </c>
      <c r="R12" s="168">
        <f>Sheet5!N24</f>
        <v>30149.18</v>
      </c>
      <c r="S12" s="168">
        <f t="shared" si="3"/>
        <v>70955.66</v>
      </c>
    </row>
    <row r="13" spans="1:19" ht="15.75" x14ac:dyDescent="0.25">
      <c r="A13" s="165">
        <v>44018</v>
      </c>
      <c r="B13" s="166">
        <f>'stream I '!I11</f>
        <v>0.68402777777777146</v>
      </c>
      <c r="C13" s="166">
        <f>' stream II  '!I11</f>
        <v>0.77430555555554292</v>
      </c>
      <c r="D13" s="166">
        <f>'stream III '!I11</f>
        <v>0.78125000000002842</v>
      </c>
      <c r="E13" s="155">
        <f t="shared" si="2"/>
        <v>2.2395833333333428</v>
      </c>
      <c r="F13" s="308">
        <f>Sheet6!$K$4+Sheet6!$K$9+Sheet6!$K$14</f>
        <v>443</v>
      </c>
      <c r="G13" s="308">
        <f>Sheet6!$K$5+Sheet6!$K$10+Sheet6!$K$15</f>
        <v>84</v>
      </c>
      <c r="H13" s="308">
        <f>Sheet6!$K$6+Sheet6!$K$11+Sheet6!$K$16</f>
        <v>67</v>
      </c>
      <c r="I13" s="308">
        <f>Sheet6!$K$7+Sheet6!$K$12+Sheet6!$K$17</f>
        <v>22</v>
      </c>
      <c r="J13" s="308">
        <f>Sheet6!$L$4+Sheet6!$L$9+Sheet6!$L$14</f>
        <v>99</v>
      </c>
      <c r="K13" s="308">
        <f>Sheet6!$L$5+Sheet6!$L$10+Sheet6!$L$15</f>
        <v>0</v>
      </c>
      <c r="L13" s="308">
        <f>Sheet6!$L$6+Sheet6!$L$11+Sheet6!$L$16</f>
        <v>39</v>
      </c>
      <c r="M13" s="308">
        <f>Sheet6!$L$7+Sheet6!$L$12+Sheet6!$M$17</f>
        <v>16</v>
      </c>
      <c r="N13" s="168">
        <f t="shared" si="0"/>
        <v>27853.839999999997</v>
      </c>
      <c r="O13" s="168">
        <f t="shared" si="1"/>
        <v>6900</v>
      </c>
      <c r="P13" s="168">
        <f>Sheet6!N22</f>
        <v>34753.839999999997</v>
      </c>
      <c r="Q13" s="169">
        <f>Sheet6!N23</f>
        <v>9</v>
      </c>
      <c r="R13" s="168">
        <f>Sheet6!N24</f>
        <v>33401.81</v>
      </c>
      <c r="S13" s="168">
        <f t="shared" si="3"/>
        <v>104357.47</v>
      </c>
    </row>
    <row r="14" spans="1:19" ht="15.75" x14ac:dyDescent="0.25">
      <c r="A14" s="165">
        <v>44019</v>
      </c>
      <c r="B14" s="166">
        <f>'stream I '!I12</f>
        <v>0.73611111111111427</v>
      </c>
      <c r="C14" s="166">
        <f>' stream II  '!I12</f>
        <v>0.86805555555557135</v>
      </c>
      <c r="D14" s="166">
        <f>'stream III '!I12</f>
        <v>0.79861111111111427</v>
      </c>
      <c r="E14" s="155">
        <f t="shared" si="2"/>
        <v>2.4027777777777999</v>
      </c>
      <c r="F14" s="308">
        <f>Sheet7!$K$4+Sheet7!$K$9+Sheet7!$K$14</f>
        <v>381</v>
      </c>
      <c r="G14" s="308">
        <f>Sheet7!$K$5+Sheet7!$K$10+Sheet7!$K$15</f>
        <v>31</v>
      </c>
      <c r="H14" s="308">
        <f>Sheet7!$K$6+Sheet7!$K$11+Sheet7!$K$16</f>
        <v>37</v>
      </c>
      <c r="I14" s="308">
        <f>Sheet7!$K$7+Sheet7!$K$12+Sheet7!$K$17</f>
        <v>27</v>
      </c>
      <c r="J14" s="308">
        <f>Sheet7!$L$4+Sheet7!$L$9+Sheet7!$L$14</f>
        <v>153</v>
      </c>
      <c r="K14" s="308">
        <f>Sheet7!$L$5+Sheet7!$L$10+Sheet7!$L$15</f>
        <v>0</v>
      </c>
      <c r="L14" s="308">
        <f>Sheet7!$L$6+Sheet7!$L$11+Sheet7!$L$16</f>
        <v>5</v>
      </c>
      <c r="M14" s="308">
        <f>Sheet7!$L$7+Sheet7!$L$12+Sheet7!$M$17</f>
        <v>18</v>
      </c>
      <c r="N14" s="168">
        <f t="shared" si="0"/>
        <v>23202.71</v>
      </c>
      <c r="O14" s="168">
        <f t="shared" si="1"/>
        <v>7900</v>
      </c>
      <c r="P14" s="168">
        <f>Sheet7!N22</f>
        <v>31102.71</v>
      </c>
      <c r="Q14" s="169">
        <f>Sheet7!N23</f>
        <v>9</v>
      </c>
      <c r="R14" s="168">
        <f>Sheet7!N24</f>
        <v>33485.54</v>
      </c>
      <c r="S14" s="168">
        <f t="shared" si="3"/>
        <v>137843.01</v>
      </c>
    </row>
    <row r="15" spans="1:19" ht="15.75" x14ac:dyDescent="0.25">
      <c r="A15" s="165">
        <v>44020</v>
      </c>
      <c r="B15" s="166">
        <f>'stream I '!I13</f>
        <v>0.71875</v>
      </c>
      <c r="C15" s="166">
        <f>' stream II  '!I13</f>
        <v>0.86805555555554292</v>
      </c>
      <c r="D15" s="166">
        <f>'stream III '!I13</f>
        <v>0.29166666666665719</v>
      </c>
      <c r="E15" s="155">
        <f t="shared" si="2"/>
        <v>1.8784722222222001</v>
      </c>
      <c r="F15" s="308">
        <f>Sheet8!$K$4+Sheet8!$K$9+Sheet8!$K$14</f>
        <v>345</v>
      </c>
      <c r="G15" s="308">
        <f>Sheet8!$K$5+Sheet8!$K$10+Sheet8!$K$15</f>
        <v>25</v>
      </c>
      <c r="H15" s="308">
        <f>Sheet8!$K$6+Sheet8!$K$11+Sheet8!$K$16</f>
        <v>3</v>
      </c>
      <c r="I15" s="308">
        <f>Sheet8!$K$7+Sheet8!$K$12+Sheet8!$K$17</f>
        <v>66</v>
      </c>
      <c r="J15" s="308">
        <f>Sheet8!$L$4+Sheet8!$L$9+Sheet8!$L$14</f>
        <v>64</v>
      </c>
      <c r="K15" s="308">
        <f>Sheet8!$L$5+Sheet8!$L$10+Sheet8!$L$15</f>
        <v>0</v>
      </c>
      <c r="L15" s="308">
        <f>Sheet8!$L$6+Sheet8!$L$11+Sheet8!$L$16</f>
        <v>0</v>
      </c>
      <c r="M15" s="308">
        <f>Sheet8!$L$7+Sheet8!$L$12+Sheet8!$M$17</f>
        <v>48</v>
      </c>
      <c r="N15" s="168">
        <f t="shared" si="0"/>
        <v>19363.28</v>
      </c>
      <c r="O15" s="168">
        <f t="shared" si="1"/>
        <v>3200</v>
      </c>
      <c r="P15" s="168">
        <f>Sheet8!N22</f>
        <v>22563.279999999999</v>
      </c>
      <c r="Q15" s="169">
        <f>Sheet8!N23</f>
        <v>8</v>
      </c>
      <c r="R15" s="168">
        <f>Sheet8!N24</f>
        <v>29790.74</v>
      </c>
      <c r="S15" s="168">
        <f t="shared" si="3"/>
        <v>167633.75</v>
      </c>
    </row>
    <row r="16" spans="1:19" ht="15.75" x14ac:dyDescent="0.25">
      <c r="A16" s="165">
        <v>44021</v>
      </c>
      <c r="B16" s="166">
        <f>'stream I '!I14</f>
        <v>0.90277777777777146</v>
      </c>
      <c r="C16" s="166">
        <f>' stream II  '!I14</f>
        <v>0.91319444444442865</v>
      </c>
      <c r="D16" s="166">
        <f>'stream III '!I14</f>
        <v>0.27083333333334281</v>
      </c>
      <c r="E16" s="155">
        <f t="shared" si="2"/>
        <v>2.0868055555555429</v>
      </c>
      <c r="F16" s="308">
        <f>Sheet9!$K$4+Sheet9!$K$9+Sheet9!$K$14</f>
        <v>493</v>
      </c>
      <c r="G16" s="308">
        <f>Sheet9!$K$5+Sheet9!$K$10+Sheet9!$K$15</f>
        <v>29</v>
      </c>
      <c r="H16" s="308">
        <f>Sheet9!$K$6+Sheet9!$K$11+Sheet9!$K$16</f>
        <v>24</v>
      </c>
      <c r="I16" s="308">
        <f>Sheet9!$K$7+Sheet9!$K$12+Sheet9!$K$17</f>
        <v>18</v>
      </c>
      <c r="J16" s="308">
        <f>Sheet9!$L$4+Sheet9!$L$9+Sheet9!$L$14</f>
        <v>12</v>
      </c>
      <c r="K16" s="308">
        <f>Sheet9!$L$5+Sheet9!$L$10+Sheet9!$L$15</f>
        <v>0</v>
      </c>
      <c r="L16" s="308">
        <f>Sheet9!$L$6+Sheet9!$L$11+Sheet9!$L$16</f>
        <v>0</v>
      </c>
      <c r="M16" s="308">
        <f>Sheet9!$L$7+Sheet9!$L$12+Sheet9!$M$17</f>
        <v>9</v>
      </c>
      <c r="N16" s="168">
        <f t="shared" si="0"/>
        <v>27661.22</v>
      </c>
      <c r="O16" s="168">
        <f t="shared" si="1"/>
        <v>600</v>
      </c>
      <c r="P16" s="168">
        <f>Sheet9!N22</f>
        <v>28261.22</v>
      </c>
      <c r="Q16" s="169">
        <f>Sheet9!N23</f>
        <v>8</v>
      </c>
      <c r="R16" s="168">
        <v>29493.33</v>
      </c>
      <c r="S16" s="168">
        <f t="shared" si="3"/>
        <v>197127.08000000002</v>
      </c>
    </row>
    <row r="17" spans="1:19" ht="15.75" x14ac:dyDescent="0.25">
      <c r="A17" s="165">
        <v>44022</v>
      </c>
      <c r="B17" s="166">
        <f>'stream I '!I15</f>
        <v>0.2638888888888889</v>
      </c>
      <c r="C17" s="166">
        <f>' stream II  '!I15</f>
        <v>0.83680555555557135</v>
      </c>
      <c r="D17" s="166">
        <f>'stream III '!I15</f>
        <v>0.46875</v>
      </c>
      <c r="E17" s="155">
        <f t="shared" si="2"/>
        <v>1.5694444444444602</v>
      </c>
      <c r="F17" s="308">
        <f>Sheet10!$K$4+Sheet10!$K$9+Sheet10!$K$14</f>
        <v>331</v>
      </c>
      <c r="G17" s="308">
        <f>Sheet10!$K$5+Sheet10!$K$10+Sheet10!$K$15</f>
        <v>18</v>
      </c>
      <c r="H17" s="308">
        <f>Sheet10!$K$6+Sheet10!$K$11+Sheet10!$K$16</f>
        <v>30</v>
      </c>
      <c r="I17" s="308">
        <f>Sheet10!$K$7+Sheet10!$K$12+Sheet10!$K$17</f>
        <v>67</v>
      </c>
      <c r="J17" s="308">
        <f>Sheet10!$L$4+Sheet10!$L$9+Sheet10!$L$14</f>
        <v>116</v>
      </c>
      <c r="K17" s="308">
        <f>Sheet10!$L$5+Sheet10!$L$10+Sheet10!$L$15</f>
        <v>0</v>
      </c>
      <c r="L17" s="308">
        <f>Sheet10!$L$6+Sheet10!$L$11+Sheet10!$L$16</f>
        <v>0</v>
      </c>
      <c r="M17" s="308">
        <f>Sheet10!$L$7+Sheet10!$L$12+Sheet10!$M$17</f>
        <v>23</v>
      </c>
      <c r="N17" s="168">
        <f t="shared" si="0"/>
        <v>19091.66</v>
      </c>
      <c r="O17" s="168">
        <f t="shared" si="1"/>
        <v>5800</v>
      </c>
      <c r="P17" s="168">
        <f>Sheet10!N22</f>
        <v>24891.66</v>
      </c>
      <c r="Q17" s="169">
        <f>Sheet10!N23</f>
        <v>6</v>
      </c>
      <c r="R17" s="168">
        <v>22259.01</v>
      </c>
      <c r="S17" s="168">
        <f t="shared" si="3"/>
        <v>219386.09000000003</v>
      </c>
    </row>
    <row r="18" spans="1:19" ht="15.75" x14ac:dyDescent="0.25">
      <c r="A18" s="165">
        <v>44023</v>
      </c>
      <c r="B18" s="166">
        <f>'stream I '!I16</f>
        <v>0.64236111111111427</v>
      </c>
      <c r="C18" s="166">
        <f>' stream II  '!I16</f>
        <v>0.86805555555554292</v>
      </c>
      <c r="D18" s="166">
        <f>'stream III '!I16</f>
        <v>0.83680555555557135</v>
      </c>
      <c r="E18" s="155">
        <f t="shared" si="2"/>
        <v>2.3472222222222285</v>
      </c>
      <c r="F18" s="308">
        <f>Sheet11!$K$4+Sheet11!$K$9+Sheet11!$K$14</f>
        <v>345</v>
      </c>
      <c r="G18" s="308">
        <f>Sheet11!$K$5+Sheet11!$K$10+Sheet11!$K$15</f>
        <v>14</v>
      </c>
      <c r="H18" s="308">
        <f>Sheet11!$K$6+Sheet11!$K$11+Sheet11!$K$16</f>
        <v>5</v>
      </c>
      <c r="I18" s="308">
        <f>Sheet11!$K$7+Sheet11!$K$12+Sheet11!$K$17</f>
        <v>48</v>
      </c>
      <c r="J18" s="308">
        <f>Sheet11!$L$4+Sheet11!$L$9+Sheet11!$L$14</f>
        <v>161</v>
      </c>
      <c r="K18" s="308">
        <f>Sheet11!$L$5+Sheet11!$L$10+Sheet11!$L$15</f>
        <v>0</v>
      </c>
      <c r="L18" s="308">
        <f>Sheet11!$L$6+Sheet11!$L$11+Sheet11!$L$16</f>
        <v>0</v>
      </c>
      <c r="M18" s="308">
        <f>Sheet11!$L$7+Sheet11!$L$12+Sheet11!$M$17</f>
        <v>24</v>
      </c>
      <c r="N18" s="168">
        <f t="shared" si="0"/>
        <v>18052</v>
      </c>
      <c r="O18" s="168">
        <f t="shared" si="1"/>
        <v>8050</v>
      </c>
      <c r="P18" s="168">
        <f>Sheet11!N22</f>
        <v>26102</v>
      </c>
      <c r="Q18" s="169">
        <f>Sheet11!N23</f>
        <v>8</v>
      </c>
      <c r="R18" s="168">
        <v>29928.33</v>
      </c>
      <c r="S18" s="168">
        <f t="shared" si="3"/>
        <v>249314.42000000004</v>
      </c>
    </row>
    <row r="19" spans="1:19" ht="15.75" x14ac:dyDescent="0.25">
      <c r="A19" s="165">
        <v>44024</v>
      </c>
      <c r="B19" s="166">
        <f>'stream I '!I17</f>
        <v>0.64583333333334281</v>
      </c>
      <c r="C19" s="166">
        <f>' stream II  '!I17</f>
        <v>0.9375</v>
      </c>
      <c r="D19" s="166">
        <f>'stream III '!I17</f>
        <v>0.87152777777777146</v>
      </c>
      <c r="E19" s="155">
        <f t="shared" si="2"/>
        <v>2.4548611111111143</v>
      </c>
      <c r="F19" s="308">
        <f>Sheet12!$K$4+Sheet12!$K$9+Sheet12!$K$14</f>
        <v>403</v>
      </c>
      <c r="G19" s="308">
        <f>Sheet12!$K$5+Sheet12!$K$10+Sheet12!$K$15</f>
        <v>18</v>
      </c>
      <c r="H19" s="308">
        <f>Sheet12!$K$6+Sheet12!$K$11+Sheet12!$K$16</f>
        <v>67</v>
      </c>
      <c r="I19" s="308">
        <f>Sheet12!$K$7+Sheet12!$K$12+Sheet12!$K$17</f>
        <v>38</v>
      </c>
      <c r="J19" s="308">
        <f>Sheet12!$L$4+Sheet12!$L$9+Sheet12!$L$14</f>
        <v>186</v>
      </c>
      <c r="K19" s="308">
        <f>Sheet12!$L$5+Sheet12!$L$10+Sheet12!$L$15</f>
        <v>0</v>
      </c>
      <c r="L19" s="308">
        <f>Sheet12!$L$6+Sheet12!$L$11+Sheet12!$L$16</f>
        <v>5</v>
      </c>
      <c r="M19" s="308">
        <f>Sheet12!$L$7+Sheet12!$L$12+Sheet12!$M$17</f>
        <v>2</v>
      </c>
      <c r="N19" s="168">
        <f t="shared" si="0"/>
        <v>24257.21</v>
      </c>
      <c r="O19" s="168">
        <f t="shared" si="1"/>
        <v>9550</v>
      </c>
      <c r="P19" s="168">
        <f>Sheet12!N22</f>
        <v>33807.21</v>
      </c>
      <c r="Q19" s="169">
        <f>Sheet12!N23</f>
        <v>8</v>
      </c>
      <c r="R19" s="168">
        <v>31004.27</v>
      </c>
      <c r="S19" s="168">
        <f t="shared" si="3"/>
        <v>280318.69000000006</v>
      </c>
    </row>
    <row r="20" spans="1:19" ht="15.75" x14ac:dyDescent="0.25">
      <c r="A20" s="165">
        <v>44025</v>
      </c>
      <c r="B20" s="166">
        <f>'stream I '!I18</f>
        <v>0.79166666666668561</v>
      </c>
      <c r="C20" s="166">
        <f>' stream II  '!I18</f>
        <v>0.82638888888888573</v>
      </c>
      <c r="D20" s="166">
        <f>'stream III '!I18</f>
        <v>0.70833333333337123</v>
      </c>
      <c r="E20" s="155">
        <f t="shared" si="2"/>
        <v>2.3263888888889426</v>
      </c>
      <c r="F20" s="308">
        <f>Sheet13!$K$4+Sheet13!$K$9+Sheet13!$K$14</f>
        <v>502</v>
      </c>
      <c r="G20" s="308">
        <f>Sheet13!$K$5+Sheet13!$K$10+Sheet13!$K$15</f>
        <v>32</v>
      </c>
      <c r="H20" s="308">
        <f>Sheet13!$K$6+Sheet13!$K$11+Sheet13!$K$16</f>
        <v>115</v>
      </c>
      <c r="I20" s="308">
        <f>Sheet13!$K$7+Sheet13!$K$12+Sheet13!$K$17</f>
        <v>4</v>
      </c>
      <c r="J20" s="308">
        <f>Sheet13!$L$4+Sheet13!$L$9+Sheet13!$L$14</f>
        <v>106</v>
      </c>
      <c r="K20" s="308">
        <f>Sheet13!$L$5+Sheet13!$L$10+Sheet13!$L$15</f>
        <v>0</v>
      </c>
      <c r="L20" s="308">
        <f>Sheet13!$L$6+Sheet13!$L$11+Sheet13!$L$16</f>
        <v>0</v>
      </c>
      <c r="M20" s="308">
        <f>Sheet13!$L$7+Sheet13!$L$12+Sheet13!$M$17</f>
        <v>6</v>
      </c>
      <c r="N20" s="168">
        <f t="shared" si="0"/>
        <v>32304</v>
      </c>
      <c r="O20" s="168">
        <f t="shared" si="1"/>
        <v>5300</v>
      </c>
      <c r="P20" s="168">
        <f>Sheet13!N22</f>
        <v>37604</v>
      </c>
      <c r="Q20" s="169">
        <f>Sheet13!N23</f>
        <v>9</v>
      </c>
      <c r="R20" s="168">
        <v>34399.440000000002</v>
      </c>
      <c r="S20" s="168">
        <f t="shared" si="3"/>
        <v>314718.13000000006</v>
      </c>
    </row>
    <row r="21" spans="1:19" ht="15.75" x14ac:dyDescent="0.25">
      <c r="A21" s="165">
        <v>44026</v>
      </c>
      <c r="B21" s="166">
        <f>'stream I '!I19</f>
        <v>0.86458333333331439</v>
      </c>
      <c r="C21" s="166">
        <f>' stream II  '!I19</f>
        <v>0.82986111111114269</v>
      </c>
      <c r="D21" s="166">
        <f>'stream III '!I19</f>
        <v>0.79861111111111427</v>
      </c>
      <c r="E21" s="155">
        <f t="shared" si="2"/>
        <v>2.4930555555555713</v>
      </c>
      <c r="F21" s="308">
        <f>Sheet14!$K$4+Sheet14!$K$9+Sheet14!$K$14</f>
        <v>378</v>
      </c>
      <c r="G21" s="308">
        <f>Sheet14!$K$5+Sheet14!$K$10+Sheet14!$K$15</f>
        <v>37</v>
      </c>
      <c r="H21" s="308">
        <f>Sheet14!$K$6+Sheet14!$K$11+Sheet14!$K$16</f>
        <v>75</v>
      </c>
      <c r="I21" s="308">
        <f>Sheet14!$K$7+Sheet14!$K$12+Sheet14!$K$17</f>
        <v>18</v>
      </c>
      <c r="J21" s="308">
        <f>Sheet14!$L$4+Sheet14!$L$9+Sheet14!$L$14</f>
        <v>213</v>
      </c>
      <c r="K21" s="308">
        <f>Sheet14!$L$5+Sheet14!$L$10+Sheet14!$L$15</f>
        <v>0</v>
      </c>
      <c r="L21" s="308">
        <f>Sheet14!$L$6+Sheet14!$L$11+Sheet14!$L$16</f>
        <v>10</v>
      </c>
      <c r="M21" s="308">
        <f>Sheet14!$L$7+Sheet14!$L$12+Sheet14!$M$17</f>
        <v>6</v>
      </c>
      <c r="N21" s="168">
        <f t="shared" si="0"/>
        <v>23720</v>
      </c>
      <c r="O21" s="168">
        <f t="shared" si="1"/>
        <v>11150</v>
      </c>
      <c r="P21" s="168">
        <f>Sheet14!N22</f>
        <v>34870</v>
      </c>
      <c r="Q21" s="169">
        <f>Sheet14!N23</f>
        <v>10</v>
      </c>
      <c r="R21" s="168">
        <f>Sheet14!N24</f>
        <v>37881.660000000003</v>
      </c>
      <c r="S21" s="168">
        <f t="shared" si="3"/>
        <v>352599.79000000004</v>
      </c>
    </row>
    <row r="22" spans="1:19" ht="15.75" x14ac:dyDescent="0.25">
      <c r="A22" s="165">
        <v>44027</v>
      </c>
      <c r="B22" s="166">
        <f>'stream I '!I20</f>
        <v>0.79513888888888573</v>
      </c>
      <c r="C22" s="166">
        <f>' stream II  '!I20</f>
        <v>0.47222222222222854</v>
      </c>
      <c r="D22" s="166">
        <f>'stream III '!I20</f>
        <v>0.79861111111111427</v>
      </c>
      <c r="E22" s="155">
        <f t="shared" si="2"/>
        <v>2.0659722222222285</v>
      </c>
      <c r="F22" s="308">
        <f>Sheet15!$K$4+Sheet15!$K$9+Sheet15!$K$14</f>
        <v>327</v>
      </c>
      <c r="G22" s="308">
        <f>Sheet15!$K$5+Sheet15!$K$10+Sheet15!$K$15</f>
        <v>12</v>
      </c>
      <c r="H22" s="308">
        <f>Sheet15!$K$6+Sheet15!$K$11+Sheet15!$K$16</f>
        <v>50</v>
      </c>
      <c r="I22" s="308">
        <f>Sheet15!$K$7+Sheet15!$K$12+Sheet15!$K$17</f>
        <v>98</v>
      </c>
      <c r="J22" s="308">
        <f>Sheet15!$L$4+Sheet15!$L$9+Sheet15!$L$14</f>
        <v>199</v>
      </c>
      <c r="K22" s="308">
        <f>Sheet15!$L$5+Sheet15!$L$10+Sheet15!$L$15</f>
        <v>0</v>
      </c>
      <c r="L22" s="308">
        <f>Sheet15!$L$6+Sheet15!$L$11+Sheet15!$L$16</f>
        <v>10</v>
      </c>
      <c r="M22" s="308">
        <f>Sheet15!$L$7+Sheet15!$L$12+Sheet15!$M$17</f>
        <v>35</v>
      </c>
      <c r="N22" s="168">
        <f t="shared" si="0"/>
        <v>20091</v>
      </c>
      <c r="O22" s="168">
        <f t="shared" si="1"/>
        <v>10450</v>
      </c>
      <c r="P22" s="168">
        <f>Sheet15!N22</f>
        <v>30541</v>
      </c>
      <c r="Q22" s="169">
        <f>Sheet15!N23</f>
        <v>9</v>
      </c>
      <c r="R22" s="168">
        <f>Sheet15!N24</f>
        <v>34224.720000000001</v>
      </c>
      <c r="S22" s="168">
        <f t="shared" si="3"/>
        <v>386824.51</v>
      </c>
    </row>
    <row r="23" spans="1:19" ht="15.75" x14ac:dyDescent="0.25">
      <c r="A23" s="165">
        <v>44028</v>
      </c>
      <c r="B23" s="166">
        <f>'stream I '!I21</f>
        <v>0.75694444444445708</v>
      </c>
      <c r="C23" s="166">
        <f>' stream II  '!I21</f>
        <v>0.72569444444442865</v>
      </c>
      <c r="D23" s="166">
        <f>'stream III '!I21</f>
        <v>0.87152777777776513</v>
      </c>
      <c r="E23" s="155">
        <f t="shared" si="2"/>
        <v>2.354166666666651</v>
      </c>
      <c r="F23" s="308">
        <f>Sheet16!$K$4+Sheet16!$K$9+Sheet16!$K$14</f>
        <v>424</v>
      </c>
      <c r="G23" s="308">
        <f>Sheet16!$K$5+Sheet16!$K$10+Sheet16!$K$15</f>
        <v>3</v>
      </c>
      <c r="H23" s="308">
        <f>Sheet16!$K$6+Sheet16!$K$11+Sheet16!$K$16</f>
        <v>36</v>
      </c>
      <c r="I23" s="308">
        <f>Sheet16!$K$7+Sheet16!$K$12+Sheet16!$K$17</f>
        <v>40</v>
      </c>
      <c r="J23" s="308">
        <f>Sheet16!$L$4+Sheet16!$L$9+Sheet16!$L$14</f>
        <v>231</v>
      </c>
      <c r="K23" s="308">
        <f>Sheet16!$L$5+Sheet16!$L$10+Sheet16!$L$15</f>
        <v>0</v>
      </c>
      <c r="L23" s="308">
        <f>Sheet16!$L$6+Sheet16!$L$11+Sheet16!$L$16</f>
        <v>22</v>
      </c>
      <c r="M23" s="308">
        <f>Sheet16!$L$7+Sheet16!$L$12+Sheet16!$M$17</f>
        <v>8</v>
      </c>
      <c r="N23" s="168">
        <f t="shared" si="0"/>
        <v>22351.85</v>
      </c>
      <c r="O23" s="168">
        <f t="shared" si="1"/>
        <v>12650</v>
      </c>
      <c r="P23" s="168">
        <f>Sheet16!N22</f>
        <v>35001.85</v>
      </c>
      <c r="Q23" s="169">
        <f>Sheet16!N23</f>
        <v>9</v>
      </c>
      <c r="R23" s="168">
        <v>34063.379999999997</v>
      </c>
      <c r="S23" s="168">
        <f t="shared" si="3"/>
        <v>420887.89</v>
      </c>
    </row>
    <row r="24" spans="1:19" ht="15.75" x14ac:dyDescent="0.25">
      <c r="A24" s="165">
        <v>44029</v>
      </c>
      <c r="B24" s="166">
        <f>'stream I '!I22</f>
        <v>0.77430555555557135</v>
      </c>
      <c r="C24" s="166">
        <f>' stream II  '!I22</f>
        <v>0.74305555555557135</v>
      </c>
      <c r="D24" s="166">
        <f>'stream III '!I22</f>
        <v>0.83333333333334281</v>
      </c>
      <c r="E24" s="155">
        <f t="shared" si="2"/>
        <v>2.3506944444444855</v>
      </c>
      <c r="F24" s="308">
        <f>Sheet17!$K$4+Sheet17!$K$9+Sheet17!$K$14</f>
        <v>130</v>
      </c>
      <c r="G24" s="308">
        <f>Sheet17!$K$5+Sheet17!$K$10+Sheet17!$K$15</f>
        <v>0</v>
      </c>
      <c r="H24" s="308">
        <f>Sheet17!$K$6+Sheet17!$K$11+Sheet17!$K$16</f>
        <v>0</v>
      </c>
      <c r="I24" s="308">
        <f>Sheet17!$K$7+Sheet17!$K$12+Sheet17!$K$17</f>
        <v>16</v>
      </c>
      <c r="J24" s="308">
        <f>Sheet17!$L$4+Sheet17!$L$9+Sheet17!$L$14</f>
        <v>72</v>
      </c>
      <c r="K24" s="308">
        <f>Sheet17!$L$5+Sheet17!$L$10+Sheet17!$L$15</f>
        <v>0</v>
      </c>
      <c r="L24" s="308">
        <f>Sheet17!$L$6+Sheet17!$L$11+Sheet17!$L$16</f>
        <v>0</v>
      </c>
      <c r="M24" s="308">
        <f>Sheet17!$L$7+Sheet17!$L$12+Sheet17!$M$17</f>
        <v>14</v>
      </c>
      <c r="N24" s="168">
        <f t="shared" si="0"/>
        <v>33883</v>
      </c>
      <c r="O24" s="168">
        <f t="shared" si="1"/>
        <v>3600</v>
      </c>
      <c r="P24" s="168">
        <f>Sheet17!N22</f>
        <v>37483</v>
      </c>
      <c r="Q24" s="169">
        <f>Sheet17!N23</f>
        <v>9</v>
      </c>
      <c r="R24" s="168">
        <v>33814.1</v>
      </c>
      <c r="S24" s="168">
        <f t="shared" si="3"/>
        <v>454701.99</v>
      </c>
    </row>
    <row r="25" spans="1:19" ht="15.75" x14ac:dyDescent="0.25">
      <c r="A25" s="165">
        <v>44030</v>
      </c>
      <c r="B25" s="166">
        <f>'stream I '!I23</f>
        <v>0.87847222222222854</v>
      </c>
      <c r="C25" s="166">
        <f>' stream II  '!I23</f>
        <v>0.87847222222222854</v>
      </c>
      <c r="D25" s="166">
        <f>'stream III '!I23</f>
        <v>0.82638888888891415</v>
      </c>
      <c r="E25" s="155">
        <f t="shared" si="2"/>
        <v>2.5833333333333712</v>
      </c>
      <c r="F25" s="308">
        <f>Sheet18!$K$4+Sheet18!$K$9+Sheet18!$K$14</f>
        <v>705</v>
      </c>
      <c r="G25" s="308">
        <f>Sheet18!$K$5+Sheet18!$K$10+Sheet18!$K$15</f>
        <v>12</v>
      </c>
      <c r="H25" s="308">
        <f>Sheet18!$K$6+Sheet18!$K$11+Sheet18!$K$16</f>
        <v>52</v>
      </c>
      <c r="I25" s="308">
        <f>Sheet18!$K$7+Sheet18!$K$12+Sheet18!$K$17</f>
        <v>16</v>
      </c>
      <c r="J25" s="308">
        <f>Sheet18!$L$4+Sheet18!$L$9+Sheet18!$L$14</f>
        <v>52</v>
      </c>
      <c r="K25" s="308">
        <f>Sheet18!$L$5+Sheet18!$L$10+Sheet18!$L$15</f>
        <v>0</v>
      </c>
      <c r="L25" s="308">
        <f>Sheet18!$L$6+Sheet18!$L$11+Sheet18!$L$16</f>
        <v>10</v>
      </c>
      <c r="M25" s="308">
        <f>Sheet18!$L$7+Sheet18!$L$12+Sheet18!$M$17</f>
        <v>10</v>
      </c>
      <c r="N25" s="168">
        <f t="shared" si="0"/>
        <v>39648.980000000003</v>
      </c>
      <c r="O25" s="168">
        <f t="shared" si="1"/>
        <v>3100</v>
      </c>
      <c r="P25" s="168">
        <f>Sheet18!N22</f>
        <v>42748.98</v>
      </c>
      <c r="Q25" s="169">
        <f>Sheet18!N23</f>
        <v>10</v>
      </c>
      <c r="R25" s="168">
        <v>38047.08</v>
      </c>
      <c r="S25" s="168">
        <f t="shared" si="3"/>
        <v>492749.07</v>
      </c>
    </row>
    <row r="26" spans="1:19" ht="15.75" x14ac:dyDescent="0.25">
      <c r="A26" s="165">
        <v>44031</v>
      </c>
      <c r="B26" s="166">
        <f>'stream I '!I24</f>
        <v>0.87152777777779988</v>
      </c>
      <c r="C26" s="166">
        <f>' stream II  '!I24</f>
        <v>0.84027777777777146</v>
      </c>
      <c r="D26" s="166">
        <f>'stream III '!I24</f>
        <v>0.82638888888891415</v>
      </c>
      <c r="E26" s="155">
        <f t="shared" si="2"/>
        <v>2.5381944444444855</v>
      </c>
      <c r="F26" s="308">
        <f>Sheet19!$K$4+Sheet19!$K$9+Sheet19!$K$14</f>
        <v>509</v>
      </c>
      <c r="G26" s="308">
        <f>Sheet19!$K$5+Sheet19!$K$10+Sheet19!$K$15</f>
        <v>31</v>
      </c>
      <c r="H26" s="308">
        <f>Sheet19!$K$6+Sheet19!$K$11+Sheet19!$K$16</f>
        <v>42</v>
      </c>
      <c r="I26" s="308">
        <f>Sheet19!$K$7+Sheet19!$K$12+Sheet19!$K$17</f>
        <v>25</v>
      </c>
      <c r="J26" s="308">
        <f>Sheet19!$L$4+Sheet19!$L$9+Sheet19!$L$14</f>
        <v>238</v>
      </c>
      <c r="K26" s="308">
        <f>Sheet19!$L$5+Sheet19!$L$10+Sheet19!$L$15</f>
        <v>0</v>
      </c>
      <c r="L26" s="308">
        <f>Sheet19!$L$6+Sheet19!$L$11+Sheet19!$L$16</f>
        <v>10</v>
      </c>
      <c r="M26" s="308">
        <f>Sheet19!$L$7+Sheet19!$L$12+Sheet19!$M$17</f>
        <v>5</v>
      </c>
      <c r="N26" s="168">
        <f t="shared" si="0"/>
        <v>29362.300000000003</v>
      </c>
      <c r="O26" s="168">
        <f t="shared" si="1"/>
        <v>12400</v>
      </c>
      <c r="P26" s="168">
        <f>Sheet19!N22</f>
        <v>41762.300000000003</v>
      </c>
      <c r="Q26" s="169">
        <f>Sheet19!N23</f>
        <v>10</v>
      </c>
      <c r="R26" s="168">
        <v>37674.26</v>
      </c>
      <c r="S26" s="168">
        <f t="shared" si="3"/>
        <v>530423.32999999996</v>
      </c>
    </row>
    <row r="27" spans="1:19" ht="15.75" x14ac:dyDescent="0.25">
      <c r="A27" s="165">
        <v>44032</v>
      </c>
      <c r="B27" s="166">
        <f>'stream I '!I25</f>
        <v>0.77083333333334281</v>
      </c>
      <c r="C27" s="166">
        <f>' stream II  '!I25</f>
        <v>0.72222222222220012</v>
      </c>
      <c r="D27" s="166">
        <f>'stream III '!I25</f>
        <v>0.71180555555557135</v>
      </c>
      <c r="E27" s="155">
        <f t="shared" si="2"/>
        <v>2.2048611111111143</v>
      </c>
      <c r="F27" s="308">
        <f>Sheet20!$K$4+Sheet20!$K$9+Sheet20!$K$14</f>
        <v>432</v>
      </c>
      <c r="G27" s="308">
        <f>Sheet20!$K$5+Sheet20!$K$10+Sheet20!$K$15</f>
        <v>25</v>
      </c>
      <c r="H27" s="308">
        <f>Sheet20!$K$6+Sheet20!$K$11+Sheet20!$K$16</f>
        <v>60</v>
      </c>
      <c r="I27" s="308">
        <f>Sheet20!$K$7+Sheet20!$K$12+Sheet20!$K$17</f>
        <v>79</v>
      </c>
      <c r="J27" s="308">
        <f>Sheet20!$L$4+Sheet20!$L$9+Sheet20!$L$14</f>
        <v>73</v>
      </c>
      <c r="K27" s="308">
        <f>Sheet20!$L$5+Sheet20!$L$10+Sheet20!$L$15</f>
        <v>0</v>
      </c>
      <c r="L27" s="308">
        <f>Sheet20!$L$6+Sheet20!$L$11+Sheet20!$L$16</f>
        <v>15</v>
      </c>
      <c r="M27" s="308">
        <f>Sheet20!$L$7+Sheet20!$L$12+Sheet20!$M$17</f>
        <v>0</v>
      </c>
      <c r="N27" s="168">
        <f t="shared" si="0"/>
        <v>30786.370000000003</v>
      </c>
      <c r="O27" s="168">
        <f t="shared" si="1"/>
        <v>4400</v>
      </c>
      <c r="P27" s="168">
        <f>Sheet20!N22</f>
        <v>35186.370000000003</v>
      </c>
      <c r="Q27" s="169">
        <f>Sheet20!N23</f>
        <v>9</v>
      </c>
      <c r="R27" s="168">
        <f>Sheet20!N24</f>
        <v>33941.96</v>
      </c>
      <c r="S27" s="168">
        <f t="shared" si="3"/>
        <v>564365.28999999992</v>
      </c>
    </row>
    <row r="28" spans="1:19" ht="15.75" x14ac:dyDescent="0.25">
      <c r="A28" s="165">
        <v>44033</v>
      </c>
      <c r="B28" s="166">
        <f>'stream I '!I26</f>
        <v>0.80208333333331439</v>
      </c>
      <c r="C28" s="166">
        <f>' stream II  '!I26</f>
        <v>0.65625000000002842</v>
      </c>
      <c r="D28" s="166">
        <f>'stream III '!I26</f>
        <v>0.86805555555554292</v>
      </c>
      <c r="E28" s="155">
        <f t="shared" si="2"/>
        <v>2.3263888888888857</v>
      </c>
      <c r="F28" s="308">
        <f>Sheet21!$K$4+Sheet21!$K$9+Sheet21!$K$14</f>
        <v>395</v>
      </c>
      <c r="G28" s="308">
        <f>Sheet21!$K$5+Sheet21!$K$10+Sheet21!$K$15</f>
        <v>17</v>
      </c>
      <c r="H28" s="308">
        <f>Sheet21!$K$6+Sheet21!$K$11+Sheet21!$K$16</f>
        <v>100</v>
      </c>
      <c r="I28" s="308">
        <f>Sheet21!$K$7+Sheet21!$K$12+Sheet21!$K$17</f>
        <v>69</v>
      </c>
      <c r="J28" s="308">
        <f>Sheet21!$L$4+Sheet21!$L$9+Sheet21!$L$14</f>
        <v>172</v>
      </c>
      <c r="K28" s="308">
        <f>Sheet21!$L$5+Sheet21!$L$10+Sheet21!$L$15</f>
        <v>6</v>
      </c>
      <c r="L28" s="308">
        <f>Sheet21!$L$6+Sheet21!$L$11+Sheet21!$L$16</f>
        <v>12</v>
      </c>
      <c r="M28" s="308">
        <f>Sheet21!$L$7+Sheet21!$L$12+Sheet21!$M$17</f>
        <v>7</v>
      </c>
      <c r="N28" s="168">
        <f t="shared" si="0"/>
        <v>26773.47</v>
      </c>
      <c r="O28" s="168">
        <f t="shared" si="1"/>
        <v>9362</v>
      </c>
      <c r="P28" s="168">
        <f>Sheet21!N22</f>
        <v>36135.47</v>
      </c>
      <c r="Q28" s="169">
        <f>Sheet21!N23</f>
        <v>9</v>
      </c>
      <c r="R28" s="168">
        <v>34869.96</v>
      </c>
      <c r="S28" s="168">
        <f t="shared" si="3"/>
        <v>599235.24999999988</v>
      </c>
    </row>
    <row r="29" spans="1:19" ht="15.75" x14ac:dyDescent="0.25">
      <c r="A29" s="165">
        <v>44034</v>
      </c>
      <c r="B29" s="166">
        <f>'stream I '!I27</f>
        <v>0.77777777777777146</v>
      </c>
      <c r="C29" s="166">
        <f>' stream II  '!I27</f>
        <v>0.80555555555554292</v>
      </c>
      <c r="D29" s="166">
        <f>'stream III '!I27</f>
        <v>0.85069444444442865</v>
      </c>
      <c r="E29" s="155">
        <f t="shared" si="2"/>
        <v>2.434027777777743</v>
      </c>
      <c r="F29" s="308">
        <f>Sheet22!$K$4+Sheet22!$K$9+Sheet22!$K$14</f>
        <v>540</v>
      </c>
      <c r="G29" s="308">
        <f>Sheet22!$K$5+Sheet22!$K$10+Sheet22!$K$15</f>
        <v>15</v>
      </c>
      <c r="H29" s="308">
        <f>Sheet22!$K$6+Sheet22!$K$11+Sheet22!$K$16</f>
        <v>75</v>
      </c>
      <c r="I29" s="308">
        <f>Sheet22!$K$7+Sheet22!$K$12+Sheet22!$K$17</f>
        <v>21</v>
      </c>
      <c r="J29" s="308">
        <f>Sheet22!$L$4+Sheet22!$L$9+Sheet22!$L$14</f>
        <v>205</v>
      </c>
      <c r="K29" s="308">
        <f>Sheet22!$L$5+Sheet22!$L$10+Sheet22!$L$15</f>
        <v>0</v>
      </c>
      <c r="L29" s="308">
        <f>Sheet22!$L$6+Sheet22!$L$11+Sheet22!$L$16</f>
        <v>18</v>
      </c>
      <c r="M29" s="308">
        <f>Sheet22!$L$7+Sheet22!$L$12+Sheet22!$M$17</f>
        <v>0</v>
      </c>
      <c r="N29" s="168">
        <f t="shared" si="0"/>
        <v>26190.5</v>
      </c>
      <c r="O29" s="168">
        <f t="shared" si="1"/>
        <v>11150</v>
      </c>
      <c r="P29" s="168">
        <f>Sheet22!N22</f>
        <v>37340.5</v>
      </c>
      <c r="Q29" s="169">
        <f>Sheet22!N23</f>
        <v>10</v>
      </c>
      <c r="R29" s="168">
        <v>37540.5</v>
      </c>
      <c r="S29" s="168">
        <f t="shared" si="3"/>
        <v>636775.74999999988</v>
      </c>
    </row>
    <row r="30" spans="1:19" ht="15.75" x14ac:dyDescent="0.25">
      <c r="A30" s="165">
        <v>44035</v>
      </c>
      <c r="B30" s="166">
        <f>'stream I '!I28</f>
        <v>0.71875000000002842</v>
      </c>
      <c r="C30" s="166">
        <f>' stream II  '!I28</f>
        <v>0.71875000000002842</v>
      </c>
      <c r="D30" s="166">
        <f>'stream III '!I28</f>
        <v>0.875</v>
      </c>
      <c r="E30" s="155">
        <f t="shared" si="2"/>
        <v>2.3125000000000568</v>
      </c>
      <c r="F30" s="308">
        <f>Sheet23!$K$4+Sheet23!$K$9+Sheet23!$K$14</f>
        <v>510</v>
      </c>
      <c r="G30" s="308">
        <f>Sheet23!$K$5+Sheet23!$K$10+Sheet23!$K$15</f>
        <v>0</v>
      </c>
      <c r="H30" s="308">
        <f>Sheet23!$K$6+Sheet23!$K$11+Sheet23!$K$16</f>
        <v>103</v>
      </c>
      <c r="I30" s="308">
        <f>Sheet23!$K$7+Sheet23!$K$12+Sheet23!$K$17</f>
        <v>76</v>
      </c>
      <c r="J30" s="308">
        <f>Sheet23!$L$4+Sheet23!$L$9+Sheet23!$L$14</f>
        <v>154</v>
      </c>
      <c r="K30" s="308">
        <f>Sheet23!$L$5+Sheet23!$L$10+Sheet23!$L$15</f>
        <v>0</v>
      </c>
      <c r="L30" s="308">
        <f>Sheet23!$L$6+Sheet23!$L$11+Sheet23!$L$16</f>
        <v>0</v>
      </c>
      <c r="M30" s="308">
        <f>Sheet23!$L$7+Sheet23!$L$12+Sheet23!$M$17</f>
        <v>35</v>
      </c>
      <c r="N30" s="168">
        <f t="shared" si="0"/>
        <v>30663.78</v>
      </c>
      <c r="O30" s="168">
        <f t="shared" si="1"/>
        <v>7700</v>
      </c>
      <c r="P30" s="168">
        <f>Sheet23!N22</f>
        <v>38363.78</v>
      </c>
      <c r="Q30" s="169">
        <f>Sheet23!N23</f>
        <v>10</v>
      </c>
      <c r="R30" s="168">
        <f>Sheet23!N24</f>
        <v>37663.879999999997</v>
      </c>
      <c r="S30" s="168">
        <f t="shared" si="3"/>
        <v>674439.62999999989</v>
      </c>
    </row>
    <row r="31" spans="1:19" ht="15.75" x14ac:dyDescent="0.25">
      <c r="A31" s="165">
        <v>44036</v>
      </c>
      <c r="B31" s="166">
        <f>'stream I '!I29</f>
        <v>0.85763888888888573</v>
      </c>
      <c r="C31" s="166">
        <f>' stream II  '!I29</f>
        <v>0.73611111111111427</v>
      </c>
      <c r="D31" s="166">
        <f>'stream III '!I29</f>
        <v>0.84375</v>
      </c>
      <c r="E31" s="155">
        <f t="shared" si="2"/>
        <v>2.4375</v>
      </c>
      <c r="F31" s="308">
        <f>Sheet24!$K$4+Sheet24!$K$9+Sheet24!$K$14</f>
        <v>565</v>
      </c>
      <c r="G31" s="308">
        <f>Sheet24!$K$5+Sheet24!$K$10+Sheet24!$K$15</f>
        <v>0</v>
      </c>
      <c r="H31" s="308">
        <f>Sheet24!$K$6+Sheet24!$K$11+Sheet24!$K$16</f>
        <v>52</v>
      </c>
      <c r="I31" s="308">
        <f>Sheet24!$K$7+Sheet24!$K$12+Sheet24!$K$17</f>
        <v>60</v>
      </c>
      <c r="J31" s="308">
        <f>Sheet24!$L$4+Sheet24!$L$9+Sheet24!$L$14</f>
        <v>157</v>
      </c>
      <c r="K31" s="308">
        <f>Sheet24!$L$5+Sheet24!$L$10+Sheet24!$L$15</f>
        <v>0</v>
      </c>
      <c r="L31" s="308">
        <f>Sheet24!$L$6+Sheet24!$L$11+Sheet24!$L$16</f>
        <v>0</v>
      </c>
      <c r="M31" s="308">
        <f>Sheet24!$L$7+Sheet24!$L$12+Sheet24!$M$17</f>
        <v>10</v>
      </c>
      <c r="N31" s="168">
        <f t="shared" si="0"/>
        <v>30410</v>
      </c>
      <c r="O31" s="168">
        <f t="shared" si="1"/>
        <v>7850</v>
      </c>
      <c r="P31" s="168">
        <f>Sheet24!N22</f>
        <v>38260</v>
      </c>
      <c r="Q31" s="169">
        <v>11</v>
      </c>
      <c r="R31" s="168">
        <v>42250.84</v>
      </c>
      <c r="S31" s="168">
        <f t="shared" si="3"/>
        <v>716690.46999999986</v>
      </c>
    </row>
    <row r="32" spans="1:19" ht="15.75" x14ac:dyDescent="0.25">
      <c r="A32" s="165">
        <v>44037</v>
      </c>
      <c r="B32" s="166">
        <f>'stream I '!I30</f>
        <v>0.77083333333334281</v>
      </c>
      <c r="C32" s="166">
        <f>' stream II  '!I30</f>
        <v>0.82986111111111427</v>
      </c>
      <c r="D32" s="166">
        <f>'stream III '!I30</f>
        <v>0.84375</v>
      </c>
      <c r="E32" s="155">
        <f t="shared" si="2"/>
        <v>2.4444444444444571</v>
      </c>
      <c r="F32" s="308">
        <f>Sheet25!$K$4+Sheet25!$K$9+Sheet25!$K$14</f>
        <v>499</v>
      </c>
      <c r="G32" s="308">
        <f>Sheet25!$K$5+Sheet25!$K$10+Sheet25!$K$15</f>
        <v>10</v>
      </c>
      <c r="H32" s="308">
        <f>Sheet25!$K$6+Sheet25!$K$11+Sheet25!$K$16</f>
        <v>97</v>
      </c>
      <c r="I32" s="308">
        <f>Sheet25!$K$7+Sheet25!$K$12+Sheet25!$K$17</f>
        <v>20</v>
      </c>
      <c r="J32" s="308">
        <f>Sheet25!$L$4+Sheet25!$L$9+Sheet25!$L$14</f>
        <v>163</v>
      </c>
      <c r="K32" s="308">
        <f>Sheet25!$L$5+Sheet25!$L$10+Sheet25!$L$15</f>
        <v>0</v>
      </c>
      <c r="L32" s="308">
        <f>Sheet25!$L$6+Sheet25!$L$11+Sheet25!$L$16</f>
        <v>26</v>
      </c>
      <c r="M32" s="308">
        <f>Sheet25!$L$7+Sheet25!$L$12+Sheet25!$M$17</f>
        <v>4</v>
      </c>
      <c r="N32" s="168">
        <f t="shared" si="0"/>
        <v>28781.97</v>
      </c>
      <c r="O32" s="168">
        <f t="shared" si="1"/>
        <v>9450</v>
      </c>
      <c r="P32" s="168">
        <f>Sheet25!N22</f>
        <v>38231.97</v>
      </c>
      <c r="Q32" s="169">
        <f>Sheet25!N23</f>
        <v>10</v>
      </c>
      <c r="R32" s="168">
        <v>38108.94</v>
      </c>
      <c r="S32" s="168">
        <f t="shared" si="3"/>
        <v>754799.40999999992</v>
      </c>
    </row>
    <row r="33" spans="1:22" ht="15.75" x14ac:dyDescent="0.25">
      <c r="A33" s="165">
        <v>44038</v>
      </c>
      <c r="B33" s="166">
        <f>'stream I '!I31</f>
        <v>0.8611111111111206</v>
      </c>
      <c r="C33" s="166">
        <f>' stream II  '!I31</f>
        <v>0.91319444444442865</v>
      </c>
      <c r="D33" s="166">
        <f>'stream III '!I31</f>
        <v>0.72916666666665719</v>
      </c>
      <c r="E33" s="155">
        <f t="shared" si="2"/>
        <v>2.5034722222222063</v>
      </c>
      <c r="F33" s="308">
        <f>Sheet26!$K$4+Sheet26!$K$9+Sheet26!$K$14</f>
        <v>556</v>
      </c>
      <c r="G33" s="308">
        <f>Sheet26!$K$5+Sheet26!$K$10+Sheet26!$K$15</f>
        <v>0</v>
      </c>
      <c r="H33" s="308">
        <f>Sheet26!$K$6+Sheet26!$K$11+Sheet26!$K$16</f>
        <v>80</v>
      </c>
      <c r="I33" s="308">
        <f>Sheet26!$K$7+Sheet26!$K$12+Sheet26!$K$17</f>
        <v>22</v>
      </c>
      <c r="J33" s="308">
        <f>Sheet26!$L$4+Sheet26!$L$9+Sheet26!$L$14</f>
        <v>180</v>
      </c>
      <c r="K33" s="308">
        <f>Sheet26!$L$5+Sheet26!$L$10+Sheet26!$L$15</f>
        <v>0</v>
      </c>
      <c r="L33" s="308">
        <f>Sheet26!$L$6+Sheet26!$L$11+Sheet26!$L$16</f>
        <v>10</v>
      </c>
      <c r="M33" s="308">
        <f>Sheet26!$L$7+Sheet26!$L$12+Sheet26!$M$17</f>
        <v>0</v>
      </c>
      <c r="N33" s="168">
        <f t="shared" si="0"/>
        <v>32400</v>
      </c>
      <c r="O33" s="168">
        <f t="shared" si="1"/>
        <v>9500</v>
      </c>
      <c r="P33" s="168">
        <f>Sheet26!N22</f>
        <v>41900</v>
      </c>
      <c r="Q33" s="169">
        <f>Sheet26!N23</f>
        <v>10</v>
      </c>
      <c r="R33" s="168">
        <v>37663.22</v>
      </c>
      <c r="S33" s="168">
        <f t="shared" si="3"/>
        <v>792462.62999999989</v>
      </c>
    </row>
    <row r="34" spans="1:22" ht="15.75" x14ac:dyDescent="0.25">
      <c r="A34" s="165">
        <v>44039</v>
      </c>
      <c r="B34" s="166">
        <f>'stream I '!I32</f>
        <v>0.83680555555555558</v>
      </c>
      <c r="C34" s="166">
        <f>' stream II  '!I32</f>
        <v>0.83333333333334281</v>
      </c>
      <c r="D34" s="166">
        <f>'stream III '!I32</f>
        <v>0.81597222222222232</v>
      </c>
      <c r="E34" s="155">
        <f t="shared" si="2"/>
        <v>2.4861111111111205</v>
      </c>
      <c r="F34" s="308">
        <f>Sheet27!$K$4+Sheet27!$K$9+Sheet27!$K$14</f>
        <v>477</v>
      </c>
      <c r="G34" s="308">
        <f>Sheet27!$K$5+Sheet27!$K$10+Sheet27!$K$15</f>
        <v>7</v>
      </c>
      <c r="H34" s="308">
        <f>Sheet27!$K$6+Sheet27!$K$11+Sheet27!$K$16</f>
        <v>78</v>
      </c>
      <c r="I34" s="308">
        <f>Sheet27!$K$7+Sheet27!$K$12+Sheet27!$K$17</f>
        <v>39</v>
      </c>
      <c r="J34" s="308">
        <f>Sheet27!$L$4+Sheet27!$L$9+Sheet27!$L$14</f>
        <v>238</v>
      </c>
      <c r="K34" s="308">
        <f>Sheet27!$L$5+Sheet27!$L$10+Sheet27!$L$15</f>
        <v>0</v>
      </c>
      <c r="L34" s="308">
        <f>Sheet27!$L$6+Sheet27!$L$11+Sheet27!$L$16</f>
        <v>15</v>
      </c>
      <c r="M34" s="308">
        <f>Sheet27!$L$7+Sheet27!$L$12+Sheet27!$M$17</f>
        <v>10</v>
      </c>
      <c r="N34" s="168">
        <f t="shared" si="0"/>
        <v>28891.739999999998</v>
      </c>
      <c r="O34" s="168">
        <f t="shared" si="1"/>
        <v>12650</v>
      </c>
      <c r="P34" s="168">
        <f>Sheet27!N22</f>
        <v>41541.74</v>
      </c>
      <c r="Q34" s="169">
        <f>Sheet27!N23</f>
        <v>10</v>
      </c>
      <c r="R34" s="168">
        <v>38221.94</v>
      </c>
      <c r="S34" s="168">
        <f t="shared" si="3"/>
        <v>830684.56999999983</v>
      </c>
    </row>
    <row r="35" spans="1:22" ht="15.75" x14ac:dyDescent="0.25">
      <c r="A35" s="165">
        <v>44040</v>
      </c>
      <c r="B35" s="166">
        <f>'stream I '!I33</f>
        <v>0.8125</v>
      </c>
      <c r="C35" s="166">
        <f>' stream II  '!I33</f>
        <v>0.86805555555554292</v>
      </c>
      <c r="D35" s="166">
        <f>'stream III '!I33</f>
        <v>0.79861111111111427</v>
      </c>
      <c r="E35" s="155">
        <f t="shared" si="2"/>
        <v>2.4791666666666572</v>
      </c>
      <c r="F35" s="308">
        <f>Sheet28!$K$4+Sheet28!$K$9+Sheet28!$K$14</f>
        <v>485</v>
      </c>
      <c r="G35" s="308">
        <f>Sheet28!$K$5+Sheet28!$K$10+Sheet28!$K$15</f>
        <v>17</v>
      </c>
      <c r="H35" s="308">
        <f>Sheet28!$K$6+Sheet28!$K$11+Sheet28!$K$16</f>
        <v>52</v>
      </c>
      <c r="I35" s="308">
        <f>Sheet28!$K$7+Sheet28!$K$12+Sheet28!$K$17</f>
        <v>47</v>
      </c>
      <c r="J35" s="308">
        <f>Sheet28!$L$4+Sheet28!$L$9+Sheet28!$L$14</f>
        <v>180</v>
      </c>
      <c r="K35" s="308">
        <f>Sheet28!$L$5+Sheet28!$L$10+Sheet28!$L$15</f>
        <v>0</v>
      </c>
      <c r="L35" s="308">
        <f>Sheet28!$L$6+Sheet28!$L$11+Sheet28!$L$16</f>
        <v>12</v>
      </c>
      <c r="M35" s="308">
        <f>Sheet28!$L$7+Sheet28!$L$12+Sheet28!$M$17</f>
        <v>39</v>
      </c>
      <c r="N35" s="168">
        <f t="shared" si="0"/>
        <v>28284.17</v>
      </c>
      <c r="O35" s="168">
        <f t="shared" si="1"/>
        <v>9600</v>
      </c>
      <c r="P35" s="168">
        <f>Sheet28!N22</f>
        <v>37884.17</v>
      </c>
      <c r="Q35" s="169">
        <f>Sheet28!N23</f>
        <v>11</v>
      </c>
      <c r="R35" s="168">
        <v>41850.58</v>
      </c>
      <c r="S35" s="168">
        <f t="shared" si="3"/>
        <v>872535.14999999979</v>
      </c>
    </row>
    <row r="36" spans="1:22" ht="15.75" x14ac:dyDescent="0.25">
      <c r="A36" s="165">
        <v>44041</v>
      </c>
      <c r="B36" s="166">
        <f>'stream I '!I34</f>
        <v>0.88888888888888573</v>
      </c>
      <c r="C36" s="166">
        <f>' stream II  '!I34</f>
        <v>0.87847222222220012</v>
      </c>
      <c r="D36" s="166">
        <f>'stream III '!I34</f>
        <v>0.81597222222222854</v>
      </c>
      <c r="E36" s="155">
        <f t="shared" si="2"/>
        <v>2.5833333333333144</v>
      </c>
      <c r="F36" s="308">
        <f>Sheet29!$K$4+Sheet29!$K$9+Sheet29!$K$14</f>
        <v>545</v>
      </c>
      <c r="G36" s="308">
        <f>Sheet29!$K$5+Sheet29!$K$10+Sheet29!$K$15</f>
        <v>18</v>
      </c>
      <c r="H36" s="308">
        <f>Sheet29!$K$6+Sheet29!$K$11+Sheet29!$K$16</f>
        <v>73</v>
      </c>
      <c r="I36" s="308">
        <f>Sheet29!$K$7+Sheet29!$K$12+Sheet29!$K$17</f>
        <v>134</v>
      </c>
      <c r="J36" s="308">
        <f>Sheet29!$L$4+Sheet29!$L$9+Sheet29!$L$14</f>
        <v>183</v>
      </c>
      <c r="K36" s="308">
        <f>Sheet29!$L$5+Sheet29!$L$10+Sheet29!$L$15</f>
        <v>0</v>
      </c>
      <c r="L36" s="308">
        <f>Sheet29!$L$6+Sheet29!$L$11+Sheet29!$L$16</f>
        <v>15</v>
      </c>
      <c r="M36" s="308">
        <f>Sheet29!$L$7+Sheet29!$L$12+Sheet29!$M$17</f>
        <v>14</v>
      </c>
      <c r="N36" s="168">
        <f t="shared" si="0"/>
        <v>32997.1</v>
      </c>
      <c r="O36" s="168">
        <f t="shared" si="1"/>
        <v>9900</v>
      </c>
      <c r="P36" s="168">
        <f>Sheet29!N22</f>
        <v>42897.1</v>
      </c>
      <c r="Q36" s="169">
        <f>Sheet29!N23</f>
        <v>10</v>
      </c>
      <c r="R36" s="168">
        <v>38415.94</v>
      </c>
      <c r="S36" s="168">
        <f t="shared" si="3"/>
        <v>910951.08999999985</v>
      </c>
    </row>
    <row r="37" spans="1:22" ht="15.75" x14ac:dyDescent="0.25">
      <c r="A37" s="165">
        <v>44042</v>
      </c>
      <c r="B37" s="166">
        <f>'stream I '!I35</f>
        <v>0.85763888888891415</v>
      </c>
      <c r="C37" s="166">
        <f>' stream II  '!I35</f>
        <v>0.90625</v>
      </c>
      <c r="D37" s="166">
        <f>'stream III '!I35</f>
        <v>0.13194444444442865</v>
      </c>
      <c r="E37" s="155">
        <f t="shared" si="2"/>
        <v>1.8958333333333428</v>
      </c>
      <c r="F37" s="308">
        <f>'Sheet 30'!K4+'Sheet 30'!K14+'Sheet 30'!K14</f>
        <v>685</v>
      </c>
      <c r="G37" s="308">
        <f>'Sheet 30'!K5+'Sheet 30'!K10+'Sheet 30'!K15</f>
        <v>10</v>
      </c>
      <c r="H37" s="308">
        <f>'Sheet 30'!K6+'Sheet 30'!K11+'Sheet 30'!K16</f>
        <v>51</v>
      </c>
      <c r="I37" s="308">
        <f>'Sheet 30'!K7+'Sheet 30'!K12+'Sheet 30'!K17</f>
        <v>70</v>
      </c>
      <c r="J37" s="308">
        <f>'Sheet 30'!L4+'Sheet 30'!L9+'Sheet 30'!L14</f>
        <v>34</v>
      </c>
      <c r="K37" s="308">
        <f>'Sheet 30'!L5+'Sheet 30'!L10+'Sheet 30'!L15</f>
        <v>0</v>
      </c>
      <c r="L37" s="308">
        <f>'Sheet 30'!L6+'Sheet 30'!L11+'Sheet 30'!L16</f>
        <v>10</v>
      </c>
      <c r="M37" s="168">
        <f>'Sheet 30'!L7+'Sheet 30'!L12+'Sheet 30'!L17</f>
        <v>0</v>
      </c>
      <c r="N37" s="168">
        <f t="shared" si="0"/>
        <v>39198.32</v>
      </c>
      <c r="O37" s="168">
        <f t="shared" si="1"/>
        <v>2200</v>
      </c>
      <c r="P37" s="168">
        <f>'Sheet 30'!N22</f>
        <v>41398.32</v>
      </c>
      <c r="Q37" s="169">
        <f>'Sheet 30'!N23</f>
        <v>10</v>
      </c>
      <c r="R37" s="168">
        <f>37965.02-790.75</f>
        <v>37174.269999999997</v>
      </c>
      <c r="S37" s="168">
        <f>R37+S36</f>
        <v>948125.35999999987</v>
      </c>
    </row>
    <row r="38" spans="1:22" ht="15.75" x14ac:dyDescent="0.25">
      <c r="A38" s="165">
        <v>44043</v>
      </c>
      <c r="B38" s="166">
        <f>'stream I '!I36</f>
        <v>0.85763888888891415</v>
      </c>
      <c r="C38" s="166">
        <f>' stream II  '!I36</f>
        <v>0.90972222222222854</v>
      </c>
      <c r="D38" s="166">
        <f>'stream III '!I36</f>
        <v>0.13194444444445708</v>
      </c>
      <c r="E38" s="155">
        <f t="shared" ref="E38" si="4">SUM(B38:D38)</f>
        <v>1.8993055555555998</v>
      </c>
      <c r="F38" s="308">
        <f>'Sheet 31'!K4+'Sheet 31'!K9+'Sheet 31'!K14</f>
        <v>566</v>
      </c>
      <c r="G38" s="308">
        <f>'Sheet 31'!K5+'Sheet 31'!K10+'Sheet 31'!K15</f>
        <v>8</v>
      </c>
      <c r="H38" s="308">
        <f>'Sheet 31'!K6+'Sheet 31'!K16+'Sheet 31'!K16</f>
        <v>60</v>
      </c>
      <c r="I38" s="308">
        <f>'Sheet 31'!K7+'Sheet 31'!K12+'Sheet 31'!K17</f>
        <v>159</v>
      </c>
      <c r="J38" s="308">
        <f>'Sheet 31'!L4+'Sheet 31'!L9+'Sheet 31'!L14</f>
        <v>25</v>
      </c>
      <c r="K38" s="308">
        <f>'Sheet 31'!L5+'Sheet 31'!L10+'Sheet 31'!L15</f>
        <v>0</v>
      </c>
      <c r="L38" s="308">
        <f>'Sheet 31'!L6+'Sheet 31'!L11+'Sheet 31'!L16</f>
        <v>5</v>
      </c>
      <c r="M38" s="308">
        <f>'Sheet 31'!L7+'Sheet 31'!L12+'Sheet 31'!L17</f>
        <v>0</v>
      </c>
      <c r="N38" s="168">
        <f t="shared" si="0"/>
        <v>39898.32</v>
      </c>
      <c r="O38" s="168">
        <f t="shared" si="1"/>
        <v>1500</v>
      </c>
      <c r="P38" s="168">
        <f>'Sheet 30'!N22</f>
        <v>41398.32</v>
      </c>
      <c r="Q38" s="169">
        <f>'Sheet 31'!N23</f>
        <v>9</v>
      </c>
      <c r="R38" s="168">
        <v>34132.68</v>
      </c>
      <c r="S38" s="168">
        <f>R38+S37</f>
        <v>982258.03999999992</v>
      </c>
    </row>
    <row r="39" spans="1:22" ht="16.5" customHeight="1" x14ac:dyDescent="0.25">
      <c r="A39" s="167" t="s">
        <v>11</v>
      </c>
      <c r="B39" s="301">
        <f t="shared" ref="B39:R39" si="5">SUM(B8:B38)</f>
        <v>21.798611111111253</v>
      </c>
      <c r="C39" s="301">
        <f t="shared" si="5"/>
        <v>22.715277777777828</v>
      </c>
      <c r="D39" s="301">
        <f t="shared" si="5"/>
        <v>19.861111111111242</v>
      </c>
      <c r="E39" s="170">
        <f t="shared" si="5"/>
        <v>64.375000000000327</v>
      </c>
      <c r="F39" s="168">
        <f t="shared" si="5"/>
        <v>12862</v>
      </c>
      <c r="G39" s="168">
        <f t="shared" si="5"/>
        <v>498</v>
      </c>
      <c r="H39" s="168">
        <f t="shared" si="5"/>
        <v>1656</v>
      </c>
      <c r="I39" s="168">
        <f t="shared" si="5"/>
        <v>1335</v>
      </c>
      <c r="J39" s="168">
        <f t="shared" si="5"/>
        <v>3935</v>
      </c>
      <c r="K39" s="168">
        <f t="shared" si="5"/>
        <v>6</v>
      </c>
      <c r="L39" s="168">
        <f t="shared" si="5"/>
        <v>293</v>
      </c>
      <c r="M39" s="168">
        <f t="shared" si="5"/>
        <v>367</v>
      </c>
      <c r="N39" s="168">
        <f t="shared" si="5"/>
        <v>790742.89999999991</v>
      </c>
      <c r="O39" s="168">
        <f t="shared" si="5"/>
        <v>211562</v>
      </c>
      <c r="P39" s="168">
        <f t="shared" si="5"/>
        <v>1002304.8999999999</v>
      </c>
      <c r="Q39" s="169">
        <f t="shared" si="5"/>
        <v>260</v>
      </c>
      <c r="R39" s="168">
        <f t="shared" si="5"/>
        <v>982258.03999999992</v>
      </c>
      <c r="S39" s="168">
        <f>R39</f>
        <v>982258.03999999992</v>
      </c>
    </row>
    <row r="40" spans="1:22" ht="15.75" x14ac:dyDescent="0.25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60"/>
      <c r="N40" s="160"/>
      <c r="O40" s="160"/>
      <c r="P40" s="159"/>
      <c r="Q40" s="160"/>
      <c r="R40" s="159"/>
      <c r="S40" s="159"/>
      <c r="V40" s="135"/>
    </row>
    <row r="41" spans="1:22" ht="15.75" x14ac:dyDescent="0.25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60"/>
      <c r="N41" s="160"/>
      <c r="O41" s="173">
        <f>O39+N39</f>
        <v>1002304.8999999999</v>
      </c>
      <c r="P41" s="159"/>
      <c r="Q41" s="160"/>
      <c r="R41" s="171"/>
      <c r="S41" s="159"/>
    </row>
    <row r="42" spans="1:22" ht="15.75" x14ac:dyDescent="0.25">
      <c r="A42" s="159"/>
      <c r="B42" s="133"/>
      <c r="C42" s="133"/>
      <c r="D42" s="133" t="s">
        <v>121</v>
      </c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59"/>
    </row>
    <row r="43" spans="1:22" ht="15.75" x14ac:dyDescent="0.25">
      <c r="A43" s="159"/>
      <c r="B43" s="133"/>
      <c r="C43" s="133"/>
      <c r="D43" s="171" t="s">
        <v>105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73"/>
      <c r="O43" s="173"/>
      <c r="P43" s="171"/>
      <c r="Q43" s="173"/>
      <c r="R43" s="133"/>
      <c r="S43" s="159"/>
    </row>
  </sheetData>
  <mergeCells count="4">
    <mergeCell ref="B6:E6"/>
    <mergeCell ref="F6:I6"/>
    <mergeCell ref="Q6:S6"/>
    <mergeCell ref="J6:M6"/>
  </mergeCells>
  <printOptions horizontalCentered="1"/>
  <pageMargins left="0.19685039370078741" right="0.19685039370078741" top="0.19685039370078741" bottom="0.19685039370078741" header="0.31496062992125984" footer="0.31496062992125984"/>
  <pageSetup paperSize="39" scale="87" orientation="portrait" horizontalDpi="180" verticalDpi="18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6"/>
  <sheetViews>
    <sheetView zoomScale="60" zoomScaleNormal="60" workbookViewId="0">
      <pane ySplit="1" topLeftCell="A16" activePane="bottomLeft" state="frozen"/>
      <selection pane="bottomLeft" activeCell="A2" sqref="A2:W47"/>
    </sheetView>
  </sheetViews>
  <sheetFormatPr defaultRowHeight="15" x14ac:dyDescent="0.25"/>
  <cols>
    <col min="1" max="1" width="18.85546875" customWidth="1"/>
    <col min="2" max="2" width="8.140625" customWidth="1"/>
    <col min="3" max="4" width="9.140625" hidden="1" customWidth="1"/>
    <col min="5" max="5" width="8.85546875" customWidth="1"/>
    <col min="6" max="7" width="9.140625" hidden="1" customWidth="1"/>
    <col min="8" max="8" width="8" customWidth="1"/>
    <col min="9" max="9" width="10.7109375" customWidth="1"/>
    <col min="10" max="10" width="11.28515625" customWidth="1"/>
    <col min="11" max="11" width="7.5703125" customWidth="1"/>
    <col min="12" max="12" width="11.5703125" bestFit="1" customWidth="1"/>
    <col min="17" max="17" width="17.140625" bestFit="1" customWidth="1"/>
    <col min="22" max="22" width="11.42578125" hidden="1" customWidth="1"/>
    <col min="23" max="23" width="38.7109375" customWidth="1"/>
    <col min="24" max="24" width="26" customWidth="1"/>
  </cols>
  <sheetData>
    <row r="1" spans="1:23" ht="16.5" thickBot="1" x14ac:dyDescent="0.3">
      <c r="A1" s="119"/>
      <c r="B1" s="120" t="s">
        <v>96</v>
      </c>
      <c r="C1" s="120"/>
      <c r="D1" s="120"/>
      <c r="E1" s="120" t="s">
        <v>97</v>
      </c>
      <c r="F1" s="120"/>
      <c r="G1" s="120"/>
      <c r="H1" s="120" t="s">
        <v>98</v>
      </c>
      <c r="I1" s="121" t="s">
        <v>99</v>
      </c>
      <c r="J1" s="122"/>
      <c r="K1" s="123" t="s">
        <v>100</v>
      </c>
      <c r="L1" s="124" t="s">
        <v>101</v>
      </c>
      <c r="M1" s="124" t="s">
        <v>102</v>
      </c>
      <c r="N1" s="124" t="s">
        <v>103</v>
      </c>
      <c r="O1" s="125" t="s">
        <v>44</v>
      </c>
      <c r="P1" s="124" t="s">
        <v>100</v>
      </c>
      <c r="Q1" s="124" t="s">
        <v>101</v>
      </c>
      <c r="R1" s="124" t="s">
        <v>102</v>
      </c>
      <c r="S1" s="124" t="s">
        <v>103</v>
      </c>
      <c r="T1" s="125" t="s">
        <v>44</v>
      </c>
      <c r="U1" s="143"/>
      <c r="V1" s="143"/>
      <c r="W1" s="126"/>
    </row>
    <row r="2" spans="1:23" ht="22.5" x14ac:dyDescent="0.3">
      <c r="A2" s="105" t="s">
        <v>311</v>
      </c>
    </row>
    <row r="3" spans="1:23" ht="21" thickBot="1" x14ac:dyDescent="0.35">
      <c r="A3" s="106" t="s">
        <v>110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</row>
    <row r="4" spans="1:23" ht="30" x14ac:dyDescent="0.25">
      <c r="A4" s="108" t="s">
        <v>77</v>
      </c>
      <c r="B4" s="109" t="s">
        <v>91</v>
      </c>
      <c r="C4" s="113"/>
      <c r="D4" s="113"/>
      <c r="E4" s="113"/>
      <c r="F4" s="113"/>
      <c r="G4" s="113"/>
      <c r="H4" s="110"/>
      <c r="I4" s="111" t="s">
        <v>13</v>
      </c>
      <c r="J4" s="112" t="s">
        <v>92</v>
      </c>
      <c r="K4" s="113" t="s">
        <v>93</v>
      </c>
      <c r="L4" s="110"/>
      <c r="M4" s="110"/>
      <c r="N4" s="110"/>
      <c r="O4" s="114" t="s">
        <v>13</v>
      </c>
      <c r="P4" s="109" t="s">
        <v>94</v>
      </c>
      <c r="Q4" s="110"/>
      <c r="R4" s="115"/>
      <c r="S4" s="116"/>
      <c r="T4" s="117"/>
      <c r="U4" s="228" t="s">
        <v>181</v>
      </c>
      <c r="V4" s="142"/>
      <c r="W4" s="118" t="s">
        <v>95</v>
      </c>
    </row>
    <row r="5" spans="1:23" ht="16.5" thickBot="1" x14ac:dyDescent="0.3">
      <c r="A5" s="119"/>
      <c r="B5" s="120" t="s">
        <v>96</v>
      </c>
      <c r="C5" s="120"/>
      <c r="D5" s="120"/>
      <c r="E5" s="120" t="s">
        <v>97</v>
      </c>
      <c r="F5" s="120"/>
      <c r="G5" s="120"/>
      <c r="H5" s="120" t="s">
        <v>98</v>
      </c>
      <c r="I5" s="121" t="s">
        <v>99</v>
      </c>
      <c r="J5" s="122"/>
      <c r="K5" s="123" t="s">
        <v>100</v>
      </c>
      <c r="L5" s="124" t="s">
        <v>101</v>
      </c>
      <c r="M5" s="124" t="s">
        <v>102</v>
      </c>
      <c r="N5" s="124" t="s">
        <v>103</v>
      </c>
      <c r="O5" s="125" t="s">
        <v>44</v>
      </c>
      <c r="P5" s="124" t="s">
        <v>100</v>
      </c>
      <c r="Q5" s="124" t="s">
        <v>101</v>
      </c>
      <c r="R5" s="124" t="s">
        <v>102</v>
      </c>
      <c r="S5" s="124" t="s">
        <v>103</v>
      </c>
      <c r="T5" s="125" t="s">
        <v>44</v>
      </c>
      <c r="U5" s="143"/>
      <c r="V5" s="143"/>
      <c r="W5" s="126"/>
    </row>
    <row r="6" spans="1:23" ht="15.75" x14ac:dyDescent="0.25">
      <c r="A6" s="139">
        <v>44013</v>
      </c>
      <c r="B6" s="140">
        <f>Sheet1!D21</f>
        <v>0.29861111111111427</v>
      </c>
      <c r="C6" s="140">
        <f>Sheet1!E21</f>
        <v>206.58333333333334</v>
      </c>
      <c r="D6" s="140">
        <f>Sheet1!F21</f>
        <v>206.875</v>
      </c>
      <c r="E6" s="140">
        <f>Sheet1!G21</f>
        <v>0.29166666666665719</v>
      </c>
      <c r="F6" s="140">
        <f>Sheet1!H21</f>
        <v>206.90972222222223</v>
      </c>
      <c r="G6" s="140">
        <f>Sheet1!I21</f>
        <v>207.20833333333334</v>
      </c>
      <c r="H6" s="140">
        <f>Sheet1!J21</f>
        <v>0.29861111111111427</v>
      </c>
      <c r="I6" s="141">
        <f>B6+E6+H6</f>
        <v>0.88888888888888573</v>
      </c>
      <c r="J6" s="140">
        <v>6.9444444444444434E-2</v>
      </c>
      <c r="K6" s="140">
        <v>0</v>
      </c>
      <c r="L6" s="140">
        <v>0</v>
      </c>
      <c r="M6" s="140">
        <v>4.1666666666666664E-2</v>
      </c>
      <c r="N6" s="140">
        <v>0</v>
      </c>
      <c r="O6" s="141">
        <f>SUM(K6:N6)</f>
        <v>4.1666666666666664E-2</v>
      </c>
      <c r="P6" s="140">
        <v>0</v>
      </c>
      <c r="Q6" s="140">
        <v>0</v>
      </c>
      <c r="R6" s="140">
        <v>0</v>
      </c>
      <c r="S6" s="140">
        <v>0</v>
      </c>
      <c r="T6" s="141">
        <f>SUM(P6:S6)</f>
        <v>0</v>
      </c>
      <c r="U6" s="140">
        <v>0</v>
      </c>
      <c r="V6" s="144">
        <f>I6+O6+J6+T6+U6</f>
        <v>0.99999999999999678</v>
      </c>
      <c r="W6" s="253" t="s">
        <v>274</v>
      </c>
    </row>
    <row r="7" spans="1:23" ht="30" x14ac:dyDescent="0.25">
      <c r="A7" s="139">
        <v>44014</v>
      </c>
      <c r="B7" s="140">
        <f>Sheet2!D21</f>
        <v>0</v>
      </c>
      <c r="C7" s="140">
        <f>Sheet2!E21</f>
        <v>0</v>
      </c>
      <c r="D7" s="140">
        <f>Sheet2!F21</f>
        <v>0</v>
      </c>
      <c r="E7" s="140">
        <f>Sheet2!G21</f>
        <v>0</v>
      </c>
      <c r="F7" s="140">
        <f>Sheet2!H21</f>
        <v>0</v>
      </c>
      <c r="G7" s="140">
        <f>Sheet2!I21</f>
        <v>0</v>
      </c>
      <c r="H7" s="140">
        <f>Sheet2!J21</f>
        <v>0</v>
      </c>
      <c r="I7" s="141">
        <f t="shared" ref="I7:I34" si="0">B7+E7+H7</f>
        <v>0</v>
      </c>
      <c r="J7" s="140">
        <v>0.99998842592592585</v>
      </c>
      <c r="K7" s="140">
        <v>1.1574074074074073E-5</v>
      </c>
      <c r="L7" s="140">
        <v>0</v>
      </c>
      <c r="M7" s="140">
        <v>0</v>
      </c>
      <c r="N7" s="140">
        <v>0</v>
      </c>
      <c r="O7" s="141">
        <f t="shared" ref="O7:O35" si="1">SUM(K7:N7)</f>
        <v>1.1574074074074073E-5</v>
      </c>
      <c r="P7" s="140">
        <v>0</v>
      </c>
      <c r="Q7" s="140">
        <v>0</v>
      </c>
      <c r="R7" s="140">
        <v>0</v>
      </c>
      <c r="S7" s="140">
        <v>0</v>
      </c>
      <c r="T7" s="141">
        <f t="shared" ref="T7:T35" si="2">SUM(P7:S7)</f>
        <v>0</v>
      </c>
      <c r="U7" s="140">
        <v>0</v>
      </c>
      <c r="V7" s="144">
        <f t="shared" ref="V7:V36" si="3">I7+O7+J7+T7+U7</f>
        <v>0.99999999999999989</v>
      </c>
      <c r="W7" s="272" t="s">
        <v>295</v>
      </c>
    </row>
    <row r="8" spans="1:23" ht="30" x14ac:dyDescent="0.25">
      <c r="A8" s="139">
        <v>44015</v>
      </c>
      <c r="B8" s="140">
        <f>Sheet3!D21</f>
        <v>0</v>
      </c>
      <c r="C8" s="140">
        <f>Sheet3!E21</f>
        <v>0</v>
      </c>
      <c r="D8" s="140">
        <f>Sheet3!F21</f>
        <v>0</v>
      </c>
      <c r="E8" s="140">
        <f>Sheet3!G21</f>
        <v>0</v>
      </c>
      <c r="F8" s="140">
        <f>Sheet3!H21</f>
        <v>0</v>
      </c>
      <c r="G8" s="140">
        <f>Sheet3!I21</f>
        <v>0</v>
      </c>
      <c r="H8" s="140">
        <f>Sheet3!J21</f>
        <v>0</v>
      </c>
      <c r="I8" s="141">
        <f t="shared" si="0"/>
        <v>0</v>
      </c>
      <c r="J8" s="140">
        <v>0.99998842592592585</v>
      </c>
      <c r="K8" s="140">
        <v>1.1574074074074073E-5</v>
      </c>
      <c r="L8" s="140">
        <v>0</v>
      </c>
      <c r="M8" s="140">
        <v>0</v>
      </c>
      <c r="N8" s="140">
        <v>0</v>
      </c>
      <c r="O8" s="141">
        <f t="shared" si="1"/>
        <v>1.1574074074074073E-5</v>
      </c>
      <c r="P8" s="140">
        <v>0</v>
      </c>
      <c r="Q8" s="140">
        <v>0</v>
      </c>
      <c r="R8" s="140">
        <v>0</v>
      </c>
      <c r="S8" s="140">
        <v>0</v>
      </c>
      <c r="T8" s="141">
        <f t="shared" si="2"/>
        <v>0</v>
      </c>
      <c r="U8" s="140">
        <v>0</v>
      </c>
      <c r="V8" s="144">
        <f t="shared" si="3"/>
        <v>0.99999999999999989</v>
      </c>
      <c r="W8" s="272" t="s">
        <v>295</v>
      </c>
    </row>
    <row r="9" spans="1:23" ht="30" x14ac:dyDescent="0.25">
      <c r="A9" s="139">
        <v>44016</v>
      </c>
      <c r="B9" s="140">
        <f>Sheet4!D21</f>
        <v>0</v>
      </c>
      <c r="C9" s="140">
        <f>Sheet4!E21</f>
        <v>0</v>
      </c>
      <c r="D9" s="140">
        <f>Sheet4!F21</f>
        <v>0</v>
      </c>
      <c r="E9" s="140">
        <f>Sheet4!G21</f>
        <v>0</v>
      </c>
      <c r="F9" s="140">
        <f>Sheet4!H21</f>
        <v>0</v>
      </c>
      <c r="G9" s="140">
        <f>Sheet4!I21</f>
        <v>0</v>
      </c>
      <c r="H9" s="140">
        <f>Sheet4!J21</f>
        <v>0</v>
      </c>
      <c r="I9" s="141">
        <f t="shared" si="0"/>
        <v>0</v>
      </c>
      <c r="J9" s="140">
        <v>0.99998842592592585</v>
      </c>
      <c r="K9" s="140">
        <v>1.1574074074074073E-5</v>
      </c>
      <c r="L9" s="140">
        <v>0</v>
      </c>
      <c r="M9" s="140">
        <v>0</v>
      </c>
      <c r="N9" s="140">
        <v>0</v>
      </c>
      <c r="O9" s="141">
        <f t="shared" si="1"/>
        <v>1.1574074074074073E-5</v>
      </c>
      <c r="P9" s="140">
        <v>0</v>
      </c>
      <c r="Q9" s="140">
        <v>0</v>
      </c>
      <c r="R9" s="140">
        <v>0</v>
      </c>
      <c r="S9" s="140">
        <v>0</v>
      </c>
      <c r="T9" s="141">
        <f t="shared" si="2"/>
        <v>0</v>
      </c>
      <c r="U9" s="140">
        <v>0</v>
      </c>
      <c r="V9" s="144">
        <f t="shared" si="3"/>
        <v>0.99999999999999989</v>
      </c>
      <c r="W9" s="272" t="s">
        <v>295</v>
      </c>
    </row>
    <row r="10" spans="1:23" ht="15.75" x14ac:dyDescent="0.25">
      <c r="A10" s="139">
        <v>44017</v>
      </c>
      <c r="B10" s="140">
        <f>Sheet5!D21</f>
        <v>0.28125</v>
      </c>
      <c r="C10" s="140">
        <f>Sheet5!E21</f>
        <v>206.59375</v>
      </c>
      <c r="D10" s="140">
        <f>Sheet5!F21</f>
        <v>206.875</v>
      </c>
      <c r="E10" s="140">
        <f>Sheet5!G21</f>
        <v>0.28125</v>
      </c>
      <c r="F10" s="140">
        <f>Sheet5!H21</f>
        <v>206.91666666666666</v>
      </c>
      <c r="G10" s="140">
        <f>Sheet5!I21</f>
        <v>207.125</v>
      </c>
      <c r="H10" s="140">
        <f>Sheet5!J21</f>
        <v>0.20833333333334281</v>
      </c>
      <c r="I10" s="141">
        <f t="shared" si="0"/>
        <v>0.77083333333334281</v>
      </c>
      <c r="J10" s="140">
        <v>0.1875</v>
      </c>
      <c r="K10" s="140">
        <v>0</v>
      </c>
      <c r="L10" s="140">
        <v>0</v>
      </c>
      <c r="M10" s="140">
        <v>4.1666666666666664E-2</v>
      </c>
      <c r="N10" s="140">
        <v>0</v>
      </c>
      <c r="O10" s="141">
        <f t="shared" si="1"/>
        <v>4.1666666666666664E-2</v>
      </c>
      <c r="P10" s="140">
        <v>0</v>
      </c>
      <c r="Q10" s="140">
        <v>0</v>
      </c>
      <c r="R10" s="140">
        <v>0</v>
      </c>
      <c r="S10" s="140">
        <v>0</v>
      </c>
      <c r="T10" s="141">
        <f t="shared" si="2"/>
        <v>0</v>
      </c>
      <c r="U10" s="140">
        <v>0</v>
      </c>
      <c r="V10" s="144">
        <f t="shared" si="3"/>
        <v>1.0000000000000093</v>
      </c>
      <c r="W10" s="253" t="s">
        <v>274</v>
      </c>
    </row>
    <row r="11" spans="1:23" ht="15.75" x14ac:dyDescent="0.25">
      <c r="A11" s="139">
        <v>44018</v>
      </c>
      <c r="B11" s="140">
        <f>Sheet6!D21</f>
        <v>0.13541666666665719</v>
      </c>
      <c r="C11" s="140">
        <f>Sheet6!E21</f>
        <v>206.61111111111111</v>
      </c>
      <c r="D11" s="140">
        <f>Sheet6!F21</f>
        <v>206.875</v>
      </c>
      <c r="E11" s="140">
        <f>Sheet6!G21</f>
        <v>0.26388888888888573</v>
      </c>
      <c r="F11" s="140">
        <f>Sheet6!H21</f>
        <v>206.92361111111111</v>
      </c>
      <c r="G11" s="140">
        <f>Sheet6!I21</f>
        <v>207.20833333333334</v>
      </c>
      <c r="H11" s="140">
        <f>Sheet6!J21</f>
        <v>0.28472222222222854</v>
      </c>
      <c r="I11" s="141">
        <f t="shared" si="0"/>
        <v>0.68402777777777146</v>
      </c>
      <c r="J11" s="140">
        <v>0.14930555555555555</v>
      </c>
      <c r="K11" s="140">
        <v>0</v>
      </c>
      <c r="L11" s="140">
        <v>0.16666666666666666</v>
      </c>
      <c r="M11" s="140">
        <v>0</v>
      </c>
      <c r="N11" s="140">
        <v>0</v>
      </c>
      <c r="O11" s="141">
        <f t="shared" si="1"/>
        <v>0.16666666666666666</v>
      </c>
      <c r="P11" s="140">
        <v>0</v>
      </c>
      <c r="Q11" s="140">
        <v>0</v>
      </c>
      <c r="R11" s="140">
        <v>0</v>
      </c>
      <c r="S11" s="140">
        <v>0</v>
      </c>
      <c r="T11" s="141">
        <f t="shared" si="2"/>
        <v>0</v>
      </c>
      <c r="U11" s="140">
        <v>0</v>
      </c>
      <c r="V11" s="144">
        <f t="shared" si="3"/>
        <v>0.99999999999999367</v>
      </c>
      <c r="W11" s="128" t="s">
        <v>312</v>
      </c>
    </row>
    <row r="12" spans="1:23" ht="15.75" x14ac:dyDescent="0.25">
      <c r="A12" s="139">
        <v>44019</v>
      </c>
      <c r="B12" s="140">
        <f>Sheet7!D21</f>
        <v>0.14583333333334281</v>
      </c>
      <c r="C12" s="140">
        <f>Sheet7!E21</f>
        <v>206.58333333333334</v>
      </c>
      <c r="D12" s="140">
        <f>Sheet7!F21</f>
        <v>206.875</v>
      </c>
      <c r="E12" s="140">
        <f>Sheet7!G21</f>
        <v>0.29166666666665719</v>
      </c>
      <c r="F12" s="140">
        <f>Sheet7!H21</f>
        <v>206.90972222222223</v>
      </c>
      <c r="G12" s="140">
        <f>Sheet7!I21</f>
        <v>207.20833333333334</v>
      </c>
      <c r="H12" s="140">
        <f>Sheet7!J21</f>
        <v>0.29861111111111427</v>
      </c>
      <c r="I12" s="141">
        <f t="shared" si="0"/>
        <v>0.73611111111111427</v>
      </c>
      <c r="J12" s="140">
        <v>7.6388888888888895E-2</v>
      </c>
      <c r="K12" s="140">
        <v>0</v>
      </c>
      <c r="L12" s="140">
        <v>0</v>
      </c>
      <c r="M12" s="140">
        <v>0.1875</v>
      </c>
      <c r="N12" s="140">
        <v>0</v>
      </c>
      <c r="O12" s="141">
        <f t="shared" si="1"/>
        <v>0.1875</v>
      </c>
      <c r="P12" s="140">
        <v>0</v>
      </c>
      <c r="Q12" s="140">
        <v>0</v>
      </c>
      <c r="R12" s="140">
        <v>0</v>
      </c>
      <c r="S12" s="140">
        <v>0</v>
      </c>
      <c r="T12" s="141">
        <f t="shared" si="2"/>
        <v>0</v>
      </c>
      <c r="U12" s="140">
        <v>0</v>
      </c>
      <c r="V12" s="144">
        <f t="shared" si="3"/>
        <v>1.0000000000000031</v>
      </c>
      <c r="W12" s="128" t="s">
        <v>325</v>
      </c>
    </row>
    <row r="13" spans="1:23" ht="30" x14ac:dyDescent="0.25">
      <c r="A13" s="139">
        <v>44020</v>
      </c>
      <c r="B13" s="140">
        <f>Sheet8!D21</f>
        <v>0.13888888888888573</v>
      </c>
      <c r="C13" s="140">
        <f>Sheet8!E21</f>
        <v>206.59027777777777</v>
      </c>
      <c r="D13" s="140">
        <f>Sheet8!F21</f>
        <v>206.875</v>
      </c>
      <c r="E13" s="140">
        <f>Sheet8!G21</f>
        <v>0.28472222222222854</v>
      </c>
      <c r="F13" s="140">
        <f>Sheet8!H21</f>
        <v>206.91319444444446</v>
      </c>
      <c r="G13" s="140">
        <f>Sheet8!I21</f>
        <v>207.20833333333334</v>
      </c>
      <c r="H13" s="140">
        <f>Sheet8!J21</f>
        <v>0.29513888888888573</v>
      </c>
      <c r="I13" s="141">
        <f t="shared" si="0"/>
        <v>0.71875</v>
      </c>
      <c r="J13" s="140">
        <v>8.6805555555555566E-2</v>
      </c>
      <c r="K13" s="140">
        <v>0</v>
      </c>
      <c r="L13" s="140">
        <v>0</v>
      </c>
      <c r="M13" s="140">
        <v>0</v>
      </c>
      <c r="N13" s="140">
        <v>0</v>
      </c>
      <c r="O13" s="141">
        <f t="shared" si="1"/>
        <v>0</v>
      </c>
      <c r="P13" s="140">
        <v>0</v>
      </c>
      <c r="Q13" s="140">
        <v>0</v>
      </c>
      <c r="R13" s="140">
        <v>0.19444444444444445</v>
      </c>
      <c r="S13" s="140">
        <v>0</v>
      </c>
      <c r="T13" s="141">
        <f t="shared" si="2"/>
        <v>0.19444444444444445</v>
      </c>
      <c r="U13" s="140">
        <v>0</v>
      </c>
      <c r="V13" s="144">
        <f t="shared" si="3"/>
        <v>1</v>
      </c>
      <c r="W13" s="272" t="s">
        <v>337</v>
      </c>
    </row>
    <row r="14" spans="1:23" ht="15.75" x14ac:dyDescent="0.25">
      <c r="A14" s="139">
        <v>44021</v>
      </c>
      <c r="B14" s="140">
        <f>Sheet9!D21</f>
        <v>0.29166666666665719</v>
      </c>
      <c r="C14" s="140">
        <f>Sheet9!E21</f>
        <v>206.5625</v>
      </c>
      <c r="D14" s="140">
        <f>Sheet9!F21</f>
        <v>206.875</v>
      </c>
      <c r="E14" s="140">
        <f>Sheet9!G21</f>
        <v>0.3125</v>
      </c>
      <c r="F14" s="140">
        <f>Sheet9!H21</f>
        <v>206.90972222222223</v>
      </c>
      <c r="G14" s="140">
        <f>Sheet9!I21</f>
        <v>207.20833333333334</v>
      </c>
      <c r="H14" s="140">
        <f>Sheet9!J21</f>
        <v>0.29861111111111427</v>
      </c>
      <c r="I14" s="141">
        <f t="shared" si="0"/>
        <v>0.90277777777777146</v>
      </c>
      <c r="J14" s="140">
        <v>9.7222222222222224E-2</v>
      </c>
      <c r="K14" s="140">
        <v>0</v>
      </c>
      <c r="L14" s="140">
        <v>0</v>
      </c>
      <c r="M14" s="140">
        <v>0</v>
      </c>
      <c r="N14" s="140">
        <v>0</v>
      </c>
      <c r="O14" s="141">
        <f t="shared" si="1"/>
        <v>0</v>
      </c>
      <c r="P14" s="140">
        <v>0</v>
      </c>
      <c r="Q14" s="140">
        <v>0</v>
      </c>
      <c r="R14" s="140">
        <v>0</v>
      </c>
      <c r="S14" s="140">
        <v>0</v>
      </c>
      <c r="T14" s="141">
        <f t="shared" si="2"/>
        <v>0</v>
      </c>
      <c r="U14" s="140">
        <v>0</v>
      </c>
      <c r="V14" s="144">
        <f t="shared" si="3"/>
        <v>0.99999999999999367</v>
      </c>
      <c r="W14" s="272" t="s">
        <v>294</v>
      </c>
    </row>
    <row r="15" spans="1:23" ht="15" customHeight="1" x14ac:dyDescent="0.25">
      <c r="A15" s="139">
        <v>44022</v>
      </c>
      <c r="B15" s="140">
        <v>0.19097222222222221</v>
      </c>
      <c r="C15" s="140">
        <f>Sheet10!E21</f>
        <v>0</v>
      </c>
      <c r="D15" s="140">
        <f>Sheet10!F21</f>
        <v>0</v>
      </c>
      <c r="E15" s="140">
        <v>0</v>
      </c>
      <c r="F15" s="140">
        <f>Sheet10!H21</f>
        <v>206.95833333333334</v>
      </c>
      <c r="G15" s="140">
        <f>Sheet10!I21</f>
        <v>207.03125</v>
      </c>
      <c r="H15" s="140">
        <v>7.2916666666666671E-2</v>
      </c>
      <c r="I15" s="141">
        <f t="shared" si="0"/>
        <v>0.2638888888888889</v>
      </c>
      <c r="J15" s="140">
        <v>6.9444444444444434E-2</v>
      </c>
      <c r="K15" s="140">
        <v>0</v>
      </c>
      <c r="L15" s="140">
        <v>0</v>
      </c>
      <c r="M15" s="140">
        <v>4.1666666666666664E-2</v>
      </c>
      <c r="N15" s="140">
        <v>0</v>
      </c>
      <c r="O15" s="141">
        <f t="shared" si="1"/>
        <v>4.1666666666666664E-2</v>
      </c>
      <c r="P15" s="140">
        <v>0</v>
      </c>
      <c r="Q15" s="140">
        <v>0.14583333333333334</v>
      </c>
      <c r="R15" s="140">
        <v>0.47916666666666669</v>
      </c>
      <c r="S15" s="140">
        <v>0</v>
      </c>
      <c r="T15" s="141">
        <f t="shared" si="2"/>
        <v>0.625</v>
      </c>
      <c r="U15" s="140">
        <v>0</v>
      </c>
      <c r="V15" s="144">
        <f t="shared" si="3"/>
        <v>1</v>
      </c>
      <c r="W15" s="272" t="s">
        <v>348</v>
      </c>
    </row>
    <row r="16" spans="1:23" ht="15.75" x14ac:dyDescent="0.25">
      <c r="A16" s="139">
        <v>44023</v>
      </c>
      <c r="B16" s="140">
        <f>Sheet11!D21</f>
        <v>5.5555555555542924E-2</v>
      </c>
      <c r="C16" s="140">
        <f>Sheet9!E23</f>
        <v>206.85416666666666</v>
      </c>
      <c r="D16" s="140">
        <f>Sheet9!F23</f>
        <v>206.875</v>
      </c>
      <c r="E16" s="140">
        <f>Sheet11!G21</f>
        <v>0.28819444444445708</v>
      </c>
      <c r="F16" s="140">
        <f>Sheet9!H23</f>
        <v>206.95833333333334</v>
      </c>
      <c r="G16" s="140">
        <f>Sheet9!I23</f>
        <v>207.20833333333334</v>
      </c>
      <c r="H16" s="140">
        <f>Sheet11!J21</f>
        <v>0.29861111111111427</v>
      </c>
      <c r="I16" s="141">
        <f t="shared" ref="I16" si="4">B16+E16+H16</f>
        <v>0.64236111111111427</v>
      </c>
      <c r="J16" s="140">
        <v>8.6805555555555566E-2</v>
      </c>
      <c r="K16" s="140">
        <v>0</v>
      </c>
      <c r="L16" s="140">
        <v>0</v>
      </c>
      <c r="M16" s="140">
        <v>0</v>
      </c>
      <c r="N16" s="140">
        <v>0</v>
      </c>
      <c r="O16" s="141">
        <f t="shared" ref="O16" si="5">SUM(K16:N16)</f>
        <v>0</v>
      </c>
      <c r="P16" s="140">
        <v>0</v>
      </c>
      <c r="Q16" s="140">
        <v>0.27083333333333331</v>
      </c>
      <c r="R16" s="140">
        <v>0</v>
      </c>
      <c r="S16" s="140">
        <v>0</v>
      </c>
      <c r="T16" s="141">
        <f t="shared" ref="T16" si="6">SUM(P16:S16)</f>
        <v>0.27083333333333331</v>
      </c>
      <c r="U16" s="140">
        <v>0</v>
      </c>
      <c r="V16" s="144">
        <f t="shared" ref="V16" si="7">I16+O16+J16+T16+U16</f>
        <v>1.0000000000000031</v>
      </c>
      <c r="W16" s="272" t="s">
        <v>373</v>
      </c>
    </row>
    <row r="17" spans="1:23" ht="30" x14ac:dyDescent="0.25">
      <c r="A17" s="139">
        <v>44024</v>
      </c>
      <c r="B17" s="140">
        <f>Sheet12!D21</f>
        <v>0</v>
      </c>
      <c r="C17" s="140">
        <f>Sheet12!E21</f>
        <v>206.54166666666666</v>
      </c>
      <c r="D17" s="140">
        <f>Sheet12!F21</f>
        <v>206.875</v>
      </c>
      <c r="E17" s="140">
        <f>Sheet12!G21</f>
        <v>0.33333333333334281</v>
      </c>
      <c r="F17" s="140">
        <f>Sheet12!H21</f>
        <v>206.89583333333334</v>
      </c>
      <c r="G17" s="140">
        <f>Sheet12!I21</f>
        <v>207.20833333333334</v>
      </c>
      <c r="H17" s="140">
        <f>Sheet12!J21</f>
        <v>0.3125</v>
      </c>
      <c r="I17" s="141">
        <f t="shared" si="0"/>
        <v>0.64583333333334281</v>
      </c>
      <c r="J17" s="140">
        <v>6.25E-2</v>
      </c>
      <c r="K17" s="140">
        <v>0</v>
      </c>
      <c r="L17" s="140">
        <v>0</v>
      </c>
      <c r="M17" s="140">
        <v>0</v>
      </c>
      <c r="N17" s="140">
        <v>0</v>
      </c>
      <c r="O17" s="141">
        <f t="shared" si="1"/>
        <v>0</v>
      </c>
      <c r="P17" s="140">
        <v>0</v>
      </c>
      <c r="Q17" s="140">
        <v>0.29166666666666669</v>
      </c>
      <c r="R17" s="140">
        <v>0</v>
      </c>
      <c r="S17" s="140">
        <v>0</v>
      </c>
      <c r="T17" s="141">
        <f t="shared" si="2"/>
        <v>0.29166666666666669</v>
      </c>
      <c r="U17" s="140">
        <v>0</v>
      </c>
      <c r="V17" s="144">
        <f t="shared" si="3"/>
        <v>1.0000000000000095</v>
      </c>
      <c r="W17" s="128" t="s">
        <v>388</v>
      </c>
    </row>
    <row r="18" spans="1:23" ht="15.75" x14ac:dyDescent="0.25">
      <c r="A18" s="139">
        <v>44025</v>
      </c>
      <c r="B18" s="140">
        <f>Sheet13!D21</f>
        <v>0.25</v>
      </c>
      <c r="C18" s="140">
        <f>Sheet13!E21</f>
        <v>206.625</v>
      </c>
      <c r="D18" s="140">
        <f>Sheet13!F21</f>
        <v>206.875</v>
      </c>
      <c r="E18" s="140">
        <f>Sheet13!G21</f>
        <v>0.25</v>
      </c>
      <c r="F18" s="140">
        <f>Sheet13!H21</f>
        <v>206.91666666666666</v>
      </c>
      <c r="G18" s="140">
        <f>Sheet13!I21</f>
        <v>207.20833333333334</v>
      </c>
      <c r="H18" s="140">
        <f>Sheet13!J21</f>
        <v>0.29166666666668561</v>
      </c>
      <c r="I18" s="141">
        <f t="shared" si="0"/>
        <v>0.79166666666668561</v>
      </c>
      <c r="J18" s="140">
        <v>0.1076388888888889</v>
      </c>
      <c r="K18" s="140">
        <v>0</v>
      </c>
      <c r="L18" s="140">
        <v>0</v>
      </c>
      <c r="M18" s="140">
        <v>4.1666666666666664E-2</v>
      </c>
      <c r="N18" s="140">
        <v>0</v>
      </c>
      <c r="O18" s="141">
        <f t="shared" si="1"/>
        <v>4.1666666666666664E-2</v>
      </c>
      <c r="P18" s="140">
        <v>0</v>
      </c>
      <c r="Q18" s="140">
        <v>0</v>
      </c>
      <c r="R18" s="140">
        <v>0</v>
      </c>
      <c r="S18" s="140">
        <v>5.9027777777777783E-2</v>
      </c>
      <c r="T18" s="141">
        <f t="shared" si="2"/>
        <v>5.9027777777777783E-2</v>
      </c>
      <c r="U18" s="140">
        <v>0</v>
      </c>
      <c r="V18" s="144">
        <f t="shared" si="3"/>
        <v>1.0000000000000189</v>
      </c>
      <c r="W18" s="128" t="s">
        <v>404</v>
      </c>
    </row>
    <row r="19" spans="1:23" ht="15.75" x14ac:dyDescent="0.25">
      <c r="A19" s="139">
        <v>44026</v>
      </c>
      <c r="B19" s="140">
        <f>Sheet14!D21</f>
        <v>0.29513888888888573</v>
      </c>
      <c r="C19" s="140">
        <f>Sheet14!E21</f>
        <v>206.58333333333334</v>
      </c>
      <c r="D19" s="140">
        <f>Sheet14!F21</f>
        <v>206.875</v>
      </c>
      <c r="E19" s="140">
        <f>Sheet14!G21</f>
        <v>0.29166666666665719</v>
      </c>
      <c r="F19" s="140">
        <f>Sheet14!H21</f>
        <v>206.88888888888889</v>
      </c>
      <c r="G19" s="140">
        <f>Sheet14!I21</f>
        <v>207.16666666666666</v>
      </c>
      <c r="H19" s="140">
        <f>Sheet14!J21</f>
        <v>0.27777777777777146</v>
      </c>
      <c r="I19" s="141">
        <f t="shared" si="0"/>
        <v>0.86458333333331439</v>
      </c>
      <c r="J19" s="140">
        <v>8.3333333333333329E-2</v>
      </c>
      <c r="K19" s="140">
        <v>0</v>
      </c>
      <c r="L19" s="140">
        <v>0</v>
      </c>
      <c r="M19" s="140">
        <v>4.1666666666666664E-2</v>
      </c>
      <c r="N19" s="140">
        <v>0</v>
      </c>
      <c r="O19" s="141">
        <f t="shared" si="1"/>
        <v>4.1666666666666664E-2</v>
      </c>
      <c r="P19" s="140">
        <v>0</v>
      </c>
      <c r="Q19" s="140">
        <v>0</v>
      </c>
      <c r="R19" s="140">
        <v>0</v>
      </c>
      <c r="S19" s="140">
        <v>0</v>
      </c>
      <c r="T19" s="141">
        <f t="shared" si="2"/>
        <v>0</v>
      </c>
      <c r="U19" s="140">
        <v>1.0416666666666666E-2</v>
      </c>
      <c r="V19" s="144">
        <f t="shared" si="3"/>
        <v>0.99999999999998102</v>
      </c>
      <c r="W19" s="128" t="s">
        <v>422</v>
      </c>
    </row>
    <row r="20" spans="1:23" ht="15.75" x14ac:dyDescent="0.25">
      <c r="A20" s="139">
        <v>44027</v>
      </c>
      <c r="B20" s="140">
        <f>Sheet15!D21</f>
        <v>0.29513888888888573</v>
      </c>
      <c r="C20" s="140">
        <f>Sheet14!E21</f>
        <v>206.58333333333334</v>
      </c>
      <c r="D20" s="140">
        <f>Sheet14!F21</f>
        <v>206.875</v>
      </c>
      <c r="E20" s="140">
        <f>Sheet15!G21</f>
        <v>0.20833333333334281</v>
      </c>
      <c r="F20" s="140">
        <f>Sheet14!H21</f>
        <v>206.88888888888889</v>
      </c>
      <c r="G20" s="140">
        <f>Sheet14!I21</f>
        <v>207.16666666666666</v>
      </c>
      <c r="H20" s="140">
        <f>Sheet15!J21</f>
        <v>0.29166666666665719</v>
      </c>
      <c r="I20" s="141">
        <f t="shared" si="0"/>
        <v>0.79513888888888573</v>
      </c>
      <c r="J20" s="140">
        <v>0.15277777777777776</v>
      </c>
      <c r="K20" s="140">
        <v>0</v>
      </c>
      <c r="L20" s="140">
        <v>0</v>
      </c>
      <c r="M20" s="140">
        <v>0</v>
      </c>
      <c r="N20" s="140">
        <v>0</v>
      </c>
      <c r="O20" s="141">
        <f t="shared" si="1"/>
        <v>0</v>
      </c>
      <c r="P20" s="140">
        <v>0</v>
      </c>
      <c r="Q20" s="140">
        <v>0</v>
      </c>
      <c r="R20" s="140">
        <v>0</v>
      </c>
      <c r="S20" s="140">
        <v>0</v>
      </c>
      <c r="T20" s="141">
        <f t="shared" si="2"/>
        <v>0</v>
      </c>
      <c r="U20" s="140">
        <v>5.2083333333333336E-2</v>
      </c>
      <c r="V20" s="144">
        <f t="shared" si="3"/>
        <v>0.99999999999999689</v>
      </c>
      <c r="W20" s="128" t="s">
        <v>442</v>
      </c>
    </row>
    <row r="21" spans="1:23" ht="45" x14ac:dyDescent="0.25">
      <c r="A21" s="139">
        <v>44028</v>
      </c>
      <c r="B21" s="140">
        <f>Sheet16!D21</f>
        <v>0.25</v>
      </c>
      <c r="C21" s="140">
        <f>Sheet16!E21</f>
        <v>206.66666666666666</v>
      </c>
      <c r="D21" s="140">
        <f>Sheet16!F21</f>
        <v>206.875</v>
      </c>
      <c r="E21" s="140">
        <f>Sheet16!G21</f>
        <v>0.20833333333334281</v>
      </c>
      <c r="F21" s="140">
        <f>Sheet16!H21</f>
        <v>206.90972222222223</v>
      </c>
      <c r="G21" s="140">
        <f>Sheet16!I21</f>
        <v>207.20833333333334</v>
      </c>
      <c r="H21" s="140">
        <f>Sheet16!J21</f>
        <v>0.29861111111111427</v>
      </c>
      <c r="I21" s="141">
        <f t="shared" si="0"/>
        <v>0.75694444444445708</v>
      </c>
      <c r="J21" s="140">
        <v>7.6388888888888895E-2</v>
      </c>
      <c r="K21" s="140">
        <v>0</v>
      </c>
      <c r="L21" s="140">
        <v>0</v>
      </c>
      <c r="M21" s="140">
        <v>4.1666666666666664E-2</v>
      </c>
      <c r="N21" s="140">
        <v>0</v>
      </c>
      <c r="O21" s="141">
        <f t="shared" si="1"/>
        <v>4.1666666666666664E-2</v>
      </c>
      <c r="P21" s="140">
        <v>0</v>
      </c>
      <c r="Q21" s="140">
        <v>0.125</v>
      </c>
      <c r="R21" s="140">
        <v>0</v>
      </c>
      <c r="S21" s="140">
        <v>0</v>
      </c>
      <c r="T21" s="141">
        <f t="shared" si="2"/>
        <v>0.125</v>
      </c>
      <c r="U21" s="140">
        <v>0</v>
      </c>
      <c r="V21" s="144">
        <f t="shared" si="3"/>
        <v>1.0000000000000127</v>
      </c>
      <c r="W21" s="128" t="s">
        <v>457</v>
      </c>
    </row>
    <row r="22" spans="1:23" ht="45" x14ac:dyDescent="0.25">
      <c r="A22" s="139">
        <v>44029</v>
      </c>
      <c r="B22" s="140">
        <f>Sheet17!D21</f>
        <v>0.19097222222222854</v>
      </c>
      <c r="C22" s="140">
        <f>Sheet17!E21</f>
        <v>206.58333333333334</v>
      </c>
      <c r="D22" s="140">
        <f>Sheet17!F21</f>
        <v>206.875</v>
      </c>
      <c r="E22" s="140">
        <f>Sheet17!G21</f>
        <v>0.29166666666665719</v>
      </c>
      <c r="F22" s="140">
        <f>Sheet17!H21</f>
        <v>206.91666666666666</v>
      </c>
      <c r="G22" s="140">
        <f>Sheet17!I21</f>
        <v>207.20833333333334</v>
      </c>
      <c r="H22" s="140">
        <f>Sheet17!J21</f>
        <v>0.29166666666668561</v>
      </c>
      <c r="I22" s="141">
        <f t="shared" si="0"/>
        <v>0.77430555555557135</v>
      </c>
      <c r="J22" s="140">
        <v>8.3333333333333329E-2</v>
      </c>
      <c r="K22" s="140">
        <v>0</v>
      </c>
      <c r="L22" s="140">
        <v>0.1423611111111111</v>
      </c>
      <c r="M22" s="140">
        <v>0</v>
      </c>
      <c r="N22" s="140">
        <v>0</v>
      </c>
      <c r="O22" s="141">
        <f t="shared" si="1"/>
        <v>0.1423611111111111</v>
      </c>
      <c r="P22" s="140">
        <v>0</v>
      </c>
      <c r="Q22" s="140">
        <v>0</v>
      </c>
      <c r="R22" s="140">
        <v>0</v>
      </c>
      <c r="S22" s="140">
        <v>0</v>
      </c>
      <c r="T22" s="141">
        <f t="shared" si="2"/>
        <v>0</v>
      </c>
      <c r="U22" s="140">
        <v>0</v>
      </c>
      <c r="V22" s="144">
        <f t="shared" si="3"/>
        <v>1.0000000000000158</v>
      </c>
      <c r="W22" s="128" t="s">
        <v>491</v>
      </c>
    </row>
    <row r="23" spans="1:23" ht="15.75" x14ac:dyDescent="0.25">
      <c r="A23" s="139">
        <v>44030</v>
      </c>
      <c r="B23" s="140">
        <f>Sheet18!D21</f>
        <v>0.29166666666665719</v>
      </c>
      <c r="C23" s="140">
        <f>Sheet18!E21</f>
        <v>206.57638888888889</v>
      </c>
      <c r="D23" s="140">
        <f>Sheet18!F21</f>
        <v>206.875</v>
      </c>
      <c r="E23" s="140">
        <f>Sheet18!G21</f>
        <v>0.29861111111111427</v>
      </c>
      <c r="F23" s="140">
        <f>Sheet18!H21</f>
        <v>206.92013888888889</v>
      </c>
      <c r="G23" s="140">
        <f>Sheet18!I21</f>
        <v>207.20833333333334</v>
      </c>
      <c r="H23" s="140">
        <f>Sheet18!J21</f>
        <v>0.28819444444445708</v>
      </c>
      <c r="I23" s="141">
        <f t="shared" si="0"/>
        <v>0.87847222222222854</v>
      </c>
      <c r="J23" s="140">
        <v>7.9861111111111105E-2</v>
      </c>
      <c r="K23" s="140">
        <v>4.1666666666666664E-2</v>
      </c>
      <c r="L23" s="140">
        <v>0</v>
      </c>
      <c r="M23" s="140">
        <v>0</v>
      </c>
      <c r="N23" s="140">
        <v>0</v>
      </c>
      <c r="O23" s="141">
        <f t="shared" si="1"/>
        <v>4.1666666666666664E-2</v>
      </c>
      <c r="P23" s="140">
        <v>0</v>
      </c>
      <c r="Q23" s="140">
        <v>0</v>
      </c>
      <c r="R23" s="140">
        <v>0</v>
      </c>
      <c r="S23" s="140">
        <v>0</v>
      </c>
      <c r="T23" s="141">
        <f t="shared" si="2"/>
        <v>0</v>
      </c>
      <c r="U23" s="140">
        <v>0</v>
      </c>
      <c r="V23" s="144">
        <f t="shared" si="3"/>
        <v>1.0000000000000062</v>
      </c>
      <c r="W23" s="145"/>
    </row>
    <row r="24" spans="1:23" ht="15.75" x14ac:dyDescent="0.25">
      <c r="A24" s="139">
        <v>44031</v>
      </c>
      <c r="B24" s="140">
        <f>Sheet19!D21</f>
        <v>0.29166666666665719</v>
      </c>
      <c r="C24" s="140">
        <f>Sheet18!E21</f>
        <v>206.57638888888889</v>
      </c>
      <c r="D24" s="140">
        <f>Sheet18!F21</f>
        <v>206.875</v>
      </c>
      <c r="E24" s="140">
        <f>Sheet19!G21</f>
        <v>0.28819444444445708</v>
      </c>
      <c r="F24" s="140">
        <f>Sheet18!H21</f>
        <v>206.92013888888889</v>
      </c>
      <c r="G24" s="140">
        <f>Sheet18!I21</f>
        <v>207.20833333333334</v>
      </c>
      <c r="H24" s="140">
        <f>Sheet19!J21</f>
        <v>0.29166666666668561</v>
      </c>
      <c r="I24" s="141">
        <f t="shared" si="0"/>
        <v>0.87152777777779988</v>
      </c>
      <c r="J24" s="140">
        <v>8.6805555555555566E-2</v>
      </c>
      <c r="K24" s="140">
        <v>0</v>
      </c>
      <c r="L24" s="140">
        <v>0</v>
      </c>
      <c r="M24" s="140">
        <v>4.1666666666666664E-2</v>
      </c>
      <c r="N24" s="140">
        <v>0</v>
      </c>
      <c r="O24" s="141">
        <f t="shared" si="1"/>
        <v>4.1666666666666664E-2</v>
      </c>
      <c r="P24" s="140">
        <v>0</v>
      </c>
      <c r="Q24" s="140">
        <v>0</v>
      </c>
      <c r="R24" s="140">
        <v>0</v>
      </c>
      <c r="S24" s="140">
        <v>0</v>
      </c>
      <c r="T24" s="141">
        <f t="shared" si="2"/>
        <v>0</v>
      </c>
      <c r="U24" s="140">
        <v>0</v>
      </c>
      <c r="V24" s="144">
        <f t="shared" si="3"/>
        <v>1.000000000000022</v>
      </c>
      <c r="W24" s="128"/>
    </row>
    <row r="25" spans="1:23" ht="15.75" x14ac:dyDescent="0.25">
      <c r="A25" s="139">
        <v>44032</v>
      </c>
      <c r="B25" s="140">
        <f>Sheet20!D21</f>
        <v>0.25</v>
      </c>
      <c r="C25" s="140">
        <f>Sheet20!E21</f>
        <v>206.6875</v>
      </c>
      <c r="D25" s="140">
        <f>Sheet20!F21</f>
        <v>206.875</v>
      </c>
      <c r="E25" s="140">
        <f>Sheet20!G21</f>
        <v>0.1875</v>
      </c>
      <c r="F25" s="140">
        <f>Sheet20!H21</f>
        <v>206.875</v>
      </c>
      <c r="G25" s="140">
        <f>Sheet20!I21</f>
        <v>207.20833333333334</v>
      </c>
      <c r="H25" s="140">
        <f>Sheet20!J21</f>
        <v>0.33333333333334281</v>
      </c>
      <c r="I25" s="141">
        <f t="shared" si="0"/>
        <v>0.77083333333334281</v>
      </c>
      <c r="J25" s="140">
        <v>6.25E-2</v>
      </c>
      <c r="K25" s="140">
        <v>0</v>
      </c>
      <c r="L25" s="140">
        <v>0</v>
      </c>
      <c r="M25" s="140">
        <v>0</v>
      </c>
      <c r="N25" s="140">
        <v>0</v>
      </c>
      <c r="O25" s="141">
        <f t="shared" si="1"/>
        <v>0</v>
      </c>
      <c r="P25" s="140">
        <v>0</v>
      </c>
      <c r="Q25" s="140">
        <v>0</v>
      </c>
      <c r="R25" s="140">
        <v>0</v>
      </c>
      <c r="S25" s="140">
        <v>0</v>
      </c>
      <c r="T25" s="141">
        <f t="shared" si="2"/>
        <v>0</v>
      </c>
      <c r="U25" s="140">
        <v>0.16666666666666666</v>
      </c>
      <c r="V25" s="144">
        <f t="shared" si="3"/>
        <v>1.0000000000000095</v>
      </c>
      <c r="W25" s="307" t="s">
        <v>422</v>
      </c>
    </row>
    <row r="26" spans="1:23" ht="36.75" customHeight="1" x14ac:dyDescent="0.25">
      <c r="A26" s="139">
        <v>44033</v>
      </c>
      <c r="B26" s="140">
        <f>Sheet21!D21</f>
        <v>0.25347222222220012</v>
      </c>
      <c r="C26" s="140">
        <f>Sheet21!E21</f>
        <v>206.58333333333334</v>
      </c>
      <c r="D26" s="140">
        <f>Sheet21!F21</f>
        <v>206.875</v>
      </c>
      <c r="E26" s="140">
        <f>Sheet21!G21</f>
        <v>0.29166666666665719</v>
      </c>
      <c r="F26" s="140">
        <f>Sheet21!H21</f>
        <v>206.95138888888889</v>
      </c>
      <c r="G26" s="140">
        <f>Sheet21!I21</f>
        <v>207.20833333333334</v>
      </c>
      <c r="H26" s="140">
        <f>Sheet21!J21</f>
        <v>0.25694444444445708</v>
      </c>
      <c r="I26" s="141">
        <f t="shared" si="0"/>
        <v>0.80208333333331439</v>
      </c>
      <c r="J26" s="140">
        <v>4.1666666666666664E-2</v>
      </c>
      <c r="K26" s="140">
        <v>0</v>
      </c>
      <c r="L26" s="140">
        <v>0</v>
      </c>
      <c r="M26" s="140">
        <v>0</v>
      </c>
      <c r="N26" s="140">
        <v>0</v>
      </c>
      <c r="O26" s="141">
        <f t="shared" si="1"/>
        <v>0</v>
      </c>
      <c r="P26" s="140">
        <v>0</v>
      </c>
      <c r="Q26" s="140">
        <v>0</v>
      </c>
      <c r="R26" s="140">
        <v>0.15625</v>
      </c>
      <c r="S26" s="140">
        <v>0</v>
      </c>
      <c r="T26" s="141">
        <f t="shared" si="2"/>
        <v>0.15625</v>
      </c>
      <c r="U26" s="140">
        <v>0</v>
      </c>
      <c r="V26" s="144">
        <f t="shared" si="3"/>
        <v>0.99999999999998102</v>
      </c>
      <c r="W26" s="307" t="s">
        <v>612</v>
      </c>
    </row>
    <row r="27" spans="1:23" ht="15.75" x14ac:dyDescent="0.25">
      <c r="A27" s="139">
        <v>44034</v>
      </c>
      <c r="B27" s="140">
        <f>Sheet22!D21</f>
        <v>0.23611111111111427</v>
      </c>
      <c r="C27" s="140" t="e">
        <f>Sheet22!#REF!</f>
        <v>#REF!</v>
      </c>
      <c r="D27" s="140" t="e">
        <f>Sheet22!#REF!</f>
        <v>#REF!</v>
      </c>
      <c r="E27" s="140">
        <f>Sheet22!G21</f>
        <v>0.29166666666665719</v>
      </c>
      <c r="F27" s="140" t="e">
        <f>Sheet22!#REF!</f>
        <v>#REF!</v>
      </c>
      <c r="G27" s="140" t="e">
        <f>Sheet22!#REF!</f>
        <v>#REF!</v>
      </c>
      <c r="H27" s="140">
        <f>Sheet22!J21</f>
        <v>0.25</v>
      </c>
      <c r="I27" s="141">
        <f t="shared" si="0"/>
        <v>0.77777777777777146</v>
      </c>
      <c r="J27" s="140">
        <v>9.7222222222222224E-2</v>
      </c>
      <c r="K27" s="140">
        <v>0</v>
      </c>
      <c r="L27" s="140">
        <v>0</v>
      </c>
      <c r="M27" s="140">
        <v>0.125</v>
      </c>
      <c r="N27" s="140">
        <v>0</v>
      </c>
      <c r="O27" s="141">
        <f t="shared" si="1"/>
        <v>0.125</v>
      </c>
      <c r="P27" s="140">
        <v>0</v>
      </c>
      <c r="Q27" s="140">
        <v>0</v>
      </c>
      <c r="R27" s="140">
        <v>0</v>
      </c>
      <c r="S27" s="140">
        <v>0</v>
      </c>
      <c r="T27" s="141">
        <f t="shared" si="2"/>
        <v>0</v>
      </c>
      <c r="U27" s="140">
        <v>0</v>
      </c>
      <c r="V27" s="144">
        <f t="shared" si="3"/>
        <v>0.99999999999999367</v>
      </c>
      <c r="W27" s="307" t="s">
        <v>613</v>
      </c>
    </row>
    <row r="28" spans="1:23" ht="15.75" x14ac:dyDescent="0.25">
      <c r="A28" s="139">
        <v>44035</v>
      </c>
      <c r="B28" s="140">
        <f>Sheet23!D21</f>
        <v>0.17708333333334281</v>
      </c>
      <c r="C28" s="140">
        <f>Sheet23!E21</f>
        <v>206.60416666666666</v>
      </c>
      <c r="D28" s="140">
        <f>Sheet23!F21</f>
        <v>206.875</v>
      </c>
      <c r="E28" s="140">
        <f>Sheet23!G21</f>
        <v>0.27083333333334281</v>
      </c>
      <c r="F28" s="140">
        <f>Sheet23!H21</f>
        <v>206.9375</v>
      </c>
      <c r="G28" s="140">
        <f>Sheet23!I21</f>
        <v>207.20833333333334</v>
      </c>
      <c r="H28" s="140">
        <f>Sheet23!J21</f>
        <v>0.27083333333334281</v>
      </c>
      <c r="I28" s="141">
        <f t="shared" si="0"/>
        <v>0.71875000000002842</v>
      </c>
      <c r="J28" s="140">
        <v>0.10416666666666667</v>
      </c>
      <c r="K28" s="140">
        <v>0</v>
      </c>
      <c r="L28" s="140">
        <v>0</v>
      </c>
      <c r="M28" s="140">
        <v>0.17708333333333334</v>
      </c>
      <c r="N28" s="140">
        <v>0</v>
      </c>
      <c r="O28" s="141">
        <f t="shared" si="1"/>
        <v>0.17708333333333334</v>
      </c>
      <c r="P28" s="140">
        <v>0</v>
      </c>
      <c r="Q28" s="140">
        <v>0</v>
      </c>
      <c r="R28" s="140">
        <v>0</v>
      </c>
      <c r="S28" s="140">
        <v>0</v>
      </c>
      <c r="T28" s="141">
        <f t="shared" si="2"/>
        <v>0</v>
      </c>
      <c r="U28" s="140">
        <v>0</v>
      </c>
      <c r="V28" s="144">
        <f t="shared" si="3"/>
        <v>1.0000000000000284</v>
      </c>
      <c r="W28" s="307" t="s">
        <v>614</v>
      </c>
    </row>
    <row r="29" spans="1:23" ht="15.75" x14ac:dyDescent="0.25">
      <c r="A29" s="139">
        <v>44036</v>
      </c>
      <c r="B29" s="140">
        <f>Sheet24!D21</f>
        <v>0.29861111111111427</v>
      </c>
      <c r="C29" s="140">
        <f>Sheet24!E21</f>
        <v>206.61458333333334</v>
      </c>
      <c r="D29" s="140">
        <f>Sheet24!F21</f>
        <v>206.875</v>
      </c>
      <c r="E29" s="140">
        <f>Sheet24!G21</f>
        <v>0.26041666666665719</v>
      </c>
      <c r="F29" s="140">
        <f>Sheet24!H21</f>
        <v>206.90972222222223</v>
      </c>
      <c r="G29" s="140">
        <f>Sheet24!I21</f>
        <v>207.20833333333334</v>
      </c>
      <c r="H29" s="140">
        <f>Sheet24!J21</f>
        <v>0.29861111111111427</v>
      </c>
      <c r="I29" s="141">
        <f t="shared" si="0"/>
        <v>0.85763888888888573</v>
      </c>
      <c r="J29" s="140">
        <v>0.10069444444444443</v>
      </c>
      <c r="K29" s="140">
        <v>0</v>
      </c>
      <c r="L29" s="140">
        <v>4.1666666666666664E-2</v>
      </c>
      <c r="M29" s="140">
        <v>0</v>
      </c>
      <c r="N29" s="140">
        <v>0</v>
      </c>
      <c r="O29" s="141">
        <f t="shared" si="1"/>
        <v>4.1666666666666664E-2</v>
      </c>
      <c r="P29" s="140">
        <v>0</v>
      </c>
      <c r="Q29" s="140">
        <v>0</v>
      </c>
      <c r="R29" s="140">
        <v>0</v>
      </c>
      <c r="S29" s="140">
        <v>0</v>
      </c>
      <c r="T29" s="141">
        <f t="shared" si="2"/>
        <v>0</v>
      </c>
      <c r="U29" s="140">
        <v>0</v>
      </c>
      <c r="V29" s="144">
        <f t="shared" si="3"/>
        <v>0.99999999999999678</v>
      </c>
      <c r="W29" s="128"/>
    </row>
    <row r="30" spans="1:23" ht="15.75" x14ac:dyDescent="0.25">
      <c r="A30" s="139">
        <v>44037</v>
      </c>
      <c r="B30" s="140">
        <f>Sheet25!D21</f>
        <v>0.20833333333334281</v>
      </c>
      <c r="C30" s="140">
        <f>Sheet25!E21</f>
        <v>206.59722222222223</v>
      </c>
      <c r="D30" s="140">
        <f>Sheet25!F21</f>
        <v>206.875</v>
      </c>
      <c r="E30" s="140">
        <f>Sheet25!G21</f>
        <v>0.27777777777777146</v>
      </c>
      <c r="F30" s="140">
        <f>Sheet25!H21</f>
        <v>206.92361111111111</v>
      </c>
      <c r="G30" s="140">
        <f>Sheet25!I21</f>
        <v>207.20833333333334</v>
      </c>
      <c r="H30" s="140">
        <f>Sheet25!J21</f>
        <v>0.28472222222222854</v>
      </c>
      <c r="I30" s="141">
        <f t="shared" si="0"/>
        <v>0.77083333333334281</v>
      </c>
      <c r="J30" s="140">
        <v>0.19444444444444445</v>
      </c>
      <c r="K30" s="140">
        <v>0</v>
      </c>
      <c r="L30" s="140">
        <v>0</v>
      </c>
      <c r="M30" s="140">
        <v>3.4722222222222224E-2</v>
      </c>
      <c r="N30" s="140">
        <v>0</v>
      </c>
      <c r="O30" s="141">
        <f t="shared" si="1"/>
        <v>3.4722222222222224E-2</v>
      </c>
      <c r="P30" s="140">
        <v>0</v>
      </c>
      <c r="Q30" s="140">
        <v>0</v>
      </c>
      <c r="R30" s="140">
        <v>0</v>
      </c>
      <c r="S30" s="140">
        <v>0</v>
      </c>
      <c r="T30" s="141">
        <f t="shared" si="2"/>
        <v>0</v>
      </c>
      <c r="U30" s="140">
        <v>0</v>
      </c>
      <c r="V30" s="144">
        <f t="shared" si="3"/>
        <v>1.0000000000000095</v>
      </c>
      <c r="W30" s="250"/>
    </row>
    <row r="31" spans="1:23" ht="15.75" x14ac:dyDescent="0.25">
      <c r="A31" s="139">
        <v>44038</v>
      </c>
      <c r="B31" s="140">
        <v>0.22916666666666666</v>
      </c>
      <c r="C31" s="140">
        <f>Sheet26!E21</f>
        <v>206.57638888888889</v>
      </c>
      <c r="D31" s="140">
        <f>Sheet26!F21</f>
        <v>206.875</v>
      </c>
      <c r="E31" s="140">
        <v>0.2986111111111111</v>
      </c>
      <c r="F31" s="140">
        <f>Sheet26!H21</f>
        <v>206.875</v>
      </c>
      <c r="G31" s="140">
        <f>Sheet26!I21</f>
        <v>207.20833333333334</v>
      </c>
      <c r="H31" s="140">
        <f>Sheet26!J21</f>
        <v>0.33333333333334281</v>
      </c>
      <c r="I31" s="141">
        <f t="shared" si="0"/>
        <v>0.8611111111111206</v>
      </c>
      <c r="J31" s="140">
        <v>9.7222222222222224E-2</v>
      </c>
      <c r="K31" s="140">
        <v>0</v>
      </c>
      <c r="L31" s="140">
        <v>0</v>
      </c>
      <c r="M31" s="140">
        <v>4.1666666666666664E-2</v>
      </c>
      <c r="N31" s="140">
        <v>0</v>
      </c>
      <c r="O31" s="141">
        <f t="shared" si="1"/>
        <v>4.1666666666666664E-2</v>
      </c>
      <c r="P31" s="140">
        <v>0</v>
      </c>
      <c r="Q31" s="140">
        <v>0</v>
      </c>
      <c r="R31" s="140">
        <v>0</v>
      </c>
      <c r="S31" s="140">
        <v>0</v>
      </c>
      <c r="T31" s="141">
        <f t="shared" si="2"/>
        <v>0</v>
      </c>
      <c r="U31" s="140">
        <v>0</v>
      </c>
      <c r="V31" s="144">
        <f t="shared" si="3"/>
        <v>1.0000000000000095</v>
      </c>
      <c r="W31" s="189"/>
    </row>
    <row r="32" spans="1:23" ht="15.75" x14ac:dyDescent="0.25">
      <c r="A32" s="139">
        <v>44039</v>
      </c>
      <c r="B32" s="140">
        <v>0.25</v>
      </c>
      <c r="C32" s="140">
        <f>Sheet27!E21</f>
        <v>206.58680555555554</v>
      </c>
      <c r="D32" s="140">
        <f>Sheet27!F21</f>
        <v>206.875</v>
      </c>
      <c r="E32" s="140">
        <v>0.28819444444444448</v>
      </c>
      <c r="F32" s="140">
        <f>Sheet27!H21</f>
        <v>206.90972222222223</v>
      </c>
      <c r="G32" s="140">
        <f>Sheet27!I21</f>
        <v>207.20833333333334</v>
      </c>
      <c r="H32" s="140">
        <v>0.2986111111111111</v>
      </c>
      <c r="I32" s="141">
        <f t="shared" si="0"/>
        <v>0.83680555555555558</v>
      </c>
      <c r="J32" s="140">
        <v>0.12152777777777778</v>
      </c>
      <c r="K32" s="140">
        <v>0</v>
      </c>
      <c r="L32" s="140">
        <v>0</v>
      </c>
      <c r="M32" s="140">
        <v>4.1666666666666664E-2</v>
      </c>
      <c r="N32" s="140">
        <v>0</v>
      </c>
      <c r="O32" s="141">
        <f t="shared" si="1"/>
        <v>4.1666666666666664E-2</v>
      </c>
      <c r="P32" s="140">
        <v>0</v>
      </c>
      <c r="Q32" s="140">
        <v>0</v>
      </c>
      <c r="R32" s="140">
        <v>0</v>
      </c>
      <c r="S32" s="140">
        <v>0</v>
      </c>
      <c r="T32" s="141">
        <f t="shared" si="2"/>
        <v>0</v>
      </c>
      <c r="U32" s="140">
        <v>0</v>
      </c>
      <c r="V32" s="144">
        <f t="shared" si="3"/>
        <v>1</v>
      </c>
      <c r="W32" s="128"/>
    </row>
    <row r="33" spans="1:23" ht="15.75" x14ac:dyDescent="0.25">
      <c r="A33" s="139">
        <v>44040</v>
      </c>
      <c r="B33" s="140">
        <f>Sheet28!D21</f>
        <v>0.22916666666665719</v>
      </c>
      <c r="C33" s="140">
        <f>Sheet28!E21</f>
        <v>206.59375</v>
      </c>
      <c r="D33" s="140">
        <f>Sheet28!F21</f>
        <v>206.875</v>
      </c>
      <c r="E33" s="140">
        <f>Sheet28!G21</f>
        <v>0.28125</v>
      </c>
      <c r="F33" s="140">
        <f>Sheet28!H21</f>
        <v>206.90625</v>
      </c>
      <c r="G33" s="140">
        <f>Sheet28!I21</f>
        <v>207.20833333333334</v>
      </c>
      <c r="H33" s="140">
        <f>Sheet28!J21</f>
        <v>0.30208333333334281</v>
      </c>
      <c r="I33" s="141">
        <f t="shared" si="0"/>
        <v>0.8125</v>
      </c>
      <c r="J33" s="140">
        <v>8.3333333333333329E-2</v>
      </c>
      <c r="K33" s="140">
        <v>0</v>
      </c>
      <c r="L33" s="140">
        <v>0</v>
      </c>
      <c r="M33" s="140">
        <v>0</v>
      </c>
      <c r="N33" s="140">
        <v>0</v>
      </c>
      <c r="O33" s="141">
        <f t="shared" si="1"/>
        <v>0</v>
      </c>
      <c r="P33" s="140">
        <v>0</v>
      </c>
      <c r="Q33" s="140">
        <v>0</v>
      </c>
      <c r="R33" s="140">
        <v>0.10416666666666667</v>
      </c>
      <c r="S33" s="140">
        <v>0</v>
      </c>
      <c r="T33" s="141">
        <f t="shared" si="2"/>
        <v>0.10416666666666667</v>
      </c>
      <c r="U33" s="140">
        <v>0</v>
      </c>
      <c r="V33" s="144">
        <f t="shared" si="3"/>
        <v>1</v>
      </c>
      <c r="W33" s="307" t="s">
        <v>615</v>
      </c>
    </row>
    <row r="34" spans="1:23" ht="15.75" x14ac:dyDescent="0.25">
      <c r="A34" s="139">
        <v>44041</v>
      </c>
      <c r="B34" s="140">
        <f>Sheet29!D21</f>
        <v>0.29166666666665719</v>
      </c>
      <c r="C34" s="140">
        <f>Sheet29!E21</f>
        <v>206.61111111111111</v>
      </c>
      <c r="D34" s="140">
        <f>Sheet29!F21</f>
        <v>206.875</v>
      </c>
      <c r="E34" s="140">
        <f>Sheet29!G21</f>
        <v>0.26388888888888573</v>
      </c>
      <c r="F34" s="140">
        <f>Sheet29!H21</f>
        <v>206.875</v>
      </c>
      <c r="G34" s="140">
        <f>Sheet29!I21</f>
        <v>207.20833333333334</v>
      </c>
      <c r="H34" s="140">
        <f>Sheet29!J21</f>
        <v>0.33333333333334281</v>
      </c>
      <c r="I34" s="141">
        <f t="shared" si="0"/>
        <v>0.88888888888888573</v>
      </c>
      <c r="J34" s="140">
        <v>6.9444444444444434E-2</v>
      </c>
      <c r="K34" s="140">
        <v>4.1666666666666664E-2</v>
      </c>
      <c r="L34" s="140">
        <v>0</v>
      </c>
      <c r="M34" s="140">
        <v>0</v>
      </c>
      <c r="N34" s="140">
        <v>0</v>
      </c>
      <c r="O34" s="141">
        <f t="shared" si="1"/>
        <v>4.1666666666666664E-2</v>
      </c>
      <c r="P34" s="140">
        <v>0</v>
      </c>
      <c r="Q34" s="140">
        <v>0</v>
      </c>
      <c r="R34" s="140">
        <v>0</v>
      </c>
      <c r="S34" s="140">
        <v>0</v>
      </c>
      <c r="T34" s="141">
        <f t="shared" si="2"/>
        <v>0</v>
      </c>
      <c r="U34" s="140">
        <v>0</v>
      </c>
      <c r="V34" s="144">
        <f t="shared" si="3"/>
        <v>0.99999999999999678</v>
      </c>
      <c r="W34" s="128"/>
    </row>
    <row r="35" spans="1:23" ht="15.75" x14ac:dyDescent="0.25">
      <c r="A35" s="139">
        <v>44042</v>
      </c>
      <c r="B35" s="140">
        <f>'Sheet 30'!D21</f>
        <v>0.28125</v>
      </c>
      <c r="C35" s="140">
        <f>Sheet29!E22</f>
        <v>206.58333333333334</v>
      </c>
      <c r="D35" s="140">
        <f>Sheet29!F22</f>
        <v>206.875</v>
      </c>
      <c r="E35" s="140">
        <f>'Sheet 30'!G21</f>
        <v>0.28472222222222854</v>
      </c>
      <c r="F35" s="140">
        <f>Sheet29!H22</f>
        <v>206.91319444444446</v>
      </c>
      <c r="G35" s="140">
        <f>Sheet29!I22</f>
        <v>207.20833333333334</v>
      </c>
      <c r="H35" s="140">
        <f>'Sheet 30'!J21</f>
        <v>0.29166666666668561</v>
      </c>
      <c r="I35" s="141">
        <f t="shared" ref="I35" si="8">B35+E35+H35</f>
        <v>0.85763888888891415</v>
      </c>
      <c r="J35" s="140">
        <v>5.9027777777777783E-2</v>
      </c>
      <c r="K35" s="140">
        <v>4.1666666666666664E-2</v>
      </c>
      <c r="L35" s="140">
        <v>0</v>
      </c>
      <c r="M35" s="140">
        <v>4.1666666666666664E-2</v>
      </c>
      <c r="N35" s="140">
        <v>0</v>
      </c>
      <c r="O35" s="141">
        <f t="shared" si="1"/>
        <v>8.3333333333333329E-2</v>
      </c>
      <c r="P35" s="140">
        <v>0</v>
      </c>
      <c r="Q35" s="140">
        <v>0</v>
      </c>
      <c r="R35" s="140">
        <v>0</v>
      </c>
      <c r="S35" s="140">
        <v>0</v>
      </c>
      <c r="T35" s="141">
        <f t="shared" si="2"/>
        <v>0</v>
      </c>
      <c r="U35" s="140">
        <v>0</v>
      </c>
      <c r="V35" s="144">
        <f t="shared" si="3"/>
        <v>1.0000000000000253</v>
      </c>
      <c r="W35" s="128"/>
    </row>
    <row r="36" spans="1:23" ht="15.75" x14ac:dyDescent="0.25">
      <c r="A36" s="139">
        <v>44043</v>
      </c>
      <c r="B36" s="140">
        <f>'Sheet 31'!D21</f>
        <v>0.23263888888888573</v>
      </c>
      <c r="C36" s="140">
        <f>Sheet29!E23</f>
        <v>206.63194444444446</v>
      </c>
      <c r="D36" s="140">
        <f>Sheet29!F23</f>
        <v>206.875</v>
      </c>
      <c r="E36" s="140">
        <f>'Sheet 31'!G21</f>
        <v>0.33333333333334281</v>
      </c>
      <c r="F36" s="140">
        <f>Sheet29!H23</f>
        <v>206.91666666666666</v>
      </c>
      <c r="G36" s="140">
        <f>Sheet29!I23</f>
        <v>207.20833333333334</v>
      </c>
      <c r="H36" s="140">
        <f>'Sheet 31'!J21</f>
        <v>0.29166666666668561</v>
      </c>
      <c r="I36" s="141">
        <f t="shared" ref="I36" si="9">B36+E36+H36</f>
        <v>0.85763888888891415</v>
      </c>
      <c r="J36" s="140">
        <v>0.10069444444444443</v>
      </c>
      <c r="K36" s="140">
        <v>4.1666666666666664E-2</v>
      </c>
      <c r="L36" s="140">
        <v>0</v>
      </c>
      <c r="M36" s="140">
        <v>0</v>
      </c>
      <c r="N36" s="140">
        <v>0</v>
      </c>
      <c r="O36" s="141">
        <f t="shared" ref="O36" si="10">SUM(K36:N36)</f>
        <v>4.1666666666666664E-2</v>
      </c>
      <c r="P36" s="140">
        <v>0</v>
      </c>
      <c r="Q36" s="140">
        <v>0</v>
      </c>
      <c r="R36" s="140">
        <v>0</v>
      </c>
      <c r="S36" s="140">
        <v>0</v>
      </c>
      <c r="T36" s="141">
        <f t="shared" ref="T36" si="11">SUM(P36:S36)</f>
        <v>0</v>
      </c>
      <c r="U36" s="140">
        <v>0</v>
      </c>
      <c r="V36" s="144">
        <f t="shared" si="3"/>
        <v>1.0000000000000253</v>
      </c>
      <c r="W36" s="128"/>
    </row>
    <row r="37" spans="1:23" ht="15.75" x14ac:dyDescent="0.25">
      <c r="A37" s="129" t="s">
        <v>104</v>
      </c>
      <c r="B37" s="127" t="s">
        <v>13</v>
      </c>
      <c r="C37" s="127"/>
      <c r="D37" s="127"/>
      <c r="E37" s="127"/>
      <c r="F37" s="127"/>
      <c r="G37" s="127"/>
      <c r="H37" s="127" t="s">
        <v>13</v>
      </c>
      <c r="I37" s="149">
        <f>SUM(I6:I36)</f>
        <v>21.798611111111253</v>
      </c>
      <c r="J37" s="149">
        <f>SUM(J6:J36)</f>
        <v>5.6874652777777772</v>
      </c>
      <c r="K37" s="149">
        <f t="shared" ref="K37:V37" si="12">SUM(K6:K36)</f>
        <v>0.16670138888888886</v>
      </c>
      <c r="L37" s="149">
        <f t="shared" si="12"/>
        <v>0.35069444444444448</v>
      </c>
      <c r="M37" s="149">
        <f t="shared" si="12"/>
        <v>0.94097222222222221</v>
      </c>
      <c r="N37" s="149">
        <f t="shared" si="12"/>
        <v>0</v>
      </c>
      <c r="O37" s="149">
        <f t="shared" si="12"/>
        <v>1.4583680555555558</v>
      </c>
      <c r="P37" s="149">
        <f t="shared" si="12"/>
        <v>0</v>
      </c>
      <c r="Q37" s="149">
        <f t="shared" si="12"/>
        <v>0.83333333333333326</v>
      </c>
      <c r="R37" s="149">
        <f t="shared" si="12"/>
        <v>0.93402777777777779</v>
      </c>
      <c r="S37" s="149">
        <f t="shared" si="12"/>
        <v>5.9027777777777783E-2</v>
      </c>
      <c r="T37" s="149">
        <f t="shared" si="12"/>
        <v>1.8263888888888888</v>
      </c>
      <c r="U37" s="149">
        <f t="shared" si="12"/>
        <v>0.22916666666666666</v>
      </c>
      <c r="V37" s="149">
        <f t="shared" si="12"/>
        <v>31.000000000000139</v>
      </c>
      <c r="W37" s="88"/>
    </row>
    <row r="38" spans="1:23" ht="15.75" x14ac:dyDescent="0.25">
      <c r="B38" s="130"/>
      <c r="C38" s="130"/>
      <c r="D38" s="130"/>
      <c r="E38" s="130"/>
      <c r="F38" s="130"/>
      <c r="G38" s="130"/>
      <c r="H38" s="130"/>
      <c r="I38" s="131"/>
      <c r="J38" s="132"/>
      <c r="K38" s="130"/>
      <c r="L38" s="130"/>
      <c r="M38" s="130"/>
      <c r="N38" s="130"/>
      <c r="O38" s="130"/>
      <c r="P38" s="130"/>
      <c r="Q38" s="130"/>
      <c r="R38" s="130"/>
      <c r="S38" s="130"/>
      <c r="T38" s="133"/>
      <c r="U38" s="133"/>
      <c r="V38" s="235">
        <f>I37+J37+O37+T37+U37</f>
        <v>31.000000000000146</v>
      </c>
    </row>
    <row r="39" spans="1:23" x14ac:dyDescent="0.25">
      <c r="B39" s="130"/>
      <c r="C39" s="130"/>
      <c r="D39" s="130"/>
      <c r="E39" s="130"/>
      <c r="F39" s="130"/>
      <c r="G39" s="130"/>
      <c r="H39" s="130"/>
      <c r="I39" s="131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3" x14ac:dyDescent="0.25"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4"/>
      <c r="N40" s="130"/>
      <c r="O40" s="130"/>
      <c r="P40" s="130"/>
      <c r="Q40" s="130"/>
      <c r="R40" s="130" t="s">
        <v>147</v>
      </c>
      <c r="S40" s="130"/>
      <c r="T40" s="130"/>
      <c r="U40" s="130"/>
      <c r="V40" s="130"/>
    </row>
    <row r="41" spans="1:23" x14ac:dyDescent="0.25">
      <c r="B41" s="130"/>
      <c r="C41" s="130"/>
      <c r="D41" s="130"/>
      <c r="E41" s="130"/>
      <c r="F41" s="130"/>
      <c r="G41" s="130"/>
      <c r="H41" s="130"/>
      <c r="I41" s="135"/>
      <c r="J41" s="135"/>
      <c r="K41" s="135"/>
      <c r="L41" s="135"/>
      <c r="M41" s="135"/>
      <c r="N41" s="135"/>
      <c r="O41" s="136"/>
      <c r="P41" s="135"/>
      <c r="Q41" s="135"/>
      <c r="R41" s="135" t="s">
        <v>105</v>
      </c>
      <c r="S41" s="135"/>
      <c r="T41" s="130"/>
      <c r="U41" s="130"/>
      <c r="V41" s="130"/>
    </row>
    <row r="42" spans="1:23" ht="15.75" x14ac:dyDescent="0.25">
      <c r="A42" s="137" t="s">
        <v>106</v>
      </c>
      <c r="B42" s="130"/>
      <c r="C42" s="130"/>
      <c r="D42" s="130"/>
      <c r="E42" s="130"/>
      <c r="F42" s="130"/>
      <c r="G42" s="130"/>
      <c r="H42" s="130"/>
      <c r="I42" s="131"/>
      <c r="J42" s="130"/>
      <c r="K42" s="130"/>
      <c r="L42" s="130"/>
      <c r="M42" s="134"/>
      <c r="N42" s="130"/>
      <c r="O42" s="136"/>
      <c r="P42" s="130"/>
      <c r="Q42" s="130"/>
      <c r="R42" s="130"/>
      <c r="S42" s="130"/>
      <c r="T42" s="130"/>
      <c r="U42" s="130"/>
      <c r="V42" s="130"/>
    </row>
    <row r="43" spans="1:23" ht="15.75" x14ac:dyDescent="0.25">
      <c r="A43" s="137" t="s">
        <v>107</v>
      </c>
      <c r="B43" s="130"/>
      <c r="C43" s="130"/>
      <c r="D43" s="130"/>
      <c r="E43" s="130"/>
      <c r="F43" s="130"/>
      <c r="G43" s="130"/>
      <c r="H43" s="130"/>
      <c r="I43" s="131"/>
      <c r="J43" s="130"/>
      <c r="K43" s="130"/>
      <c r="L43" s="130"/>
      <c r="M43" s="130"/>
      <c r="N43" s="130"/>
      <c r="O43" s="136"/>
      <c r="P43" s="130"/>
      <c r="Q43" s="130"/>
      <c r="R43" s="130"/>
      <c r="S43" s="130"/>
      <c r="T43" s="130"/>
      <c r="U43" s="130"/>
      <c r="V43" s="130"/>
    </row>
    <row r="44" spans="1:23" ht="15.75" x14ac:dyDescent="0.25">
      <c r="A44" s="137">
        <v>2</v>
      </c>
      <c r="B44" s="130" t="s">
        <v>148</v>
      </c>
      <c r="C44" s="130"/>
      <c r="D44" s="130"/>
      <c r="E44" s="130"/>
      <c r="F44" s="130"/>
      <c r="G44" s="130"/>
      <c r="H44" s="130"/>
      <c r="I44" s="131"/>
      <c r="J44" s="130"/>
      <c r="K44" s="130"/>
      <c r="L44" s="130"/>
      <c r="M44" s="130"/>
      <c r="N44" s="130"/>
      <c r="O44" s="136"/>
      <c r="P44" s="130"/>
      <c r="Q44" s="130"/>
      <c r="R44" s="130"/>
      <c r="S44" s="130"/>
      <c r="T44" s="130"/>
      <c r="U44" s="130"/>
      <c r="V44" s="130"/>
    </row>
    <row r="45" spans="1:23" ht="15.75" x14ac:dyDescent="0.25">
      <c r="A45" s="137">
        <v>3</v>
      </c>
      <c r="B45" s="130" t="s">
        <v>108</v>
      </c>
      <c r="C45" s="130"/>
      <c r="D45" s="130"/>
      <c r="E45" s="130"/>
      <c r="F45" s="130"/>
      <c r="G45" s="130"/>
      <c r="H45" s="130"/>
      <c r="I45" s="131"/>
      <c r="J45" s="130"/>
      <c r="K45" s="130"/>
      <c r="L45" s="130"/>
      <c r="M45" s="130"/>
      <c r="N45" s="130"/>
      <c r="O45" s="136"/>
      <c r="P45" s="130"/>
      <c r="Q45" s="130"/>
      <c r="R45" s="130"/>
      <c r="S45" s="130"/>
      <c r="T45" s="130"/>
      <c r="U45" s="130"/>
      <c r="V45" s="130"/>
    </row>
    <row r="46" spans="1:23" x14ac:dyDescent="0.25">
      <c r="A46" s="138" t="s">
        <v>109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4"/>
      <c r="P46" s="130"/>
      <c r="Q46" s="130"/>
      <c r="R46" s="130"/>
      <c r="S46" s="130"/>
      <c r="T46" s="130"/>
      <c r="U46" s="130"/>
      <c r="V46" s="130"/>
    </row>
  </sheetData>
  <pageMargins left="0.23622047244094491" right="0.23622047244094491" top="0.31496062992125984" bottom="0.31496062992125984" header="0.31496062992125984" footer="0.31496062992125984"/>
  <pageSetup paperSize="9" scale="62" orientation="landscape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zoomScale="70" zoomScaleNormal="70" workbookViewId="0">
      <pane ySplit="1" topLeftCell="A21" activePane="bottomLeft" state="frozen"/>
      <selection pane="bottomLeft" activeCell="A2" sqref="A2:W46"/>
    </sheetView>
  </sheetViews>
  <sheetFormatPr defaultRowHeight="15" x14ac:dyDescent="0.25"/>
  <cols>
    <col min="1" max="1" width="14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50"/>
    <col min="22" max="22" width="12.85546875" hidden="1" customWidth="1"/>
    <col min="23" max="23" width="26.7109375" customWidth="1"/>
  </cols>
  <sheetData>
    <row r="1" spans="1:23" ht="16.5" thickBot="1" x14ac:dyDescent="0.3">
      <c r="A1" s="119"/>
      <c r="B1" s="120" t="s">
        <v>96</v>
      </c>
      <c r="C1" s="120"/>
      <c r="D1" s="120"/>
      <c r="E1" s="120" t="s">
        <v>97</v>
      </c>
      <c r="F1" s="120"/>
      <c r="G1" s="120"/>
      <c r="H1" s="120" t="s">
        <v>98</v>
      </c>
      <c r="I1" s="121" t="s">
        <v>99</v>
      </c>
      <c r="J1" s="122"/>
      <c r="K1" s="123" t="s">
        <v>100</v>
      </c>
      <c r="L1" s="124" t="s">
        <v>101</v>
      </c>
      <c r="M1" s="124" t="s">
        <v>102</v>
      </c>
      <c r="N1" s="124" t="s">
        <v>103</v>
      </c>
      <c r="O1" s="125" t="s">
        <v>44</v>
      </c>
      <c r="P1" s="124" t="s">
        <v>100</v>
      </c>
      <c r="Q1" s="124" t="s">
        <v>101</v>
      </c>
      <c r="R1" s="124" t="s">
        <v>102</v>
      </c>
      <c r="S1" s="124" t="s">
        <v>103</v>
      </c>
      <c r="T1" s="125" t="s">
        <v>44</v>
      </c>
      <c r="U1" s="143"/>
      <c r="V1" s="143"/>
      <c r="W1" s="126"/>
    </row>
    <row r="2" spans="1:23" ht="22.5" x14ac:dyDescent="0.3">
      <c r="A2" s="105" t="s">
        <v>311</v>
      </c>
      <c r="R2"/>
    </row>
    <row r="3" spans="1:23" ht="21" thickBot="1" x14ac:dyDescent="0.35">
      <c r="A3" s="106" t="s">
        <v>119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R3"/>
    </row>
    <row r="4" spans="1:23" ht="30" x14ac:dyDescent="0.25">
      <c r="A4" s="108" t="s">
        <v>77</v>
      </c>
      <c r="B4" s="109" t="s">
        <v>91</v>
      </c>
      <c r="C4" s="113"/>
      <c r="D4" s="113"/>
      <c r="E4" s="113"/>
      <c r="F4" s="113"/>
      <c r="G4" s="113"/>
      <c r="H4" s="110"/>
      <c r="I4" s="111" t="s">
        <v>13</v>
      </c>
      <c r="J4" s="112" t="s">
        <v>92</v>
      </c>
      <c r="K4" s="113" t="s">
        <v>93</v>
      </c>
      <c r="L4" s="110"/>
      <c r="M4" s="110"/>
      <c r="N4" s="110"/>
      <c r="O4" s="114" t="s">
        <v>13</v>
      </c>
      <c r="P4" s="109" t="s">
        <v>94</v>
      </c>
      <c r="Q4" s="110"/>
      <c r="R4" s="115"/>
      <c r="S4" s="116"/>
      <c r="T4" s="117"/>
      <c r="U4" s="228" t="s">
        <v>181</v>
      </c>
      <c r="V4" s="142"/>
      <c r="W4" s="118" t="s">
        <v>95</v>
      </c>
    </row>
    <row r="5" spans="1:23" ht="16.5" thickBot="1" x14ac:dyDescent="0.3">
      <c r="A5" s="119"/>
      <c r="B5" s="120" t="s">
        <v>96</v>
      </c>
      <c r="C5" s="120"/>
      <c r="D5" s="120"/>
      <c r="E5" s="120" t="s">
        <v>97</v>
      </c>
      <c r="F5" s="120"/>
      <c r="G5" s="120"/>
      <c r="H5" s="120" t="s">
        <v>98</v>
      </c>
      <c r="I5" s="121" t="s">
        <v>99</v>
      </c>
      <c r="J5" s="122"/>
      <c r="K5" s="123" t="s">
        <v>100</v>
      </c>
      <c r="L5" s="124" t="s">
        <v>101</v>
      </c>
      <c r="M5" s="124" t="s">
        <v>102</v>
      </c>
      <c r="N5" s="124" t="s">
        <v>103</v>
      </c>
      <c r="O5" s="125" t="s">
        <v>44</v>
      </c>
      <c r="P5" s="124" t="s">
        <v>100</v>
      </c>
      <c r="Q5" s="124" t="s">
        <v>101</v>
      </c>
      <c r="R5" s="124" t="s">
        <v>102</v>
      </c>
      <c r="S5" s="124" t="s">
        <v>103</v>
      </c>
      <c r="T5" s="125" t="s">
        <v>44</v>
      </c>
      <c r="U5" s="143"/>
      <c r="V5" s="143"/>
      <c r="W5" s="126"/>
    </row>
    <row r="6" spans="1:23" ht="15.75" x14ac:dyDescent="0.25">
      <c r="A6" s="139">
        <v>44013</v>
      </c>
      <c r="B6" s="140">
        <f>Sheet1!D22</f>
        <v>0.15277777777779988</v>
      </c>
      <c r="C6" s="140">
        <f>Sheet1!E22</f>
        <v>206.66666666666666</v>
      </c>
      <c r="D6" s="140">
        <f>Sheet1!F22</f>
        <v>206.875</v>
      </c>
      <c r="E6" s="140">
        <f>Sheet1!G22</f>
        <v>0.20833333333334281</v>
      </c>
      <c r="F6" s="140">
        <f>Sheet1!H22</f>
        <v>206.91666666666666</v>
      </c>
      <c r="G6" s="140">
        <f>Sheet1!I22</f>
        <v>207.20833333333334</v>
      </c>
      <c r="H6" s="140">
        <f>Sheet1!J22</f>
        <v>0.29166666666668561</v>
      </c>
      <c r="I6" s="141">
        <f>B6+E6+H6</f>
        <v>0.65277777777782831</v>
      </c>
      <c r="J6" s="140">
        <v>0.1875</v>
      </c>
      <c r="K6" s="140">
        <v>0</v>
      </c>
      <c r="L6" s="140">
        <v>0</v>
      </c>
      <c r="M6" s="140">
        <v>4.1666666666666664E-2</v>
      </c>
      <c r="N6" s="140">
        <v>0</v>
      </c>
      <c r="O6" s="141">
        <f>SUM(K6:N6)</f>
        <v>4.1666666666666664E-2</v>
      </c>
      <c r="P6" s="140">
        <v>0</v>
      </c>
      <c r="Q6" s="140">
        <v>0.11805555555555557</v>
      </c>
      <c r="R6" s="140">
        <v>0</v>
      </c>
      <c r="S6" s="140">
        <v>0</v>
      </c>
      <c r="T6" s="141">
        <f>SUM(P6:S6)</f>
        <v>0.11805555555555557</v>
      </c>
      <c r="U6" s="140">
        <f>'stream I '!U6</f>
        <v>0</v>
      </c>
      <c r="V6" s="144">
        <f>I6+O6+J6+T6+U6</f>
        <v>1.0000000000000504</v>
      </c>
      <c r="W6" s="252" t="s">
        <v>271</v>
      </c>
    </row>
    <row r="7" spans="1:23" ht="30" x14ac:dyDescent="0.25">
      <c r="A7" s="139">
        <v>44014</v>
      </c>
      <c r="B7" s="140">
        <f>Sheet2!D22</f>
        <v>0</v>
      </c>
      <c r="C7" s="140">
        <f>Sheet2!E22</f>
        <v>0</v>
      </c>
      <c r="D7" s="140">
        <f>Sheet2!F22</f>
        <v>0</v>
      </c>
      <c r="E7" s="140">
        <f>Sheet2!G22</f>
        <v>0</v>
      </c>
      <c r="F7" s="140">
        <f>Sheet2!H22</f>
        <v>0</v>
      </c>
      <c r="G7" s="140">
        <f>Sheet2!I22</f>
        <v>0</v>
      </c>
      <c r="H7" s="140">
        <f>Sheet2!J22</f>
        <v>0</v>
      </c>
      <c r="I7" s="141">
        <f t="shared" ref="I7:I34" si="0">B7+E7+H7</f>
        <v>0</v>
      </c>
      <c r="J7" s="140">
        <v>0.99998842592592585</v>
      </c>
      <c r="K7" s="140">
        <v>1.1574074074074073E-5</v>
      </c>
      <c r="L7" s="140">
        <v>0</v>
      </c>
      <c r="M7" s="140">
        <v>0</v>
      </c>
      <c r="N7" s="140">
        <v>0</v>
      </c>
      <c r="O7" s="141">
        <f t="shared" ref="O7:O35" si="1">SUM(K7:N7)</f>
        <v>1.1574074074074073E-5</v>
      </c>
      <c r="P7" s="140">
        <v>0</v>
      </c>
      <c r="Q7" s="140">
        <v>0</v>
      </c>
      <c r="R7" s="140">
        <v>0</v>
      </c>
      <c r="S7" s="140">
        <v>0</v>
      </c>
      <c r="T7" s="141">
        <f t="shared" ref="T7:T35" si="2">SUM(P7:S7)</f>
        <v>0</v>
      </c>
      <c r="U7" s="140">
        <v>0</v>
      </c>
      <c r="V7" s="144">
        <f t="shared" ref="V7:V36" si="3">I7+O7+J7+T7+U7</f>
        <v>0.99999999999999989</v>
      </c>
      <c r="W7" s="272" t="s">
        <v>295</v>
      </c>
    </row>
    <row r="8" spans="1:23" ht="30" x14ac:dyDescent="0.25">
      <c r="A8" s="139">
        <v>44015</v>
      </c>
      <c r="B8" s="140">
        <f>Sheet3!D22</f>
        <v>0</v>
      </c>
      <c r="C8" s="140">
        <f>Sheet3!E22</f>
        <v>0</v>
      </c>
      <c r="D8" s="140">
        <f>Sheet3!F22</f>
        <v>0</v>
      </c>
      <c r="E8" s="140">
        <f>Sheet3!G22</f>
        <v>0</v>
      </c>
      <c r="F8" s="140">
        <f>Sheet3!H22</f>
        <v>0</v>
      </c>
      <c r="G8" s="140">
        <f>Sheet3!I22</f>
        <v>0</v>
      </c>
      <c r="H8" s="140">
        <f>Sheet3!J22</f>
        <v>0</v>
      </c>
      <c r="I8" s="141">
        <f t="shared" si="0"/>
        <v>0</v>
      </c>
      <c r="J8" s="140">
        <v>0.99998842592592585</v>
      </c>
      <c r="K8" s="140">
        <v>1.1574074074074073E-5</v>
      </c>
      <c r="L8" s="140">
        <v>0</v>
      </c>
      <c r="M8" s="140">
        <v>0</v>
      </c>
      <c r="N8" s="140">
        <v>0</v>
      </c>
      <c r="O8" s="141">
        <f t="shared" si="1"/>
        <v>1.1574074074074073E-5</v>
      </c>
      <c r="P8" s="140">
        <v>0</v>
      </c>
      <c r="Q8" s="140">
        <v>0</v>
      </c>
      <c r="R8" s="140">
        <v>0</v>
      </c>
      <c r="S8" s="140">
        <v>0</v>
      </c>
      <c r="T8" s="141">
        <f t="shared" si="2"/>
        <v>0</v>
      </c>
      <c r="U8" s="140">
        <f>'stream I '!U8</f>
        <v>0</v>
      </c>
      <c r="V8" s="144">
        <f t="shared" si="3"/>
        <v>0.99999999999999989</v>
      </c>
      <c r="W8" s="272" t="s">
        <v>295</v>
      </c>
    </row>
    <row r="9" spans="1:23" ht="30" x14ac:dyDescent="0.25">
      <c r="A9" s="139">
        <v>44016</v>
      </c>
      <c r="B9" s="140">
        <f>Sheet4!D22</f>
        <v>0</v>
      </c>
      <c r="C9" s="140">
        <f>Sheet4!E22</f>
        <v>0</v>
      </c>
      <c r="D9" s="140">
        <f>Sheet4!F22</f>
        <v>0</v>
      </c>
      <c r="E9" s="140">
        <f>Sheet4!G22</f>
        <v>0</v>
      </c>
      <c r="F9" s="140">
        <f>Sheet4!H22</f>
        <v>0</v>
      </c>
      <c r="G9" s="140">
        <f>Sheet4!I22</f>
        <v>0</v>
      </c>
      <c r="H9" s="140">
        <f>Sheet4!J22</f>
        <v>0</v>
      </c>
      <c r="I9" s="141">
        <f t="shared" si="0"/>
        <v>0</v>
      </c>
      <c r="J9" s="140">
        <v>0.99998842592592585</v>
      </c>
      <c r="K9" s="140">
        <v>1.1574074074074073E-5</v>
      </c>
      <c r="L9" s="140">
        <v>0</v>
      </c>
      <c r="M9" s="140">
        <v>0</v>
      </c>
      <c r="N9" s="140">
        <v>0</v>
      </c>
      <c r="O9" s="141">
        <f t="shared" si="1"/>
        <v>1.1574074074074073E-5</v>
      </c>
      <c r="P9" s="140">
        <v>0</v>
      </c>
      <c r="Q9" s="140">
        <v>0</v>
      </c>
      <c r="R9" s="140">
        <v>0</v>
      </c>
      <c r="S9" s="140">
        <v>0</v>
      </c>
      <c r="T9" s="141">
        <f t="shared" si="2"/>
        <v>0</v>
      </c>
      <c r="U9" s="140">
        <f>'stream I '!U9</f>
        <v>0</v>
      </c>
      <c r="V9" s="144">
        <f t="shared" si="3"/>
        <v>0.99999999999999989</v>
      </c>
      <c r="W9" s="272" t="s">
        <v>295</v>
      </c>
    </row>
    <row r="10" spans="1:23" ht="15.75" x14ac:dyDescent="0.25">
      <c r="A10" s="139">
        <v>44017</v>
      </c>
      <c r="B10" s="140">
        <f>Sheet5!D22</f>
        <v>0.27083333333331439</v>
      </c>
      <c r="C10" s="140">
        <f>Sheet5!E22</f>
        <v>206.57638888888889</v>
      </c>
      <c r="D10" s="140">
        <f>Sheet5!F22</f>
        <v>206.875</v>
      </c>
      <c r="E10" s="140">
        <f>Sheet5!G22</f>
        <v>0.29861111111111427</v>
      </c>
      <c r="F10" s="140">
        <f>Sheet5!H22</f>
        <v>206.875</v>
      </c>
      <c r="G10" s="140">
        <f>Sheet5!I22</f>
        <v>207.20833333333334</v>
      </c>
      <c r="H10" s="140">
        <f>Sheet5!J22</f>
        <v>0.33333333333334281</v>
      </c>
      <c r="I10" s="141">
        <f t="shared" si="0"/>
        <v>0.90277777777777146</v>
      </c>
      <c r="J10" s="140">
        <v>9.7222222222222224E-2</v>
      </c>
      <c r="K10" s="140">
        <v>0</v>
      </c>
      <c r="L10" s="140">
        <v>0</v>
      </c>
      <c r="M10" s="140">
        <v>0</v>
      </c>
      <c r="N10" s="140">
        <v>0</v>
      </c>
      <c r="O10" s="141">
        <f t="shared" si="1"/>
        <v>0</v>
      </c>
      <c r="P10" s="140">
        <v>0</v>
      </c>
      <c r="Q10" s="140">
        <v>0</v>
      </c>
      <c r="R10" s="140">
        <v>0</v>
      </c>
      <c r="S10" s="140">
        <v>0</v>
      </c>
      <c r="T10" s="141">
        <f t="shared" si="2"/>
        <v>0</v>
      </c>
      <c r="U10" s="140">
        <f>'stream I '!U10</f>
        <v>0</v>
      </c>
      <c r="V10" s="144">
        <f t="shared" si="3"/>
        <v>0.99999999999999367</v>
      </c>
      <c r="W10" s="272" t="s">
        <v>296</v>
      </c>
    </row>
    <row r="11" spans="1:23" ht="45" x14ac:dyDescent="0.25">
      <c r="A11" s="139">
        <v>44018</v>
      </c>
      <c r="B11" s="140">
        <f>Sheet6!D22</f>
        <v>0.28819444444442865</v>
      </c>
      <c r="C11" s="140">
        <f>Sheet6!E22</f>
        <v>206.60763888888889</v>
      </c>
      <c r="D11" s="140">
        <f>Sheet6!F22</f>
        <v>206.8125</v>
      </c>
      <c r="E11" s="140">
        <f>Sheet6!G22</f>
        <v>0.20486111111111427</v>
      </c>
      <c r="F11" s="140">
        <f>Sheet6!H22</f>
        <v>206.92708333333334</v>
      </c>
      <c r="G11" s="140">
        <f>Sheet6!I22</f>
        <v>207.20833333333334</v>
      </c>
      <c r="H11" s="140">
        <f>Sheet6!J22</f>
        <v>0.28125</v>
      </c>
      <c r="I11" s="141">
        <f t="shared" si="0"/>
        <v>0.77430555555554292</v>
      </c>
      <c r="J11" s="140">
        <v>0.1423611111111111</v>
      </c>
      <c r="K11" s="140">
        <v>0</v>
      </c>
      <c r="L11" s="140">
        <v>0</v>
      </c>
      <c r="M11" s="140">
        <v>0</v>
      </c>
      <c r="N11" s="140">
        <v>0</v>
      </c>
      <c r="O11" s="141">
        <f t="shared" si="1"/>
        <v>0</v>
      </c>
      <c r="P11" s="140">
        <v>0</v>
      </c>
      <c r="Q11" s="140">
        <v>0</v>
      </c>
      <c r="R11" s="140">
        <v>8.3333333333333329E-2</v>
      </c>
      <c r="S11" s="140">
        <v>0</v>
      </c>
      <c r="T11" s="141">
        <f t="shared" si="2"/>
        <v>8.3333333333333329E-2</v>
      </c>
      <c r="U11" s="140">
        <f>'stream I '!U11</f>
        <v>0</v>
      </c>
      <c r="V11" s="144">
        <f t="shared" si="3"/>
        <v>0.99999999999998745</v>
      </c>
      <c r="W11" s="272" t="s">
        <v>313</v>
      </c>
    </row>
    <row r="12" spans="1:23" ht="15.75" x14ac:dyDescent="0.25">
      <c r="A12" s="139">
        <v>44019</v>
      </c>
      <c r="B12" s="140">
        <f>Sheet7!D22</f>
        <v>0.27777777777777146</v>
      </c>
      <c r="C12" s="140">
        <f>Sheet7!E22</f>
        <v>206.57638888888889</v>
      </c>
      <c r="D12" s="140">
        <f>Sheet7!F22</f>
        <v>206.875</v>
      </c>
      <c r="E12" s="140">
        <f>Sheet7!G22</f>
        <v>0.29861111111111427</v>
      </c>
      <c r="F12" s="140">
        <f>Sheet7!H22</f>
        <v>206.91666666666666</v>
      </c>
      <c r="G12" s="140">
        <f>Sheet7!I22</f>
        <v>207.20833333333334</v>
      </c>
      <c r="H12" s="140">
        <f>Sheet7!J22</f>
        <v>0.29166666666668561</v>
      </c>
      <c r="I12" s="141">
        <f t="shared" si="0"/>
        <v>0.86805555555557135</v>
      </c>
      <c r="J12" s="140">
        <v>0.13194444444444445</v>
      </c>
      <c r="K12" s="140">
        <v>0</v>
      </c>
      <c r="L12" s="140">
        <v>0</v>
      </c>
      <c r="M12" s="140">
        <v>0</v>
      </c>
      <c r="N12" s="140">
        <v>0</v>
      </c>
      <c r="O12" s="141">
        <f t="shared" si="1"/>
        <v>0</v>
      </c>
      <c r="P12" s="140">
        <v>0</v>
      </c>
      <c r="Q12" s="140">
        <v>0</v>
      </c>
      <c r="R12" s="140">
        <v>0</v>
      </c>
      <c r="S12" s="140">
        <v>0</v>
      </c>
      <c r="T12" s="141">
        <f t="shared" si="2"/>
        <v>0</v>
      </c>
      <c r="U12" s="140">
        <f>'stream I '!U12</f>
        <v>0</v>
      </c>
      <c r="V12" s="144">
        <f t="shared" si="3"/>
        <v>1.0000000000000158</v>
      </c>
      <c r="W12" s="272" t="s">
        <v>294</v>
      </c>
    </row>
    <row r="13" spans="1:23" ht="15.75" x14ac:dyDescent="0.25">
      <c r="A13" s="139">
        <v>44020</v>
      </c>
      <c r="B13" s="140">
        <f>Sheet8!D22</f>
        <v>0.28472222222220012</v>
      </c>
      <c r="C13" s="140">
        <f>Sheet8!E22</f>
        <v>206.58333333333334</v>
      </c>
      <c r="D13" s="140">
        <f>Sheet8!F22</f>
        <v>206.875</v>
      </c>
      <c r="E13" s="140">
        <f>Sheet8!G22</f>
        <v>0.29166666666665719</v>
      </c>
      <c r="F13" s="140">
        <f>Sheet8!H22</f>
        <v>206.91666666666666</v>
      </c>
      <c r="G13" s="140">
        <f>Sheet8!I22</f>
        <v>207.20833333333334</v>
      </c>
      <c r="H13" s="140">
        <f>Sheet8!J22</f>
        <v>0.29166666666668561</v>
      </c>
      <c r="I13" s="141">
        <f t="shared" si="0"/>
        <v>0.86805555555554292</v>
      </c>
      <c r="J13" s="140">
        <v>0.13194444444444445</v>
      </c>
      <c r="K13" s="140">
        <v>0</v>
      </c>
      <c r="L13" s="140">
        <v>0</v>
      </c>
      <c r="M13" s="140">
        <v>0</v>
      </c>
      <c r="N13" s="140">
        <v>0</v>
      </c>
      <c r="O13" s="141">
        <f t="shared" si="1"/>
        <v>0</v>
      </c>
      <c r="P13" s="140">
        <v>0</v>
      </c>
      <c r="Q13" s="140">
        <v>0</v>
      </c>
      <c r="R13" s="140">
        <v>0</v>
      </c>
      <c r="S13" s="140">
        <v>0</v>
      </c>
      <c r="T13" s="141">
        <f t="shared" si="2"/>
        <v>0</v>
      </c>
      <c r="U13" s="140">
        <f>'stream I '!U13</f>
        <v>0</v>
      </c>
      <c r="V13" s="144">
        <f t="shared" si="3"/>
        <v>0.99999999999998734</v>
      </c>
      <c r="W13" s="272" t="s">
        <v>294</v>
      </c>
    </row>
    <row r="14" spans="1:23" ht="15.75" x14ac:dyDescent="0.25">
      <c r="A14" s="139">
        <v>44021</v>
      </c>
      <c r="B14" s="140">
        <f>Sheet9!D22</f>
        <v>0.28819444444442865</v>
      </c>
      <c r="C14" s="140">
        <f>Sheet9!E22</f>
        <v>206.58333333333334</v>
      </c>
      <c r="D14" s="140">
        <f>Sheet9!F22</f>
        <v>206.875</v>
      </c>
      <c r="E14" s="140">
        <f>Sheet9!G22</f>
        <v>0.29166666666665719</v>
      </c>
      <c r="F14" s="140">
        <f>Sheet9!H22</f>
        <v>206.875</v>
      </c>
      <c r="G14" s="140">
        <f>Sheet9!I22</f>
        <v>207.20833333333334</v>
      </c>
      <c r="H14" s="140">
        <f>Sheet9!J22</f>
        <v>0.33333333333334281</v>
      </c>
      <c r="I14" s="141">
        <f t="shared" si="0"/>
        <v>0.91319444444442865</v>
      </c>
      <c r="J14" s="140">
        <v>8.6805555555555566E-2</v>
      </c>
      <c r="K14" s="140">
        <v>0</v>
      </c>
      <c r="L14" s="140">
        <v>0</v>
      </c>
      <c r="M14" s="140">
        <v>0</v>
      </c>
      <c r="N14" s="140">
        <v>0</v>
      </c>
      <c r="O14" s="141">
        <f t="shared" si="1"/>
        <v>0</v>
      </c>
      <c r="P14" s="140">
        <v>0</v>
      </c>
      <c r="Q14" s="140">
        <v>0</v>
      </c>
      <c r="R14" s="140">
        <v>0</v>
      </c>
      <c r="S14" s="140">
        <v>0</v>
      </c>
      <c r="T14" s="141">
        <f t="shared" si="2"/>
        <v>0</v>
      </c>
      <c r="U14" s="140">
        <f>'stream I '!U14</f>
        <v>0</v>
      </c>
      <c r="V14" s="144">
        <f t="shared" si="3"/>
        <v>0.99999999999998423</v>
      </c>
      <c r="W14" s="272" t="s">
        <v>294</v>
      </c>
    </row>
    <row r="15" spans="1:23" ht="15.75" x14ac:dyDescent="0.25">
      <c r="A15" s="139">
        <v>44022</v>
      </c>
      <c r="B15" s="140">
        <f>Sheet10!D22</f>
        <v>0.26736111111111427</v>
      </c>
      <c r="C15" s="140">
        <f>Sheet10!E22</f>
        <v>206.63888888888889</v>
      </c>
      <c r="D15" s="140">
        <f>Sheet10!F22</f>
        <v>206.875</v>
      </c>
      <c r="E15" s="140">
        <f>Sheet10!G22</f>
        <v>0.23611111111111427</v>
      </c>
      <c r="F15" s="140">
        <f>Sheet10!H22</f>
        <v>206.875</v>
      </c>
      <c r="G15" s="140">
        <f>Sheet10!I22</f>
        <v>207.20833333333334</v>
      </c>
      <c r="H15" s="140">
        <f>Sheet10!J22</f>
        <v>0.33333333333334281</v>
      </c>
      <c r="I15" s="141">
        <f t="shared" si="0"/>
        <v>0.83680555555557135</v>
      </c>
      <c r="J15" s="140">
        <v>7.9861111111111105E-2</v>
      </c>
      <c r="K15" s="140">
        <v>0</v>
      </c>
      <c r="L15" s="140">
        <v>0</v>
      </c>
      <c r="M15" s="140">
        <v>0</v>
      </c>
      <c r="N15" s="140">
        <v>4.1666666666666664E-2</v>
      </c>
      <c r="O15" s="141">
        <f t="shared" si="1"/>
        <v>4.1666666666666664E-2</v>
      </c>
      <c r="P15" s="140">
        <v>0</v>
      </c>
      <c r="Q15" s="140">
        <v>0</v>
      </c>
      <c r="R15" s="140">
        <v>0</v>
      </c>
      <c r="S15" s="140">
        <v>4.1666666666666664E-2</v>
      </c>
      <c r="T15" s="141">
        <f t="shared" si="2"/>
        <v>4.1666666666666664E-2</v>
      </c>
      <c r="U15" s="140">
        <f>'stream I '!U15</f>
        <v>0</v>
      </c>
      <c r="V15" s="144">
        <f t="shared" si="3"/>
        <v>1.0000000000000158</v>
      </c>
      <c r="W15" s="272" t="s">
        <v>349</v>
      </c>
    </row>
    <row r="16" spans="1:23" ht="15.75" x14ac:dyDescent="0.25">
      <c r="A16" s="139">
        <v>44023</v>
      </c>
      <c r="B16" s="140">
        <f>Sheet11!D22</f>
        <v>0.28472222222220012</v>
      </c>
      <c r="C16" s="140">
        <f>Sheet9!E24</f>
        <v>0</v>
      </c>
      <c r="D16" s="140">
        <f>Sheet9!F24</f>
        <v>0</v>
      </c>
      <c r="E16" s="140">
        <f>Sheet11!G22</f>
        <v>0.29166666666665719</v>
      </c>
      <c r="F16" s="140">
        <f>Sheet9!H24</f>
        <v>0</v>
      </c>
      <c r="G16" s="140">
        <f>Sheet9!I24</f>
        <v>0</v>
      </c>
      <c r="H16" s="140">
        <f>Sheet11!J22</f>
        <v>0.29166666666668561</v>
      </c>
      <c r="I16" s="141">
        <f t="shared" ref="I16" si="4">B16+E16+H16</f>
        <v>0.86805555555554292</v>
      </c>
      <c r="J16" s="140">
        <v>0.13194444444444445</v>
      </c>
      <c r="K16" s="140">
        <v>0</v>
      </c>
      <c r="L16" s="140">
        <v>0</v>
      </c>
      <c r="M16" s="140">
        <v>0</v>
      </c>
      <c r="N16" s="140">
        <v>0</v>
      </c>
      <c r="O16" s="141">
        <f t="shared" si="1"/>
        <v>0</v>
      </c>
      <c r="P16" s="140">
        <v>0</v>
      </c>
      <c r="Q16" s="140">
        <v>0</v>
      </c>
      <c r="R16" s="140">
        <v>0</v>
      </c>
      <c r="S16" s="140">
        <v>0</v>
      </c>
      <c r="T16" s="141">
        <f t="shared" si="2"/>
        <v>0</v>
      </c>
      <c r="U16" s="140">
        <f>'stream I '!U16</f>
        <v>0</v>
      </c>
      <c r="V16" s="144">
        <f t="shared" si="3"/>
        <v>0.99999999999998734</v>
      </c>
      <c r="W16" s="272" t="s">
        <v>294</v>
      </c>
    </row>
    <row r="17" spans="1:23" ht="15.75" x14ac:dyDescent="0.25">
      <c r="A17" s="139">
        <v>44024</v>
      </c>
      <c r="B17" s="140">
        <f>Sheet12!D22</f>
        <v>0.27083333333331439</v>
      </c>
      <c r="C17" s="140">
        <f>Sheet12!E22</f>
        <v>206.54166666666666</v>
      </c>
      <c r="D17" s="140">
        <f>Sheet12!F22</f>
        <v>206.875</v>
      </c>
      <c r="E17" s="140">
        <f>Sheet12!G22</f>
        <v>0.33333333333334281</v>
      </c>
      <c r="F17" s="140">
        <f>Sheet12!H22</f>
        <v>206.875</v>
      </c>
      <c r="G17" s="140">
        <f>Sheet12!I22</f>
        <v>207.20833333333334</v>
      </c>
      <c r="H17" s="140">
        <f>Sheet12!J22</f>
        <v>0.33333333333334281</v>
      </c>
      <c r="I17" s="141">
        <f t="shared" si="0"/>
        <v>0.9375</v>
      </c>
      <c r="J17" s="140">
        <v>6.25E-2</v>
      </c>
      <c r="K17" s="140">
        <v>0</v>
      </c>
      <c r="L17" s="140">
        <v>0</v>
      </c>
      <c r="M17" s="140">
        <v>0</v>
      </c>
      <c r="N17" s="140">
        <v>0</v>
      </c>
      <c r="O17" s="141">
        <f t="shared" si="1"/>
        <v>0</v>
      </c>
      <c r="P17" s="140">
        <v>0</v>
      </c>
      <c r="Q17" s="140">
        <v>0</v>
      </c>
      <c r="R17" s="140">
        <v>0</v>
      </c>
      <c r="S17" s="140">
        <v>0</v>
      </c>
      <c r="T17" s="141">
        <f t="shared" si="2"/>
        <v>0</v>
      </c>
      <c r="U17" s="140">
        <f>'stream I '!U17</f>
        <v>0</v>
      </c>
      <c r="V17" s="144">
        <f t="shared" si="3"/>
        <v>1</v>
      </c>
      <c r="W17" s="272" t="s">
        <v>336</v>
      </c>
    </row>
    <row r="18" spans="1:23" ht="19.5" customHeight="1" x14ac:dyDescent="0.25">
      <c r="A18" s="139">
        <v>44025</v>
      </c>
      <c r="B18" s="140">
        <f>Sheet13!D22</f>
        <v>0.28819444444442865</v>
      </c>
      <c r="C18" s="140">
        <f>Sheet13!E22</f>
        <v>206.62847222222223</v>
      </c>
      <c r="D18" s="140">
        <f>Sheet13!F22</f>
        <v>206.875</v>
      </c>
      <c r="E18" s="140">
        <f>Sheet13!G22</f>
        <v>0.24652777777777146</v>
      </c>
      <c r="F18" s="140">
        <f>Sheet13!H22</f>
        <v>206.91666666666666</v>
      </c>
      <c r="G18" s="140">
        <f>Sheet13!I22</f>
        <v>207.20833333333334</v>
      </c>
      <c r="H18" s="140">
        <f>Sheet13!J22</f>
        <v>0.29166666666668561</v>
      </c>
      <c r="I18" s="141">
        <f t="shared" si="0"/>
        <v>0.82638888888888573</v>
      </c>
      <c r="J18" s="140">
        <v>0.12847222222222224</v>
      </c>
      <c r="K18" s="140">
        <v>0</v>
      </c>
      <c r="L18" s="140">
        <v>0</v>
      </c>
      <c r="M18" s="140">
        <v>4.5138888888888888E-2</v>
      </c>
      <c r="N18" s="140">
        <v>0</v>
      </c>
      <c r="O18" s="141">
        <f t="shared" si="1"/>
        <v>4.5138888888888888E-2</v>
      </c>
      <c r="P18" s="140">
        <v>0</v>
      </c>
      <c r="Q18" s="140">
        <v>0</v>
      </c>
      <c r="R18" s="140">
        <v>0</v>
      </c>
      <c r="S18" s="140">
        <v>0</v>
      </c>
      <c r="T18" s="141">
        <f t="shared" si="2"/>
        <v>0</v>
      </c>
      <c r="U18" s="140">
        <f>'stream I '!U18</f>
        <v>0</v>
      </c>
      <c r="V18" s="144">
        <f t="shared" si="3"/>
        <v>0.99999999999999678</v>
      </c>
      <c r="W18" s="283" t="s">
        <v>274</v>
      </c>
    </row>
    <row r="19" spans="1:23" ht="30" x14ac:dyDescent="0.25">
      <c r="A19" s="139">
        <v>44026</v>
      </c>
      <c r="B19" s="140">
        <f>Sheet14!D22</f>
        <v>0.25</v>
      </c>
      <c r="C19" s="140">
        <f>Sheet14!E22</f>
        <v>206.58680555555554</v>
      </c>
      <c r="D19" s="140">
        <f>Sheet14!F22</f>
        <v>206.875</v>
      </c>
      <c r="E19" s="140">
        <f>Sheet14!G22</f>
        <v>0.28819444444445708</v>
      </c>
      <c r="F19" s="140">
        <f>Sheet14!H22</f>
        <v>206.91666666666666</v>
      </c>
      <c r="G19" s="140">
        <f>Sheet14!I22</f>
        <v>207.20833333333334</v>
      </c>
      <c r="H19" s="140">
        <f>Sheet14!J22</f>
        <v>0.29166666666668561</v>
      </c>
      <c r="I19" s="141">
        <f t="shared" si="0"/>
        <v>0.82986111111114269</v>
      </c>
      <c r="J19" s="140">
        <v>0.11805555555555557</v>
      </c>
      <c r="K19" s="140">
        <v>0</v>
      </c>
      <c r="L19" s="140">
        <v>0</v>
      </c>
      <c r="M19" s="140">
        <v>0</v>
      </c>
      <c r="N19" s="140">
        <v>0</v>
      </c>
      <c r="O19" s="141">
        <f t="shared" si="1"/>
        <v>0</v>
      </c>
      <c r="P19" s="140">
        <v>0</v>
      </c>
      <c r="Q19" s="140">
        <v>4.1666666666666664E-2</v>
      </c>
      <c r="R19" s="140">
        <v>0</v>
      </c>
      <c r="S19" s="140">
        <v>0</v>
      </c>
      <c r="T19" s="141">
        <f t="shared" si="2"/>
        <v>4.1666666666666664E-2</v>
      </c>
      <c r="U19" s="140">
        <f>'stream I '!U19</f>
        <v>1.0416666666666666E-2</v>
      </c>
      <c r="V19" s="144">
        <f t="shared" si="3"/>
        <v>1.0000000000000315</v>
      </c>
      <c r="W19" s="128" t="s">
        <v>222</v>
      </c>
    </row>
    <row r="20" spans="1:23" ht="45" x14ac:dyDescent="0.25">
      <c r="A20" s="139">
        <v>44027</v>
      </c>
      <c r="B20" s="140">
        <f>Sheet15!D22</f>
        <v>0.13888888888888573</v>
      </c>
      <c r="C20" s="140">
        <f>Sheet14!E22</f>
        <v>206.58680555555554</v>
      </c>
      <c r="D20" s="140">
        <f>Sheet14!F22</f>
        <v>206.875</v>
      </c>
      <c r="E20" s="140">
        <f>Sheet15!G22</f>
        <v>0.1875</v>
      </c>
      <c r="F20" s="140">
        <f>Sheet14!H22</f>
        <v>206.91666666666666</v>
      </c>
      <c r="G20" s="140">
        <f>Sheet14!I22</f>
        <v>207.20833333333334</v>
      </c>
      <c r="H20" s="140">
        <f>Sheet15!J22</f>
        <v>0.14583333333334281</v>
      </c>
      <c r="I20" s="141">
        <f t="shared" si="0"/>
        <v>0.47222222222222854</v>
      </c>
      <c r="J20" s="140">
        <v>8.6805555555555566E-2</v>
      </c>
      <c r="K20" s="140">
        <v>0</v>
      </c>
      <c r="L20" s="140">
        <v>0</v>
      </c>
      <c r="M20" s="140">
        <v>0.20833333333333334</v>
      </c>
      <c r="N20" s="140">
        <v>0</v>
      </c>
      <c r="O20" s="141">
        <f t="shared" si="1"/>
        <v>0.20833333333333334</v>
      </c>
      <c r="P20" s="140">
        <v>0</v>
      </c>
      <c r="Q20" s="140">
        <v>0.18055555555555555</v>
      </c>
      <c r="R20" s="140">
        <v>0</v>
      </c>
      <c r="S20" s="140">
        <v>0</v>
      </c>
      <c r="T20" s="141">
        <f t="shared" si="2"/>
        <v>0.18055555555555555</v>
      </c>
      <c r="U20" s="140">
        <f>'stream I '!U20</f>
        <v>5.2083333333333336E-2</v>
      </c>
      <c r="V20" s="144">
        <f t="shared" si="3"/>
        <v>1.0000000000000064</v>
      </c>
      <c r="W20" s="128" t="s">
        <v>443</v>
      </c>
    </row>
    <row r="21" spans="1:23" ht="15.75" customHeight="1" x14ac:dyDescent="0.25">
      <c r="A21" s="139">
        <v>44028</v>
      </c>
      <c r="B21" s="140">
        <f>Sheet16!D22</f>
        <v>0.16666666666665719</v>
      </c>
      <c r="C21" s="140">
        <f>Sheet16!E22</f>
        <v>206.625</v>
      </c>
      <c r="D21" s="140">
        <f>Sheet16!F22</f>
        <v>206.88888888888889</v>
      </c>
      <c r="E21" s="140">
        <f>Sheet16!G22</f>
        <v>0.26388888888888573</v>
      </c>
      <c r="F21" s="140">
        <f>Sheet16!H22</f>
        <v>206.91319444444446</v>
      </c>
      <c r="G21" s="140">
        <f>Sheet16!I22</f>
        <v>207.20833333333334</v>
      </c>
      <c r="H21" s="140">
        <f>Sheet16!J22</f>
        <v>0.29513888888888573</v>
      </c>
      <c r="I21" s="141">
        <f t="shared" si="0"/>
        <v>0.72569444444442865</v>
      </c>
      <c r="J21" s="140">
        <v>0.11805555555555557</v>
      </c>
      <c r="K21" s="140">
        <v>0</v>
      </c>
      <c r="L21" s="140">
        <v>0</v>
      </c>
      <c r="M21" s="140">
        <v>0</v>
      </c>
      <c r="N21" s="140">
        <v>0</v>
      </c>
      <c r="O21" s="141">
        <f t="shared" si="1"/>
        <v>0</v>
      </c>
      <c r="P21" s="140">
        <v>0</v>
      </c>
      <c r="Q21" s="140">
        <v>0</v>
      </c>
      <c r="R21" s="140">
        <v>0.15625</v>
      </c>
      <c r="S21" s="140">
        <v>0</v>
      </c>
      <c r="T21" s="141">
        <f t="shared" si="2"/>
        <v>0.15625</v>
      </c>
      <c r="U21" s="140">
        <f>'stream I '!U21</f>
        <v>0</v>
      </c>
      <c r="V21" s="144">
        <f t="shared" si="3"/>
        <v>0.99999999999998423</v>
      </c>
      <c r="W21" s="128" t="s">
        <v>458</v>
      </c>
    </row>
    <row r="22" spans="1:23" ht="45" x14ac:dyDescent="0.25">
      <c r="A22" s="139">
        <v>44029</v>
      </c>
      <c r="B22" s="140">
        <f>Sheet17!D22</f>
        <v>0.26736111111111427</v>
      </c>
      <c r="C22" s="140">
        <f>Sheet17!E22</f>
        <v>206.58680555555554</v>
      </c>
      <c r="D22" s="140">
        <f>Sheet17!F22</f>
        <v>206.875</v>
      </c>
      <c r="E22" s="140">
        <f>Sheet17!G22</f>
        <v>0.28819444444445708</v>
      </c>
      <c r="F22" s="140">
        <f>Sheet17!H22</f>
        <v>207.02083333333334</v>
      </c>
      <c r="G22" s="140">
        <f>Sheet17!I22</f>
        <v>207.20833333333334</v>
      </c>
      <c r="H22" s="140">
        <f>Sheet17!J22</f>
        <v>0.1875</v>
      </c>
      <c r="I22" s="141">
        <f t="shared" si="0"/>
        <v>0.74305555555557135</v>
      </c>
      <c r="J22" s="140">
        <v>6.9444444444444434E-2</v>
      </c>
      <c r="K22" s="140">
        <v>4.1666666666666664E-2</v>
      </c>
      <c r="L22" s="140">
        <v>0</v>
      </c>
      <c r="M22" s="140">
        <v>0</v>
      </c>
      <c r="N22" s="140">
        <v>0</v>
      </c>
      <c r="O22" s="141">
        <f t="shared" si="1"/>
        <v>4.1666666666666664E-2</v>
      </c>
      <c r="P22" s="140">
        <v>0</v>
      </c>
      <c r="Q22" s="140">
        <v>0.14583333333333334</v>
      </c>
      <c r="R22" s="140">
        <v>0</v>
      </c>
      <c r="S22" s="140">
        <v>0</v>
      </c>
      <c r="T22" s="141">
        <f t="shared" si="2"/>
        <v>0.14583333333333334</v>
      </c>
      <c r="U22" s="140">
        <f>'stream I '!U22</f>
        <v>0</v>
      </c>
      <c r="V22" s="144">
        <f t="shared" si="3"/>
        <v>1.0000000000000158</v>
      </c>
      <c r="W22" s="305" t="s">
        <v>458</v>
      </c>
    </row>
    <row r="23" spans="1:23" ht="15.75" x14ac:dyDescent="0.25">
      <c r="A23" s="139">
        <v>44030</v>
      </c>
      <c r="B23" s="140">
        <f>Sheet18!D22</f>
        <v>0.29513888888888573</v>
      </c>
      <c r="C23" s="140">
        <f>Sheet18!E22</f>
        <v>206.58333333333334</v>
      </c>
      <c r="D23" s="140">
        <f>Sheet18!F22</f>
        <v>206.875</v>
      </c>
      <c r="E23" s="140">
        <f>Sheet18!G22</f>
        <v>0.29166666666665719</v>
      </c>
      <c r="F23" s="140">
        <f>Sheet18!H22</f>
        <v>206.91666666666666</v>
      </c>
      <c r="G23" s="140">
        <f>Sheet18!I22</f>
        <v>207.20833333333334</v>
      </c>
      <c r="H23" s="140">
        <f>Sheet18!J22</f>
        <v>0.29166666666668561</v>
      </c>
      <c r="I23" s="141">
        <f t="shared" si="0"/>
        <v>0.87847222222222854</v>
      </c>
      <c r="J23" s="140">
        <v>7.9861111111111105E-2</v>
      </c>
      <c r="K23" s="140">
        <v>0</v>
      </c>
      <c r="L23" s="140">
        <v>4.1666666666666664E-2</v>
      </c>
      <c r="M23" s="140">
        <v>0</v>
      </c>
      <c r="N23" s="140">
        <v>0</v>
      </c>
      <c r="O23" s="141">
        <f t="shared" si="1"/>
        <v>4.1666666666666664E-2</v>
      </c>
      <c r="P23" s="140">
        <v>0</v>
      </c>
      <c r="Q23" s="140">
        <v>0</v>
      </c>
      <c r="R23" s="140">
        <v>0</v>
      </c>
      <c r="S23" s="140">
        <v>0</v>
      </c>
      <c r="T23" s="141">
        <f t="shared" si="2"/>
        <v>0</v>
      </c>
      <c r="U23" s="140">
        <f>'stream I '!U23</f>
        <v>0</v>
      </c>
      <c r="V23" s="144">
        <f t="shared" si="3"/>
        <v>1.0000000000000062</v>
      </c>
      <c r="W23" s="226"/>
    </row>
    <row r="24" spans="1:23" ht="15.75" x14ac:dyDescent="0.25">
      <c r="A24" s="139">
        <v>44031</v>
      </c>
      <c r="B24" s="140">
        <f>Sheet19!D22</f>
        <v>0.27083333333331439</v>
      </c>
      <c r="C24" s="140">
        <f>Sheet18!E22</f>
        <v>206.58333333333334</v>
      </c>
      <c r="D24" s="140">
        <f>Sheet18!F22</f>
        <v>206.875</v>
      </c>
      <c r="E24" s="140">
        <f>Sheet19!G22</f>
        <v>0.27083333333334281</v>
      </c>
      <c r="F24" s="140">
        <f>Sheet18!H22</f>
        <v>206.91666666666666</v>
      </c>
      <c r="G24" s="140">
        <f>Sheet18!I22</f>
        <v>207.20833333333334</v>
      </c>
      <c r="H24" s="140">
        <f>Sheet19!J22</f>
        <v>0.29861111111111427</v>
      </c>
      <c r="I24" s="141">
        <f t="shared" si="0"/>
        <v>0.84027777777777146</v>
      </c>
      <c r="J24" s="140">
        <v>0.11805555555555557</v>
      </c>
      <c r="K24" s="140">
        <v>0</v>
      </c>
      <c r="L24" s="140">
        <v>0</v>
      </c>
      <c r="M24" s="140">
        <v>4.1666666666666664E-2</v>
      </c>
      <c r="N24" s="140">
        <v>0</v>
      </c>
      <c r="O24" s="141">
        <f t="shared" si="1"/>
        <v>4.1666666666666664E-2</v>
      </c>
      <c r="P24" s="140">
        <v>0</v>
      </c>
      <c r="Q24" s="140">
        <v>0</v>
      </c>
      <c r="R24" s="140">
        <v>0</v>
      </c>
      <c r="S24" s="140">
        <v>0</v>
      </c>
      <c r="T24" s="141">
        <f t="shared" si="2"/>
        <v>0</v>
      </c>
      <c r="U24" s="140">
        <f>'stream I '!U24</f>
        <v>0</v>
      </c>
      <c r="V24" s="144">
        <f t="shared" si="3"/>
        <v>0.99999999999999367</v>
      </c>
      <c r="W24" s="227"/>
    </row>
    <row r="25" spans="1:23" ht="15.75" customHeight="1" x14ac:dyDescent="0.25">
      <c r="A25" s="139">
        <v>44032</v>
      </c>
      <c r="B25" s="140">
        <f>Sheet20!D22</f>
        <v>0.23958333333331439</v>
      </c>
      <c r="C25" s="140">
        <f>Sheet20!E22</f>
        <v>206.69097222222223</v>
      </c>
      <c r="D25" s="140">
        <f>Sheet20!F22</f>
        <v>206.875</v>
      </c>
      <c r="E25" s="140">
        <f>Sheet20!G22</f>
        <v>0.18402777777777146</v>
      </c>
      <c r="F25" s="140">
        <f>Sheet20!H22</f>
        <v>206.90972222222223</v>
      </c>
      <c r="G25" s="140">
        <f>Sheet20!I22</f>
        <v>207.20833333333334</v>
      </c>
      <c r="H25" s="140">
        <f>Sheet20!J22</f>
        <v>0.29861111111111427</v>
      </c>
      <c r="I25" s="141">
        <f t="shared" si="0"/>
        <v>0.72222222222220012</v>
      </c>
      <c r="J25" s="140">
        <v>0.1111111111111111</v>
      </c>
      <c r="K25" s="140">
        <v>0</v>
      </c>
      <c r="L25" s="140">
        <v>0</v>
      </c>
      <c r="M25" s="140">
        <v>0</v>
      </c>
      <c r="N25" s="140">
        <v>0</v>
      </c>
      <c r="O25" s="141">
        <f t="shared" si="1"/>
        <v>0</v>
      </c>
      <c r="P25" s="140">
        <v>0</v>
      </c>
      <c r="Q25" s="140">
        <v>0</v>
      </c>
      <c r="R25" s="140">
        <v>0</v>
      </c>
      <c r="S25" s="140">
        <v>0</v>
      </c>
      <c r="T25" s="141">
        <f t="shared" si="2"/>
        <v>0</v>
      </c>
      <c r="U25" s="140">
        <f>'stream I '!U25</f>
        <v>0.16666666666666666</v>
      </c>
      <c r="V25" s="144">
        <f t="shared" si="3"/>
        <v>0.99999999999997791</v>
      </c>
      <c r="W25" s="307" t="s">
        <v>222</v>
      </c>
    </row>
    <row r="26" spans="1:23" ht="15.75" x14ac:dyDescent="0.25">
      <c r="A26" s="139">
        <v>44033</v>
      </c>
      <c r="B26" s="140">
        <f>Sheet21!D22</f>
        <v>0.14236111111111427</v>
      </c>
      <c r="C26" s="140">
        <f>Sheet21!E22</f>
        <v>206.60416666666666</v>
      </c>
      <c r="D26" s="140">
        <f>Sheet21!F22</f>
        <v>206.875</v>
      </c>
      <c r="E26" s="140">
        <f>Sheet21!G22</f>
        <v>0.27083333333334281</v>
      </c>
      <c r="F26" s="140">
        <f>Sheet21!H22</f>
        <v>206.96527777777777</v>
      </c>
      <c r="G26" s="140">
        <f>Sheet21!I22</f>
        <v>207.20833333333334</v>
      </c>
      <c r="H26" s="140">
        <f>Sheet21!J22</f>
        <v>0.24305555555557135</v>
      </c>
      <c r="I26" s="141">
        <f t="shared" si="0"/>
        <v>0.65625000000002842</v>
      </c>
      <c r="J26" s="140">
        <v>0.18402777777777779</v>
      </c>
      <c r="K26" s="140">
        <v>0</v>
      </c>
      <c r="L26" s="140">
        <v>0</v>
      </c>
      <c r="M26" s="140">
        <v>0.15972222222222224</v>
      </c>
      <c r="N26" s="140">
        <v>0</v>
      </c>
      <c r="O26" s="141">
        <f t="shared" si="1"/>
        <v>0.15972222222222224</v>
      </c>
      <c r="P26" s="140">
        <v>0</v>
      </c>
      <c r="Q26" s="140">
        <v>0</v>
      </c>
      <c r="R26" s="140">
        <v>0</v>
      </c>
      <c r="S26" s="140">
        <v>0</v>
      </c>
      <c r="T26" s="141">
        <f t="shared" si="2"/>
        <v>0</v>
      </c>
      <c r="U26" s="140">
        <f>'stream I '!U26</f>
        <v>0</v>
      </c>
      <c r="V26" s="144">
        <f t="shared" si="3"/>
        <v>1.0000000000000284</v>
      </c>
    </row>
    <row r="27" spans="1:23" ht="15.75" x14ac:dyDescent="0.25">
      <c r="A27" s="139">
        <v>44034</v>
      </c>
      <c r="B27" s="140">
        <f>Sheet22!D22</f>
        <v>0.24305555555554292</v>
      </c>
      <c r="C27" s="140">
        <f>Sheet22!E22</f>
        <v>206.58333333333334</v>
      </c>
      <c r="D27" s="140">
        <f>Sheet22!F22</f>
        <v>206.875</v>
      </c>
      <c r="E27" s="140">
        <f>Sheet22!G22</f>
        <v>0.29166666666665719</v>
      </c>
      <c r="F27" s="140">
        <f>Sheet22!H22</f>
        <v>206.9375</v>
      </c>
      <c r="G27" s="140">
        <f>Sheet22!I22</f>
        <v>207.20833333333334</v>
      </c>
      <c r="H27" s="140">
        <f>Sheet22!J22</f>
        <v>0.27083333333334281</v>
      </c>
      <c r="I27" s="141">
        <f t="shared" si="0"/>
        <v>0.80555555555554292</v>
      </c>
      <c r="J27" s="140">
        <v>0.125</v>
      </c>
      <c r="K27" s="140">
        <v>6.9444444444444434E-2</v>
      </c>
      <c r="L27" s="140">
        <v>0</v>
      </c>
      <c r="M27" s="140">
        <v>0</v>
      </c>
      <c r="N27" s="140">
        <v>0</v>
      </c>
      <c r="O27" s="141">
        <f t="shared" si="1"/>
        <v>6.9444444444444434E-2</v>
      </c>
      <c r="P27" s="140">
        <v>0</v>
      </c>
      <c r="Q27" s="140">
        <v>0</v>
      </c>
      <c r="R27" s="140">
        <v>0</v>
      </c>
      <c r="S27" s="140">
        <v>0</v>
      </c>
      <c r="T27" s="141">
        <f t="shared" si="2"/>
        <v>0</v>
      </c>
      <c r="U27" s="140">
        <f>'stream I '!U27</f>
        <v>0</v>
      </c>
      <c r="V27" s="144">
        <f t="shared" si="3"/>
        <v>0.99999999999998734</v>
      </c>
      <c r="W27" s="148"/>
    </row>
    <row r="28" spans="1:23" ht="15.75" x14ac:dyDescent="0.25">
      <c r="A28" s="139">
        <v>44035</v>
      </c>
      <c r="B28" s="140">
        <f>Sheet23!D22</f>
        <v>0.16666666666668561</v>
      </c>
      <c r="C28" s="140">
        <f>Sheet23!E22</f>
        <v>206.61458333333334</v>
      </c>
      <c r="D28" s="140">
        <f>Sheet23!F22</f>
        <v>206.875</v>
      </c>
      <c r="E28" s="140">
        <f>Sheet23!G22</f>
        <v>0.26041666666665719</v>
      </c>
      <c r="F28" s="140">
        <f>Sheet23!H22</f>
        <v>206.91666666666666</v>
      </c>
      <c r="G28" s="140">
        <f>Sheet23!I22</f>
        <v>207.20833333333334</v>
      </c>
      <c r="H28" s="140">
        <f>Sheet23!J22</f>
        <v>0.29166666666668561</v>
      </c>
      <c r="I28" s="141">
        <f t="shared" si="0"/>
        <v>0.71875000000002842</v>
      </c>
      <c r="J28" s="140">
        <v>0.14583333333333334</v>
      </c>
      <c r="K28" s="140">
        <v>0</v>
      </c>
      <c r="L28" s="140">
        <v>9.0277777777777776E-2</v>
      </c>
      <c r="M28" s="140">
        <v>0</v>
      </c>
      <c r="N28" s="140">
        <v>0</v>
      </c>
      <c r="O28" s="141">
        <f t="shared" si="1"/>
        <v>9.0277777777777776E-2</v>
      </c>
      <c r="P28" s="140">
        <v>4.5138888888888888E-2</v>
      </c>
      <c r="Q28" s="140">
        <v>0</v>
      </c>
      <c r="R28" s="140">
        <v>0</v>
      </c>
      <c r="S28" s="140">
        <v>0</v>
      </c>
      <c r="T28" s="141">
        <f t="shared" si="2"/>
        <v>4.5138888888888888E-2</v>
      </c>
      <c r="U28" s="140">
        <f>'stream I '!U28</f>
        <v>0</v>
      </c>
      <c r="V28" s="144">
        <f t="shared" si="3"/>
        <v>1.0000000000000284</v>
      </c>
      <c r="W28" s="128" t="s">
        <v>608</v>
      </c>
    </row>
    <row r="29" spans="1:23" ht="15.75" x14ac:dyDescent="0.25">
      <c r="A29" s="139">
        <v>44036</v>
      </c>
      <c r="B29" s="140">
        <f>Sheet24!D22</f>
        <v>0.15625</v>
      </c>
      <c r="C29" s="140">
        <f>Sheet24!E22</f>
        <v>206.59027777777777</v>
      </c>
      <c r="D29" s="140">
        <f>Sheet24!F22</f>
        <v>206.875</v>
      </c>
      <c r="E29" s="140">
        <f>Sheet24!G22</f>
        <v>0.28472222222222854</v>
      </c>
      <c r="F29" s="140">
        <f>Sheet24!H22</f>
        <v>206.91319444444446</v>
      </c>
      <c r="G29" s="140">
        <f>Sheet24!I22</f>
        <v>207.20833333333334</v>
      </c>
      <c r="H29" s="140">
        <f>Sheet24!J22</f>
        <v>0.29513888888888573</v>
      </c>
      <c r="I29" s="141">
        <f t="shared" si="0"/>
        <v>0.73611111111111427</v>
      </c>
      <c r="J29" s="140">
        <v>0.15972222222222224</v>
      </c>
      <c r="K29" s="140">
        <v>0</v>
      </c>
      <c r="L29" s="140">
        <v>0</v>
      </c>
      <c r="M29" s="140">
        <v>0.10416666666666667</v>
      </c>
      <c r="N29" s="140">
        <v>0</v>
      </c>
      <c r="O29" s="141">
        <f t="shared" si="1"/>
        <v>0.10416666666666667</v>
      </c>
      <c r="P29" s="140">
        <v>0</v>
      </c>
      <c r="Q29" s="140">
        <v>0</v>
      </c>
      <c r="R29" s="140">
        <v>0</v>
      </c>
      <c r="S29" s="140">
        <v>0</v>
      </c>
      <c r="T29" s="141">
        <f t="shared" si="2"/>
        <v>0</v>
      </c>
      <c r="U29" s="140">
        <f>'stream I '!U29</f>
        <v>0</v>
      </c>
      <c r="V29" s="144">
        <f t="shared" si="3"/>
        <v>1.0000000000000031</v>
      </c>
      <c r="W29" s="300"/>
    </row>
    <row r="30" spans="1:23" ht="30" x14ac:dyDescent="0.25">
      <c r="A30" s="139">
        <v>44037</v>
      </c>
      <c r="B30" s="140">
        <f>Sheet25!D22</f>
        <v>0.25</v>
      </c>
      <c r="C30" s="140">
        <f>Sheet25!E22</f>
        <v>206.58333333333334</v>
      </c>
      <c r="D30" s="140">
        <f>Sheet25!F22</f>
        <v>206.875</v>
      </c>
      <c r="E30" s="140">
        <f>Sheet25!G22</f>
        <v>0.29166666666665719</v>
      </c>
      <c r="F30" s="140">
        <f>Sheet25!H22</f>
        <v>206.92013888888889</v>
      </c>
      <c r="G30" s="140">
        <f>Sheet25!I22</f>
        <v>207.20833333333334</v>
      </c>
      <c r="H30" s="140">
        <f>Sheet25!J22</f>
        <v>0.28819444444445708</v>
      </c>
      <c r="I30" s="141">
        <f t="shared" si="0"/>
        <v>0.82986111111111427</v>
      </c>
      <c r="J30" s="140">
        <v>6.5972222222222224E-2</v>
      </c>
      <c r="K30" s="140">
        <v>0</v>
      </c>
      <c r="L30" s="140">
        <v>0</v>
      </c>
      <c r="M30" s="140">
        <v>0</v>
      </c>
      <c r="N30" s="140">
        <v>0</v>
      </c>
      <c r="O30" s="141">
        <f t="shared" si="1"/>
        <v>0</v>
      </c>
      <c r="P30" s="140">
        <v>0.10416666666666667</v>
      </c>
      <c r="Q30" s="140">
        <v>0</v>
      </c>
      <c r="R30" s="140">
        <v>0</v>
      </c>
      <c r="S30" s="140">
        <v>0</v>
      </c>
      <c r="T30" s="141">
        <f t="shared" si="2"/>
        <v>0.10416666666666667</v>
      </c>
      <c r="U30" s="140">
        <f>'stream I '!U30</f>
        <v>0</v>
      </c>
      <c r="V30" s="144">
        <f t="shared" si="3"/>
        <v>1.0000000000000031</v>
      </c>
      <c r="W30" s="306" t="s">
        <v>609</v>
      </c>
    </row>
    <row r="31" spans="1:23" ht="15.75" x14ac:dyDescent="0.25">
      <c r="A31" s="139">
        <v>44038</v>
      </c>
      <c r="B31" s="140">
        <f>Sheet26!D22</f>
        <v>0.28472222222220012</v>
      </c>
      <c r="C31" s="140">
        <f>Sheet26!E22</f>
        <v>206.57986111111111</v>
      </c>
      <c r="D31" s="140">
        <f>Sheet26!F22</f>
        <v>206.875</v>
      </c>
      <c r="E31" s="140">
        <f>Sheet26!G22</f>
        <v>0.29513888888888573</v>
      </c>
      <c r="F31" s="140">
        <f>Sheet26!H22</f>
        <v>206.875</v>
      </c>
      <c r="G31" s="140">
        <f>Sheet26!I22</f>
        <v>207.20833333333334</v>
      </c>
      <c r="H31" s="140">
        <f>Sheet26!J22</f>
        <v>0.33333333333334281</v>
      </c>
      <c r="I31" s="141">
        <f t="shared" si="0"/>
        <v>0.91319444444442865</v>
      </c>
      <c r="J31" s="140">
        <v>4.5138888888888888E-2</v>
      </c>
      <c r="K31" s="140">
        <v>0</v>
      </c>
      <c r="L31" s="140">
        <v>0</v>
      </c>
      <c r="M31" s="140">
        <v>4.1666666666666664E-2</v>
      </c>
      <c r="N31" s="140">
        <v>0</v>
      </c>
      <c r="O31" s="141">
        <f t="shared" si="1"/>
        <v>4.1666666666666664E-2</v>
      </c>
      <c r="P31" s="140">
        <v>0</v>
      </c>
      <c r="Q31" s="140">
        <v>0</v>
      </c>
      <c r="R31" s="140">
        <v>0</v>
      </c>
      <c r="S31" s="140">
        <v>0</v>
      </c>
      <c r="T31" s="141">
        <f t="shared" si="2"/>
        <v>0</v>
      </c>
      <c r="U31" s="140">
        <f>'stream I '!U31</f>
        <v>0</v>
      </c>
      <c r="V31" s="144">
        <f t="shared" si="3"/>
        <v>0.99999999999998412</v>
      </c>
      <c r="W31" s="128"/>
    </row>
    <row r="32" spans="1:23" ht="29.25" customHeight="1" x14ac:dyDescent="0.25">
      <c r="A32" s="139">
        <v>44039</v>
      </c>
      <c r="B32" s="140">
        <f>Sheet27!D22</f>
        <v>0.25694444444442865</v>
      </c>
      <c r="C32" s="140">
        <f>Sheet27!E22</f>
        <v>206.59027777777777</v>
      </c>
      <c r="D32" s="140">
        <f>Sheet27!F22</f>
        <v>206.875</v>
      </c>
      <c r="E32" s="140">
        <f>Sheet27!G22</f>
        <v>0.28472222222222854</v>
      </c>
      <c r="F32" s="140">
        <f>Sheet27!H22</f>
        <v>206.91666666666666</v>
      </c>
      <c r="G32" s="140">
        <f>Sheet27!I22</f>
        <v>207.20833333333334</v>
      </c>
      <c r="H32" s="140">
        <f>Sheet27!J22</f>
        <v>0.29166666666668561</v>
      </c>
      <c r="I32" s="141">
        <f t="shared" si="0"/>
        <v>0.83333333333334281</v>
      </c>
      <c r="J32" s="140">
        <v>0.11805555555555557</v>
      </c>
      <c r="K32" s="140">
        <v>4.8611111111111112E-2</v>
      </c>
      <c r="L32" s="140">
        <v>0</v>
      </c>
      <c r="M32" s="140">
        <v>0</v>
      </c>
      <c r="N32" s="140">
        <v>0</v>
      </c>
      <c r="O32" s="141">
        <f t="shared" si="1"/>
        <v>4.8611111111111112E-2</v>
      </c>
      <c r="P32" s="140">
        <v>0</v>
      </c>
      <c r="Q32" s="140">
        <v>0</v>
      </c>
      <c r="R32" s="140">
        <v>0</v>
      </c>
      <c r="S32" s="140">
        <v>0</v>
      </c>
      <c r="T32" s="141">
        <f t="shared" si="2"/>
        <v>0</v>
      </c>
      <c r="U32" s="140">
        <f>'stream I '!U32</f>
        <v>0</v>
      </c>
      <c r="V32" s="144">
        <f t="shared" si="3"/>
        <v>1.0000000000000095</v>
      </c>
      <c r="W32" s="128"/>
    </row>
    <row r="33" spans="1:23" ht="15.75" x14ac:dyDescent="0.25">
      <c r="A33" s="139">
        <v>44040</v>
      </c>
      <c r="B33" s="140">
        <f>Sheet28!D22</f>
        <v>0.29166666666665719</v>
      </c>
      <c r="C33" s="140">
        <f>Sheet28!E22</f>
        <v>206.59722222222223</v>
      </c>
      <c r="D33" s="140">
        <f>Sheet28!F22</f>
        <v>206.875</v>
      </c>
      <c r="E33" s="140">
        <f>Sheet28!G22</f>
        <v>0.27777777777777146</v>
      </c>
      <c r="F33" s="140">
        <f>Sheet28!H22</f>
        <v>206.90972222222223</v>
      </c>
      <c r="G33" s="140">
        <f>Sheet28!I22</f>
        <v>207.20833333333334</v>
      </c>
      <c r="H33" s="140">
        <f>Sheet28!J22</f>
        <v>0.29861111111111427</v>
      </c>
      <c r="I33" s="141">
        <f t="shared" si="0"/>
        <v>0.86805555555554292</v>
      </c>
      <c r="J33" s="140">
        <v>9.0277777777777776E-2</v>
      </c>
      <c r="K33" s="140">
        <v>4.1666666666666664E-2</v>
      </c>
      <c r="L33" s="140">
        <v>0</v>
      </c>
      <c r="M33" s="140">
        <v>0</v>
      </c>
      <c r="N33" s="140">
        <v>0</v>
      </c>
      <c r="O33" s="141">
        <f t="shared" si="1"/>
        <v>4.1666666666666664E-2</v>
      </c>
      <c r="P33" s="140">
        <v>0</v>
      </c>
      <c r="Q33" s="140">
        <v>0</v>
      </c>
      <c r="R33" s="140">
        <v>0</v>
      </c>
      <c r="S33" s="140">
        <v>0</v>
      </c>
      <c r="T33" s="141">
        <f t="shared" si="2"/>
        <v>0</v>
      </c>
      <c r="U33" s="140">
        <f>'stream I '!U33</f>
        <v>0</v>
      </c>
      <c r="V33" s="144">
        <f t="shared" si="3"/>
        <v>0.99999999999998734</v>
      </c>
      <c r="W33" s="128"/>
    </row>
    <row r="34" spans="1:23" ht="30" x14ac:dyDescent="0.25">
      <c r="A34" s="139">
        <v>44041</v>
      </c>
      <c r="B34" s="140">
        <f>Sheet29!D22</f>
        <v>0.29166666666665719</v>
      </c>
      <c r="C34" s="140">
        <f>Sheet29!E22</f>
        <v>206.58333333333334</v>
      </c>
      <c r="D34" s="140">
        <f>Sheet29!F22</f>
        <v>206.875</v>
      </c>
      <c r="E34" s="140">
        <f>Sheet29!G22</f>
        <v>0.29166666666665719</v>
      </c>
      <c r="F34" s="140">
        <f>Sheet29!H22</f>
        <v>206.91319444444446</v>
      </c>
      <c r="G34" s="140">
        <f>Sheet29!I22</f>
        <v>207.20833333333334</v>
      </c>
      <c r="H34" s="140">
        <f>Sheet29!J22</f>
        <v>0.29513888888888573</v>
      </c>
      <c r="I34" s="141">
        <f t="shared" si="0"/>
        <v>0.87847222222220012</v>
      </c>
      <c r="J34" s="140">
        <v>2.7777777777777776E-2</v>
      </c>
      <c r="K34" s="140">
        <v>0</v>
      </c>
      <c r="L34" s="140">
        <v>0</v>
      </c>
      <c r="M34" s="140">
        <v>0</v>
      </c>
      <c r="N34" s="140">
        <v>0</v>
      </c>
      <c r="O34" s="141">
        <f t="shared" si="1"/>
        <v>0</v>
      </c>
      <c r="P34" s="140">
        <v>0</v>
      </c>
      <c r="Q34" s="140">
        <v>0</v>
      </c>
      <c r="R34" s="140">
        <v>9.375E-2</v>
      </c>
      <c r="S34" s="140">
        <v>0</v>
      </c>
      <c r="T34" s="141">
        <f t="shared" si="2"/>
        <v>9.375E-2</v>
      </c>
      <c r="U34" s="140">
        <f>'stream I '!U34</f>
        <v>0</v>
      </c>
      <c r="V34" s="144">
        <f t="shared" si="3"/>
        <v>0.99999999999997791</v>
      </c>
      <c r="W34" s="128" t="s">
        <v>610</v>
      </c>
    </row>
    <row r="35" spans="1:23" ht="15.75" x14ac:dyDescent="0.25">
      <c r="A35" s="139">
        <v>44042</v>
      </c>
      <c r="B35" s="140">
        <f>'Sheet 30'!D22</f>
        <v>0.29166666666665719</v>
      </c>
      <c r="C35" s="140">
        <f>Sheet29!E23</f>
        <v>206.63194444444446</v>
      </c>
      <c r="D35" s="140">
        <f>Sheet29!F23</f>
        <v>206.875</v>
      </c>
      <c r="E35" s="140">
        <f>'Sheet 30'!G22</f>
        <v>0.28125</v>
      </c>
      <c r="F35" s="140">
        <f>Sheet29!H23</f>
        <v>206.91666666666666</v>
      </c>
      <c r="G35" s="140">
        <f>Sheet29!I23</f>
        <v>207.20833333333334</v>
      </c>
      <c r="H35" s="140">
        <f>'Sheet 30'!J22</f>
        <v>0.33333333333334281</v>
      </c>
      <c r="I35" s="141">
        <f t="shared" ref="I35" si="5">B35+E35+H35</f>
        <v>0.90625</v>
      </c>
      <c r="J35" s="140">
        <v>9.375E-2</v>
      </c>
      <c r="K35" s="140">
        <v>0</v>
      </c>
      <c r="L35" s="140">
        <v>0</v>
      </c>
      <c r="M35" s="140">
        <v>0</v>
      </c>
      <c r="N35" s="140">
        <v>0</v>
      </c>
      <c r="O35" s="141">
        <f t="shared" si="1"/>
        <v>0</v>
      </c>
      <c r="P35" s="140">
        <v>0</v>
      </c>
      <c r="Q35" s="140">
        <v>0</v>
      </c>
      <c r="R35" s="140">
        <v>0</v>
      </c>
      <c r="S35" s="140">
        <v>0</v>
      </c>
      <c r="T35" s="141">
        <f t="shared" si="2"/>
        <v>0</v>
      </c>
      <c r="U35" s="140">
        <f>'stream I '!U35</f>
        <v>0</v>
      </c>
      <c r="V35" s="144">
        <f t="shared" si="3"/>
        <v>1</v>
      </c>
      <c r="W35" s="128"/>
    </row>
    <row r="36" spans="1:23" ht="15.75" x14ac:dyDescent="0.25">
      <c r="A36" s="139">
        <v>44043</v>
      </c>
      <c r="B36" s="140">
        <f>'Sheet 31'!D22</f>
        <v>0.28472222222222854</v>
      </c>
      <c r="C36" s="140">
        <f>Sheet29!E24</f>
        <v>0</v>
      </c>
      <c r="D36" s="140">
        <f>Sheet29!F24</f>
        <v>0</v>
      </c>
      <c r="E36" s="140">
        <f>'Sheet 31'!G22</f>
        <v>0.29166666666665719</v>
      </c>
      <c r="F36" s="140">
        <f>Sheet29!H24</f>
        <v>0</v>
      </c>
      <c r="G36" s="140">
        <f>Sheet29!I24</f>
        <v>0</v>
      </c>
      <c r="H36" s="140">
        <f>'Sheet 31'!J22</f>
        <v>0.33333333333334281</v>
      </c>
      <c r="I36" s="141">
        <f t="shared" ref="I36" si="6">B36+E36+H36</f>
        <v>0.90972222222222854</v>
      </c>
      <c r="J36" s="140">
        <v>4.8611111111111112E-2</v>
      </c>
      <c r="K36" s="140">
        <v>4.1666666666666664E-2</v>
      </c>
      <c r="L36" s="140">
        <v>0</v>
      </c>
      <c r="M36" s="140">
        <v>0</v>
      </c>
      <c r="N36" s="140">
        <v>0</v>
      </c>
      <c r="O36" s="141">
        <f t="shared" ref="O36" si="7">SUM(K36:N36)</f>
        <v>4.1666666666666664E-2</v>
      </c>
      <c r="P36" s="140">
        <v>0</v>
      </c>
      <c r="Q36" s="140">
        <v>0</v>
      </c>
      <c r="R36" s="140">
        <v>0</v>
      </c>
      <c r="S36" s="140">
        <v>0</v>
      </c>
      <c r="T36" s="141">
        <f t="shared" ref="T36" si="8">SUM(P36:S36)</f>
        <v>0</v>
      </c>
      <c r="U36" s="140">
        <f>'stream I '!U36</f>
        <v>0</v>
      </c>
      <c r="V36" s="144">
        <f t="shared" si="3"/>
        <v>1.0000000000000062</v>
      </c>
      <c r="W36" s="128"/>
    </row>
    <row r="37" spans="1:23" ht="15" customHeight="1" x14ac:dyDescent="0.25">
      <c r="A37" s="129" t="s">
        <v>104</v>
      </c>
      <c r="B37" s="127" t="s">
        <v>13</v>
      </c>
      <c r="C37" s="127"/>
      <c r="D37" s="127"/>
      <c r="E37" s="127"/>
      <c r="F37" s="127"/>
      <c r="G37" s="127"/>
      <c r="H37" s="127" t="s">
        <v>13</v>
      </c>
      <c r="I37" s="149">
        <f>SUM(I6:I36)</f>
        <v>22.715277777777828</v>
      </c>
      <c r="J37" s="149">
        <f t="shared" ref="J37:T37" si="9">SUM(J6:J36)</f>
        <v>5.986076388888887</v>
      </c>
      <c r="K37" s="149">
        <f t="shared" si="9"/>
        <v>0.24309027777777775</v>
      </c>
      <c r="L37" s="149">
        <f t="shared" si="9"/>
        <v>0.13194444444444445</v>
      </c>
      <c r="M37" s="149">
        <f t="shared" si="9"/>
        <v>0.64236111111111105</v>
      </c>
      <c r="N37" s="149">
        <f t="shared" si="9"/>
        <v>4.1666666666666664E-2</v>
      </c>
      <c r="O37" s="149">
        <f t="shared" si="9"/>
        <v>1.0590625000000002</v>
      </c>
      <c r="P37" s="149">
        <f t="shared" si="9"/>
        <v>0.14930555555555555</v>
      </c>
      <c r="Q37" s="149">
        <f t="shared" si="9"/>
        <v>0.48611111111111116</v>
      </c>
      <c r="R37" s="149">
        <f t="shared" si="9"/>
        <v>0.33333333333333331</v>
      </c>
      <c r="S37" s="149">
        <f t="shared" si="9"/>
        <v>4.1666666666666664E-2</v>
      </c>
      <c r="T37" s="149">
        <f t="shared" si="9"/>
        <v>1.0104166666666665</v>
      </c>
      <c r="U37" s="149">
        <f t="shared" ref="U37" si="10">SUM(U6:U35)</f>
        <v>0.22916666666666666</v>
      </c>
      <c r="V37" s="190">
        <f>I37+J37+O37+T37+U37</f>
        <v>31.00000000000005</v>
      </c>
      <c r="W37" s="88"/>
    </row>
    <row r="38" spans="1:23" ht="15.75" x14ac:dyDescent="0.25">
      <c r="B38" s="130"/>
      <c r="C38" s="130"/>
      <c r="D38" s="130"/>
      <c r="E38" s="130"/>
      <c r="F38" s="130"/>
      <c r="G38" s="130"/>
      <c r="H38" s="130"/>
      <c r="I38" s="131"/>
      <c r="J38" s="132"/>
      <c r="K38" s="130"/>
      <c r="L38" s="130"/>
      <c r="M38" s="130"/>
      <c r="N38" s="130"/>
      <c r="O38" s="130"/>
      <c r="P38" s="130"/>
      <c r="Q38" s="130"/>
      <c r="R38" s="130"/>
      <c r="S38" s="130"/>
      <c r="T38" s="133"/>
      <c r="U38" s="133"/>
      <c r="V38" s="235">
        <f>I37+J37+O37+T37+U37</f>
        <v>31.00000000000005</v>
      </c>
    </row>
    <row r="39" spans="1:23" x14ac:dyDescent="0.25">
      <c r="B39" s="130"/>
      <c r="C39" s="130"/>
      <c r="D39" s="130"/>
      <c r="E39" s="130"/>
      <c r="F39" s="130"/>
      <c r="G39" s="130"/>
      <c r="H39" s="130"/>
      <c r="I39" s="131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3" x14ac:dyDescent="0.25"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4"/>
      <c r="N40" s="130"/>
      <c r="O40" s="130"/>
      <c r="P40" s="130"/>
      <c r="Q40" s="130"/>
      <c r="R40" s="130" t="s">
        <v>147</v>
      </c>
      <c r="S40" s="130"/>
      <c r="T40" s="130"/>
      <c r="U40" s="130"/>
      <c r="V40" s="130"/>
    </row>
    <row r="41" spans="1:23" x14ac:dyDescent="0.25">
      <c r="B41" s="130"/>
      <c r="C41" s="130"/>
      <c r="D41" s="130"/>
      <c r="E41" s="130"/>
      <c r="F41" s="130"/>
      <c r="G41" s="130"/>
      <c r="H41" s="130"/>
      <c r="I41" s="135"/>
      <c r="J41" s="135"/>
      <c r="K41" s="135"/>
      <c r="L41" s="135"/>
      <c r="M41" s="135"/>
      <c r="N41" s="135"/>
      <c r="O41" s="136"/>
      <c r="P41" s="135"/>
      <c r="Q41" s="135"/>
      <c r="R41" s="135" t="s">
        <v>105</v>
      </c>
      <c r="S41" s="135"/>
      <c r="T41" s="130"/>
      <c r="U41" s="130"/>
      <c r="V41" s="130"/>
    </row>
    <row r="42" spans="1:23" ht="15.75" x14ac:dyDescent="0.25">
      <c r="A42" s="137" t="s">
        <v>106</v>
      </c>
      <c r="B42" s="130"/>
      <c r="C42" s="130"/>
      <c r="D42" s="130"/>
      <c r="E42" s="130"/>
      <c r="F42" s="130"/>
      <c r="G42" s="130"/>
      <c r="H42" s="130"/>
      <c r="I42" s="131"/>
      <c r="J42" s="130"/>
      <c r="K42" s="130"/>
      <c r="L42" s="130"/>
      <c r="M42" s="134"/>
      <c r="N42" s="130"/>
      <c r="O42" s="136"/>
      <c r="P42" s="130"/>
      <c r="Q42" s="130"/>
      <c r="R42" s="130"/>
      <c r="S42" s="130"/>
      <c r="T42" s="130"/>
      <c r="U42" s="130"/>
      <c r="V42" s="130"/>
    </row>
    <row r="43" spans="1:23" ht="15.75" x14ac:dyDescent="0.25">
      <c r="A43" s="137" t="s">
        <v>107</v>
      </c>
      <c r="B43" s="130"/>
      <c r="C43" s="130"/>
      <c r="D43" s="130"/>
      <c r="E43" s="130"/>
      <c r="F43" s="130"/>
      <c r="G43" s="130"/>
      <c r="H43" s="130"/>
      <c r="I43" s="131"/>
      <c r="J43" s="130"/>
      <c r="K43" s="130"/>
      <c r="L43" s="130"/>
      <c r="M43" s="130"/>
      <c r="N43" s="130"/>
      <c r="O43" s="136"/>
      <c r="P43" s="130"/>
      <c r="Q43" s="130"/>
      <c r="R43" s="130"/>
      <c r="S43" s="130"/>
      <c r="T43" s="130"/>
      <c r="U43" s="130"/>
      <c r="V43" s="130"/>
    </row>
    <row r="44" spans="1:23" ht="15.75" x14ac:dyDescent="0.25">
      <c r="A44" s="137">
        <v>2</v>
      </c>
      <c r="B44" s="130" t="s">
        <v>148</v>
      </c>
      <c r="C44" s="130"/>
      <c r="D44" s="130"/>
      <c r="E44" s="130"/>
      <c r="F44" s="130"/>
      <c r="G44" s="130"/>
      <c r="H44" s="130"/>
      <c r="I44" s="131"/>
      <c r="J44" s="130"/>
      <c r="K44" s="130"/>
      <c r="L44" s="130"/>
      <c r="M44" s="130"/>
      <c r="N44" s="130"/>
      <c r="O44" s="136"/>
      <c r="P44" s="130"/>
      <c r="Q44" s="130"/>
      <c r="R44" s="130"/>
      <c r="S44" s="130"/>
      <c r="T44" s="130"/>
      <c r="U44" s="130"/>
      <c r="V44" s="130"/>
    </row>
    <row r="45" spans="1:23" ht="15.75" x14ac:dyDescent="0.25">
      <c r="A45" s="137">
        <v>3</v>
      </c>
      <c r="B45" s="130" t="s">
        <v>108</v>
      </c>
      <c r="C45" s="130"/>
      <c r="D45" s="130"/>
      <c r="E45" s="130"/>
      <c r="F45" s="130"/>
      <c r="G45" s="130"/>
      <c r="H45" s="130"/>
      <c r="I45" s="131"/>
      <c r="J45" s="130"/>
      <c r="K45" s="130"/>
      <c r="L45" s="130"/>
      <c r="M45" s="130"/>
      <c r="N45" s="130"/>
      <c r="O45" s="136"/>
      <c r="P45" s="130"/>
      <c r="Q45" s="130"/>
      <c r="R45" s="130"/>
      <c r="S45" s="130"/>
      <c r="T45" s="130"/>
      <c r="U45" s="130"/>
      <c r="V45" s="130"/>
    </row>
    <row r="46" spans="1:23" x14ac:dyDescent="0.25">
      <c r="A46" s="138" t="s">
        <v>109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4"/>
      <c r="P46" s="130"/>
      <c r="Q46" s="130"/>
      <c r="R46" s="130"/>
      <c r="S46" s="130"/>
      <c r="T46" s="130"/>
      <c r="U46" s="130"/>
      <c r="V46" s="130"/>
    </row>
    <row r="47" spans="1:23" ht="15.75" x14ac:dyDescent="0.25">
      <c r="A47" s="137"/>
      <c r="B47" s="130"/>
      <c r="C47" s="130"/>
      <c r="D47" s="130"/>
      <c r="E47" s="131"/>
      <c r="F47" s="130"/>
      <c r="G47" s="130"/>
      <c r="H47" s="130"/>
      <c r="I47" s="130"/>
      <c r="J47" s="130"/>
      <c r="K47" s="136"/>
      <c r="L47" s="130"/>
      <c r="M47" s="130"/>
      <c r="N47" s="130"/>
      <c r="O47" s="130"/>
      <c r="P47" s="130"/>
      <c r="Q47" s="130"/>
    </row>
    <row r="48" spans="1:23" ht="15.75" x14ac:dyDescent="0.25">
      <c r="A48" s="137"/>
      <c r="B48" s="130"/>
      <c r="C48" s="130"/>
      <c r="D48" s="130"/>
      <c r="E48" s="131"/>
      <c r="F48" s="130"/>
      <c r="G48" s="130"/>
      <c r="H48" s="130"/>
      <c r="I48" s="130"/>
      <c r="J48" s="130"/>
      <c r="K48" s="136"/>
      <c r="L48" s="130"/>
      <c r="M48" s="130"/>
      <c r="N48" s="130"/>
      <c r="O48" s="130"/>
      <c r="P48" s="130"/>
      <c r="Q48" s="130"/>
    </row>
    <row r="49" spans="1:17" ht="15.75" x14ac:dyDescent="0.25">
      <c r="A49" s="137"/>
      <c r="B49" s="130"/>
      <c r="C49" s="130"/>
      <c r="D49" s="130"/>
      <c r="E49" s="131"/>
      <c r="F49" s="130"/>
      <c r="G49" s="130"/>
      <c r="H49" s="130"/>
      <c r="I49" s="130"/>
      <c r="J49" s="130"/>
      <c r="K49" s="136"/>
      <c r="L49" s="130"/>
      <c r="M49" s="130"/>
      <c r="N49" s="130"/>
      <c r="O49" s="130"/>
      <c r="P49" s="130"/>
      <c r="Q49" s="130"/>
    </row>
    <row r="50" spans="1:17" x14ac:dyDescent="0.25">
      <c r="A50" s="138"/>
      <c r="B50" s="130"/>
      <c r="C50" s="130"/>
      <c r="D50" s="130"/>
      <c r="E50" s="130"/>
      <c r="F50" s="130"/>
      <c r="G50" s="130"/>
      <c r="H50" s="130"/>
      <c r="I50" s="130"/>
      <c r="J50" s="130"/>
      <c r="K50" s="134"/>
      <c r="L50" s="130"/>
      <c r="M50" s="130"/>
      <c r="N50" s="130"/>
      <c r="O50" s="130"/>
      <c r="P50" s="130"/>
      <c r="Q50" s="130"/>
    </row>
  </sheetData>
  <pageMargins left="0.31496062992125984" right="0.19685039370078741" top="0.23622047244094491" bottom="0.23622047244094491" header="0.31496062992125984" footer="0.31496062992125984"/>
  <pageSetup paperSize="9" scale="61" orientation="landscape" horizontalDpi="180" verticalDpi="18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zoomScale="70" zoomScaleNormal="70" workbookViewId="0">
      <pane ySplit="1" topLeftCell="A19" activePane="bottomLeft" state="frozen"/>
      <selection pane="bottomLeft" activeCell="A2" sqref="A2:W46"/>
    </sheetView>
  </sheetViews>
  <sheetFormatPr defaultRowHeight="15" x14ac:dyDescent="0.25"/>
  <cols>
    <col min="1" max="1" width="16.14062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50"/>
    <col min="22" max="22" width="11.28515625" hidden="1" customWidth="1"/>
    <col min="23" max="23" width="29.140625" customWidth="1"/>
  </cols>
  <sheetData>
    <row r="1" spans="1:23" ht="16.5" thickBot="1" x14ac:dyDescent="0.3">
      <c r="A1" s="119"/>
      <c r="B1" s="120" t="s">
        <v>96</v>
      </c>
      <c r="C1" s="120"/>
      <c r="D1" s="120"/>
      <c r="E1" s="120" t="s">
        <v>97</v>
      </c>
      <c r="F1" s="120"/>
      <c r="G1" s="120"/>
      <c r="H1" s="120" t="s">
        <v>98</v>
      </c>
      <c r="I1" s="121" t="s">
        <v>99</v>
      </c>
      <c r="J1" s="122"/>
      <c r="K1" s="123" t="s">
        <v>100</v>
      </c>
      <c r="L1" s="124" t="s">
        <v>101</v>
      </c>
      <c r="M1" s="124" t="s">
        <v>102</v>
      </c>
      <c r="N1" s="124" t="s">
        <v>103</v>
      </c>
      <c r="O1" s="125" t="s">
        <v>44</v>
      </c>
      <c r="P1" s="124" t="s">
        <v>100</v>
      </c>
      <c r="Q1" s="124" t="s">
        <v>101</v>
      </c>
      <c r="R1" s="124" t="s">
        <v>102</v>
      </c>
      <c r="S1" s="124" t="s">
        <v>103</v>
      </c>
      <c r="T1" s="125" t="s">
        <v>44</v>
      </c>
      <c r="U1" s="143"/>
      <c r="V1" s="143"/>
      <c r="W1" s="126"/>
    </row>
    <row r="2" spans="1:23" ht="22.5" x14ac:dyDescent="0.3">
      <c r="A2" s="105" t="s">
        <v>311</v>
      </c>
      <c r="R2"/>
    </row>
    <row r="3" spans="1:23" ht="21" thickBot="1" x14ac:dyDescent="0.35">
      <c r="A3" s="106" t="s">
        <v>120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R3"/>
    </row>
    <row r="4" spans="1:23" ht="30" x14ac:dyDescent="0.25">
      <c r="A4" s="108" t="s">
        <v>77</v>
      </c>
      <c r="B4" s="109" t="s">
        <v>91</v>
      </c>
      <c r="C4" s="113"/>
      <c r="D4" s="113"/>
      <c r="E4" s="113"/>
      <c r="F4" s="113"/>
      <c r="G4" s="113"/>
      <c r="H4" s="110"/>
      <c r="I4" s="111" t="s">
        <v>13</v>
      </c>
      <c r="J4" s="112" t="s">
        <v>92</v>
      </c>
      <c r="K4" s="113" t="s">
        <v>93</v>
      </c>
      <c r="L4" s="110"/>
      <c r="M4" s="110"/>
      <c r="N4" s="110"/>
      <c r="O4" s="114" t="s">
        <v>13</v>
      </c>
      <c r="P4" s="109" t="s">
        <v>94</v>
      </c>
      <c r="Q4" s="110"/>
      <c r="R4" s="115"/>
      <c r="S4" s="116"/>
      <c r="T4" s="117"/>
      <c r="U4" s="228" t="s">
        <v>181</v>
      </c>
      <c r="V4" s="142"/>
      <c r="W4" s="118" t="s">
        <v>95</v>
      </c>
    </row>
    <row r="5" spans="1:23" ht="16.5" thickBot="1" x14ac:dyDescent="0.3">
      <c r="A5" s="119"/>
      <c r="B5" s="120" t="s">
        <v>96</v>
      </c>
      <c r="C5" s="120"/>
      <c r="D5" s="120"/>
      <c r="E5" s="120" t="s">
        <v>97</v>
      </c>
      <c r="F5" s="120"/>
      <c r="G5" s="120"/>
      <c r="H5" s="120" t="s">
        <v>98</v>
      </c>
      <c r="I5" s="121" t="s">
        <v>99</v>
      </c>
      <c r="J5" s="122"/>
      <c r="K5" s="123" t="s">
        <v>100</v>
      </c>
      <c r="L5" s="124" t="s">
        <v>101</v>
      </c>
      <c r="M5" s="124" t="s">
        <v>102</v>
      </c>
      <c r="N5" s="124" t="s">
        <v>103</v>
      </c>
      <c r="O5" s="125" t="s">
        <v>44</v>
      </c>
      <c r="P5" s="124" t="s">
        <v>100</v>
      </c>
      <c r="Q5" s="124" t="s">
        <v>101</v>
      </c>
      <c r="R5" s="124" t="s">
        <v>102</v>
      </c>
      <c r="S5" s="124" t="s">
        <v>103</v>
      </c>
      <c r="T5" s="125" t="s">
        <v>44</v>
      </c>
      <c r="U5" s="143"/>
      <c r="V5" s="143"/>
      <c r="W5" s="126"/>
    </row>
    <row r="6" spans="1:23" ht="30" x14ac:dyDescent="0.25">
      <c r="A6" s="139">
        <v>44013</v>
      </c>
      <c r="B6" s="140">
        <f>Sheet1!D23</f>
        <v>0.25</v>
      </c>
      <c r="C6" s="140">
        <f>Sheet1!E23</f>
        <v>206.64236111111111</v>
      </c>
      <c r="D6" s="140">
        <f>Sheet1!F23</f>
        <v>206.75</v>
      </c>
      <c r="E6" s="140">
        <f>Sheet1!G23</f>
        <v>0.10763888888888573</v>
      </c>
      <c r="F6" s="140">
        <f>Sheet1!H23</f>
        <v>206.91666666666666</v>
      </c>
      <c r="G6" s="140">
        <f>Sheet1!I23</f>
        <v>207.20833333333334</v>
      </c>
      <c r="H6" s="140">
        <f>Sheet1!J23</f>
        <v>0.29166666666668561</v>
      </c>
      <c r="I6" s="141">
        <f>B6+E6+H6</f>
        <v>0.64930555555557135</v>
      </c>
      <c r="J6" s="140">
        <v>0.13194444444444445</v>
      </c>
      <c r="K6" s="140">
        <v>0</v>
      </c>
      <c r="L6" s="140">
        <v>0</v>
      </c>
      <c r="M6" s="140">
        <v>0.21875</v>
      </c>
      <c r="N6" s="140">
        <v>0</v>
      </c>
      <c r="O6" s="141">
        <f>SUM(K6:N6)</f>
        <v>0.21875</v>
      </c>
      <c r="P6" s="140">
        <v>0</v>
      </c>
      <c r="Q6" s="140">
        <v>0</v>
      </c>
      <c r="R6" s="140">
        <v>0</v>
      </c>
      <c r="S6" s="140">
        <v>0</v>
      </c>
      <c r="T6" s="141">
        <f t="shared" ref="T6:T9" si="0">SUM(P6:S6)</f>
        <v>0</v>
      </c>
      <c r="U6" s="140">
        <f>'stream I '!U6</f>
        <v>0</v>
      </c>
      <c r="V6" s="144">
        <f>I6+O6+J6+T6+U6</f>
        <v>1.0000000000000158</v>
      </c>
      <c r="W6" s="128" t="s">
        <v>272</v>
      </c>
    </row>
    <row r="7" spans="1:23" ht="30" x14ac:dyDescent="0.25">
      <c r="A7" s="139">
        <v>44014</v>
      </c>
      <c r="B7" s="140">
        <f>Sheet2!D23</f>
        <v>0</v>
      </c>
      <c r="C7" s="140">
        <f>Sheet2!E23</f>
        <v>0</v>
      </c>
      <c r="D7" s="140">
        <f>Sheet2!F23</f>
        <v>0</v>
      </c>
      <c r="E7" s="140">
        <f>Sheet2!G23</f>
        <v>0</v>
      </c>
      <c r="F7" s="140">
        <f>Sheet2!H23</f>
        <v>0</v>
      </c>
      <c r="G7" s="140">
        <f>Sheet2!I23</f>
        <v>0</v>
      </c>
      <c r="H7" s="140">
        <f>Sheet2!J23</f>
        <v>0</v>
      </c>
      <c r="I7" s="141">
        <f t="shared" ref="I7:I34" si="1">B7+E7+H7</f>
        <v>0</v>
      </c>
      <c r="J7" s="140">
        <v>0.99998842592592585</v>
      </c>
      <c r="K7" s="140">
        <v>1.1574074074074073E-5</v>
      </c>
      <c r="L7" s="140">
        <v>0</v>
      </c>
      <c r="M7" s="140">
        <v>0</v>
      </c>
      <c r="N7" s="140">
        <v>0</v>
      </c>
      <c r="O7" s="141">
        <f t="shared" ref="O7:O34" si="2">SUM(K7:N7)</f>
        <v>1.1574074074074073E-5</v>
      </c>
      <c r="P7" s="140">
        <v>0</v>
      </c>
      <c r="Q7" s="140">
        <v>0</v>
      </c>
      <c r="R7" s="140">
        <v>0</v>
      </c>
      <c r="S7" s="140">
        <v>0</v>
      </c>
      <c r="T7" s="141">
        <f t="shared" si="0"/>
        <v>0</v>
      </c>
      <c r="U7" s="140">
        <f>'stream I '!U7</f>
        <v>0</v>
      </c>
      <c r="V7" s="144">
        <f t="shared" ref="V7:V36" si="3">I7+O7+J7+T7+U7</f>
        <v>0.99999999999999989</v>
      </c>
      <c r="W7" s="272" t="s">
        <v>295</v>
      </c>
    </row>
    <row r="8" spans="1:23" ht="30" x14ac:dyDescent="0.25">
      <c r="A8" s="139">
        <v>44015</v>
      </c>
      <c r="B8" s="140">
        <f>Sheet3!D23</f>
        <v>0</v>
      </c>
      <c r="C8" s="140">
        <f>Sheet3!E23</f>
        <v>0</v>
      </c>
      <c r="D8" s="140">
        <f>Sheet3!F23</f>
        <v>0</v>
      </c>
      <c r="E8" s="140">
        <f>Sheet3!G23</f>
        <v>0</v>
      </c>
      <c r="F8" s="140">
        <f>Sheet3!H23</f>
        <v>0</v>
      </c>
      <c r="G8" s="140">
        <f>Sheet3!I23</f>
        <v>0</v>
      </c>
      <c r="H8" s="140">
        <f>Sheet3!J23</f>
        <v>0</v>
      </c>
      <c r="I8" s="141">
        <f t="shared" si="1"/>
        <v>0</v>
      </c>
      <c r="J8" s="140">
        <v>0.99998842592592585</v>
      </c>
      <c r="K8" s="140">
        <v>1.1574074074074073E-5</v>
      </c>
      <c r="L8" s="140">
        <v>0</v>
      </c>
      <c r="M8" s="140">
        <v>0</v>
      </c>
      <c r="N8" s="140">
        <v>0</v>
      </c>
      <c r="O8" s="141">
        <f t="shared" si="2"/>
        <v>1.1574074074074073E-5</v>
      </c>
      <c r="P8" s="140">
        <v>0</v>
      </c>
      <c r="Q8" s="140">
        <v>0</v>
      </c>
      <c r="R8" s="140">
        <v>0</v>
      </c>
      <c r="S8" s="140">
        <v>0</v>
      </c>
      <c r="T8" s="141">
        <f t="shared" si="0"/>
        <v>0</v>
      </c>
      <c r="U8" s="140">
        <f>'stream I '!U8</f>
        <v>0</v>
      </c>
      <c r="V8" s="144">
        <f t="shared" si="3"/>
        <v>0.99999999999999989</v>
      </c>
      <c r="W8" s="272" t="s">
        <v>295</v>
      </c>
    </row>
    <row r="9" spans="1:23" ht="30" x14ac:dyDescent="0.25">
      <c r="A9" s="139">
        <v>44016</v>
      </c>
      <c r="B9" s="140">
        <f>Sheet4!D23</f>
        <v>0</v>
      </c>
      <c r="C9" s="140">
        <f>Sheet4!E23</f>
        <v>0</v>
      </c>
      <c r="D9" s="140">
        <f>Sheet4!F23</f>
        <v>0</v>
      </c>
      <c r="E9" s="140">
        <f>Sheet4!G23</f>
        <v>0</v>
      </c>
      <c r="F9" s="140">
        <f>Sheet4!H23</f>
        <v>0</v>
      </c>
      <c r="G9" s="140">
        <f>Sheet4!I23</f>
        <v>0</v>
      </c>
      <c r="H9" s="140">
        <f>Sheet4!J23</f>
        <v>0</v>
      </c>
      <c r="I9" s="141">
        <f t="shared" si="1"/>
        <v>0</v>
      </c>
      <c r="J9" s="140">
        <v>0.99998842592592585</v>
      </c>
      <c r="K9" s="140">
        <v>1.1574074074074073E-5</v>
      </c>
      <c r="L9" s="140">
        <v>0</v>
      </c>
      <c r="M9" s="140">
        <v>0</v>
      </c>
      <c r="N9" s="140">
        <v>0</v>
      </c>
      <c r="O9" s="141">
        <f t="shared" si="2"/>
        <v>1.1574074074074073E-5</v>
      </c>
      <c r="P9" s="140">
        <v>0</v>
      </c>
      <c r="Q9" s="140">
        <v>0</v>
      </c>
      <c r="R9" s="140">
        <v>0</v>
      </c>
      <c r="S9" s="140">
        <v>0</v>
      </c>
      <c r="T9" s="141">
        <f t="shared" si="0"/>
        <v>0</v>
      </c>
      <c r="U9" s="140">
        <f>'stream I '!U9</f>
        <v>0</v>
      </c>
      <c r="V9" s="144">
        <f t="shared" si="3"/>
        <v>0.99999999999999989</v>
      </c>
      <c r="W9" s="272" t="s">
        <v>295</v>
      </c>
    </row>
    <row r="10" spans="1:23" ht="31.5" x14ac:dyDescent="0.25">
      <c r="A10" s="139">
        <v>44017</v>
      </c>
      <c r="B10" s="140">
        <f>Sheet5!D23</f>
        <v>0.22916666666665719</v>
      </c>
      <c r="C10" s="140">
        <f>Sheet5!E23</f>
        <v>206.58333333333334</v>
      </c>
      <c r="D10" s="140">
        <f>Sheet5!F23</f>
        <v>206.875</v>
      </c>
      <c r="E10" s="140">
        <f>Sheet5!G23</f>
        <v>0.29166666666665719</v>
      </c>
      <c r="F10" s="140">
        <f>Sheet5!H23</f>
        <v>206.91666666666666</v>
      </c>
      <c r="G10" s="140">
        <f>Sheet5!I23</f>
        <v>207.20833333333334</v>
      </c>
      <c r="H10" s="140">
        <f>Sheet5!J23</f>
        <v>0.29166666666668561</v>
      </c>
      <c r="I10" s="141">
        <f t="shared" si="1"/>
        <v>0.8125</v>
      </c>
      <c r="J10" s="140">
        <v>0.14583333333333334</v>
      </c>
      <c r="K10" s="140">
        <v>0</v>
      </c>
      <c r="L10" s="140">
        <v>0</v>
      </c>
      <c r="M10" s="140">
        <v>4.1666666666666664E-2</v>
      </c>
      <c r="N10" s="140">
        <v>0</v>
      </c>
      <c r="O10" s="141">
        <f t="shared" si="2"/>
        <v>4.1666666666666664E-2</v>
      </c>
      <c r="P10" s="140">
        <v>0</v>
      </c>
      <c r="Q10" s="140">
        <v>0</v>
      </c>
      <c r="R10" s="140">
        <v>0</v>
      </c>
      <c r="S10" s="140">
        <v>0</v>
      </c>
      <c r="T10" s="141">
        <f>SUM(P10:S10)</f>
        <v>0</v>
      </c>
      <c r="U10" s="140">
        <f>'stream I '!U10</f>
        <v>0</v>
      </c>
      <c r="V10" s="144">
        <f t="shared" si="3"/>
        <v>1</v>
      </c>
      <c r="W10" s="253" t="s">
        <v>274</v>
      </c>
    </row>
    <row r="11" spans="1:23" ht="15.75" x14ac:dyDescent="0.25">
      <c r="A11" s="139">
        <v>44018</v>
      </c>
      <c r="B11" s="140">
        <f>Sheet6!D23</f>
        <v>0.22916666666668561</v>
      </c>
      <c r="C11" s="140">
        <f>Sheet6!E23</f>
        <v>206.59375</v>
      </c>
      <c r="D11" s="140">
        <f>Sheet6!F23</f>
        <v>206.875</v>
      </c>
      <c r="E11" s="140">
        <f>Sheet6!G23</f>
        <v>0.28125</v>
      </c>
      <c r="F11" s="140">
        <f>Sheet6!H23</f>
        <v>206.9375</v>
      </c>
      <c r="G11" s="140">
        <f>Sheet6!I23</f>
        <v>207.20833333333334</v>
      </c>
      <c r="H11" s="140">
        <f>Sheet6!J23</f>
        <v>0.27083333333334281</v>
      </c>
      <c r="I11" s="141">
        <f t="shared" si="1"/>
        <v>0.78125000000002842</v>
      </c>
      <c r="J11" s="140">
        <v>0.15625</v>
      </c>
      <c r="K11" s="140">
        <v>0</v>
      </c>
      <c r="L11" s="140">
        <v>0</v>
      </c>
      <c r="M11" s="140">
        <v>6.25E-2</v>
      </c>
      <c r="N11" s="140">
        <v>0</v>
      </c>
      <c r="O11" s="141">
        <f t="shared" si="2"/>
        <v>6.25E-2</v>
      </c>
      <c r="P11" s="140">
        <v>0</v>
      </c>
      <c r="Q11" s="140">
        <v>0</v>
      </c>
      <c r="R11" s="140">
        <v>0</v>
      </c>
      <c r="S11" s="140">
        <v>0</v>
      </c>
      <c r="T11" s="141">
        <f t="shared" ref="T11:T34" si="4">SUM(P11:S11)</f>
        <v>0</v>
      </c>
      <c r="U11" s="140">
        <f>'stream I '!U11</f>
        <v>0</v>
      </c>
      <c r="V11" s="144">
        <f t="shared" si="3"/>
        <v>1.0000000000000284</v>
      </c>
      <c r="W11" s="272" t="s">
        <v>274</v>
      </c>
    </row>
    <row r="12" spans="1:23" ht="15.75" x14ac:dyDescent="0.25">
      <c r="A12" s="139">
        <v>44019</v>
      </c>
      <c r="B12" s="140">
        <f>Sheet7!D23</f>
        <v>0.21527777777777146</v>
      </c>
      <c r="C12" s="140">
        <f>Sheet7!E23</f>
        <v>206.57986111111111</v>
      </c>
      <c r="D12" s="140">
        <f>Sheet7!F23</f>
        <v>206.875</v>
      </c>
      <c r="E12" s="140">
        <f>Sheet7!G23</f>
        <v>0.29513888888888573</v>
      </c>
      <c r="F12" s="140">
        <f>Sheet7!H23</f>
        <v>206.92013888888889</v>
      </c>
      <c r="G12" s="140">
        <f>Sheet7!I23</f>
        <v>207.20833333333334</v>
      </c>
      <c r="H12" s="140">
        <f>Sheet7!J23</f>
        <v>0.28819444444445708</v>
      </c>
      <c r="I12" s="141">
        <f t="shared" si="1"/>
        <v>0.79861111111111427</v>
      </c>
      <c r="J12" s="140">
        <v>0.15972222222222224</v>
      </c>
      <c r="K12" s="140">
        <v>0</v>
      </c>
      <c r="L12" s="140">
        <v>4.1666666666666664E-2</v>
      </c>
      <c r="M12" s="140">
        <v>0</v>
      </c>
      <c r="N12" s="140">
        <v>0</v>
      </c>
      <c r="O12" s="141">
        <f t="shared" si="2"/>
        <v>4.1666666666666664E-2</v>
      </c>
      <c r="P12" s="140">
        <v>0</v>
      </c>
      <c r="Q12" s="140">
        <v>0</v>
      </c>
      <c r="R12" s="140">
        <v>0</v>
      </c>
      <c r="S12" s="140">
        <v>0</v>
      </c>
      <c r="T12" s="141">
        <f t="shared" si="4"/>
        <v>0</v>
      </c>
      <c r="U12" s="140">
        <f>'stream I '!U12</f>
        <v>0</v>
      </c>
      <c r="V12" s="144">
        <f t="shared" si="3"/>
        <v>1.0000000000000031</v>
      </c>
      <c r="W12" s="272" t="s">
        <v>335</v>
      </c>
    </row>
    <row r="13" spans="1:23" ht="15.75" x14ac:dyDescent="0.25">
      <c r="A13" s="139">
        <v>44020</v>
      </c>
      <c r="B13" s="140">
        <f>Sheet8!D23</f>
        <v>0.29166666666665719</v>
      </c>
      <c r="C13" s="140">
        <f>Sheet8!E23</f>
        <v>206</v>
      </c>
      <c r="D13" s="140">
        <f>Sheet8!F23</f>
        <v>206</v>
      </c>
      <c r="E13" s="140">
        <f>Sheet8!G23</f>
        <v>0</v>
      </c>
      <c r="F13" s="140">
        <f>Sheet8!H23</f>
        <v>0</v>
      </c>
      <c r="G13" s="140">
        <f>Sheet8!I23</f>
        <v>0</v>
      </c>
      <c r="H13" s="140">
        <f>Sheet8!J23</f>
        <v>0</v>
      </c>
      <c r="I13" s="141">
        <f t="shared" si="1"/>
        <v>0.29166666666665719</v>
      </c>
      <c r="J13" s="140">
        <v>4.1666666666666664E-2</v>
      </c>
      <c r="K13" s="140">
        <v>0</v>
      </c>
      <c r="L13" s="140">
        <v>0</v>
      </c>
      <c r="M13" s="140">
        <v>0.66666666666666663</v>
      </c>
      <c r="N13" s="140">
        <v>0</v>
      </c>
      <c r="O13" s="141">
        <f t="shared" si="2"/>
        <v>0.66666666666666663</v>
      </c>
      <c r="P13" s="140">
        <v>0</v>
      </c>
      <c r="Q13" s="140">
        <v>0</v>
      </c>
      <c r="R13" s="140">
        <v>0</v>
      </c>
      <c r="S13" s="140">
        <v>0</v>
      </c>
      <c r="T13" s="141">
        <f t="shared" si="4"/>
        <v>0</v>
      </c>
      <c r="U13" s="140">
        <f>'stream I '!U13</f>
        <v>0</v>
      </c>
      <c r="V13" s="144">
        <f t="shared" si="3"/>
        <v>0.99999999999999045</v>
      </c>
      <c r="W13" s="272" t="s">
        <v>334</v>
      </c>
    </row>
    <row r="14" spans="1:23" ht="15.75" x14ac:dyDescent="0.25">
      <c r="A14" s="139">
        <v>44021</v>
      </c>
      <c r="B14" s="140">
        <f>Sheet9!D23</f>
        <v>0</v>
      </c>
      <c r="C14" s="140">
        <f>Sheet9!E23</f>
        <v>206.85416666666666</v>
      </c>
      <c r="D14" s="140">
        <f>Sheet9!F23</f>
        <v>206.875</v>
      </c>
      <c r="E14" s="140">
        <f>Sheet9!G23</f>
        <v>2.0833333333342807E-2</v>
      </c>
      <c r="F14" s="140">
        <f>Sheet9!H23</f>
        <v>206.95833333333334</v>
      </c>
      <c r="G14" s="140">
        <f>Sheet9!I23</f>
        <v>207.20833333333334</v>
      </c>
      <c r="H14" s="140">
        <f>Sheet9!J23</f>
        <v>0.25</v>
      </c>
      <c r="I14" s="141">
        <f t="shared" si="1"/>
        <v>0.27083333333334281</v>
      </c>
      <c r="J14" s="140">
        <v>8.3333333333333329E-2</v>
      </c>
      <c r="K14" s="140">
        <v>0</v>
      </c>
      <c r="L14" s="140">
        <v>0</v>
      </c>
      <c r="M14" s="140">
        <v>0.64583333333333337</v>
      </c>
      <c r="N14" s="140">
        <v>0</v>
      </c>
      <c r="O14" s="141">
        <f t="shared" si="2"/>
        <v>0.64583333333333337</v>
      </c>
      <c r="P14" s="140">
        <v>0</v>
      </c>
      <c r="Q14" s="140">
        <v>0</v>
      </c>
      <c r="R14" s="140">
        <v>0</v>
      </c>
      <c r="S14" s="140">
        <v>0</v>
      </c>
      <c r="T14" s="141">
        <f t="shared" si="4"/>
        <v>0</v>
      </c>
      <c r="U14" s="140">
        <f>'stream I '!U14</f>
        <v>0</v>
      </c>
      <c r="V14" s="144">
        <f t="shared" si="3"/>
        <v>1.0000000000000095</v>
      </c>
      <c r="W14" s="272" t="s">
        <v>334</v>
      </c>
    </row>
    <row r="15" spans="1:23" ht="15.75" x14ac:dyDescent="0.25">
      <c r="A15" s="139">
        <v>44022</v>
      </c>
      <c r="B15" s="140">
        <f>Sheet10!D23</f>
        <v>0.25</v>
      </c>
      <c r="C15" s="140">
        <f>Sheet10!E23</f>
        <v>0</v>
      </c>
      <c r="D15" s="140">
        <f>Sheet10!F23</f>
        <v>0</v>
      </c>
      <c r="E15" s="140">
        <v>0</v>
      </c>
      <c r="F15" s="140">
        <f>Sheet10!H23</f>
        <v>206.98958333333334</v>
      </c>
      <c r="G15" s="140">
        <f>Sheet10!I23</f>
        <v>207.20833333333334</v>
      </c>
      <c r="H15" s="140">
        <v>0.21875</v>
      </c>
      <c r="I15" s="141">
        <f t="shared" si="1"/>
        <v>0.46875</v>
      </c>
      <c r="J15" s="140">
        <v>6.25E-2</v>
      </c>
      <c r="K15" s="140">
        <v>0</v>
      </c>
      <c r="L15" s="140">
        <v>0</v>
      </c>
      <c r="M15" s="140">
        <v>0</v>
      </c>
      <c r="N15" s="140">
        <v>0</v>
      </c>
      <c r="O15" s="141">
        <f t="shared" si="2"/>
        <v>0</v>
      </c>
      <c r="P15" s="140">
        <v>5.2083333333333336E-2</v>
      </c>
      <c r="Q15" s="140">
        <v>0</v>
      </c>
      <c r="R15" s="140">
        <v>0.41666666666666669</v>
      </c>
      <c r="S15" s="140">
        <v>0</v>
      </c>
      <c r="T15" s="141">
        <f t="shared" si="4"/>
        <v>0.46875</v>
      </c>
      <c r="U15" s="140">
        <f>'stream I '!U15</f>
        <v>0</v>
      </c>
      <c r="V15" s="144">
        <f t="shared" si="3"/>
        <v>1</v>
      </c>
      <c r="W15" s="272" t="s">
        <v>350</v>
      </c>
    </row>
    <row r="16" spans="1:23" ht="15.75" x14ac:dyDescent="0.25">
      <c r="A16" s="139">
        <v>44023</v>
      </c>
      <c r="B16" s="140">
        <f>Sheet11!D23</f>
        <v>0.26041666666665719</v>
      </c>
      <c r="C16" s="140">
        <f>Sheet9!E25</f>
        <v>0</v>
      </c>
      <c r="D16" s="140">
        <f>Sheet9!F25</f>
        <v>0</v>
      </c>
      <c r="E16" s="140">
        <f>Sheet11!G23</f>
        <v>0.28472222222222854</v>
      </c>
      <c r="F16" s="140">
        <f>Sheet9!H25</f>
        <v>0</v>
      </c>
      <c r="G16" s="140">
        <f>Sheet9!I25</f>
        <v>0</v>
      </c>
      <c r="H16" s="140">
        <f>Sheet11!J23</f>
        <v>0.29166666666668561</v>
      </c>
      <c r="I16" s="141">
        <f t="shared" ref="I16" si="5">B16+E16+H16</f>
        <v>0.83680555555557135</v>
      </c>
      <c r="J16" s="140">
        <v>0.16319444444444445</v>
      </c>
      <c r="K16" s="140">
        <v>0</v>
      </c>
      <c r="L16" s="140">
        <v>0</v>
      </c>
      <c r="M16" s="140">
        <v>0</v>
      </c>
      <c r="N16" s="140">
        <v>0</v>
      </c>
      <c r="O16" s="141">
        <f t="shared" si="2"/>
        <v>0</v>
      </c>
      <c r="P16" s="140">
        <v>0</v>
      </c>
      <c r="Q16" s="140">
        <v>0</v>
      </c>
      <c r="R16" s="140">
        <v>0</v>
      </c>
      <c r="S16" s="140">
        <v>0</v>
      </c>
      <c r="T16" s="141">
        <f t="shared" si="4"/>
        <v>0</v>
      </c>
      <c r="U16" s="140">
        <f>'stream I '!U16</f>
        <v>0</v>
      </c>
      <c r="V16" s="144">
        <f t="shared" si="3"/>
        <v>1.0000000000000158</v>
      </c>
      <c r="W16" s="272" t="s">
        <v>294</v>
      </c>
    </row>
    <row r="17" spans="1:23" ht="15.75" x14ac:dyDescent="0.25">
      <c r="A17" s="139">
        <v>44024</v>
      </c>
      <c r="B17" s="140">
        <f>Sheet12!D23</f>
        <v>0.28819444444442865</v>
      </c>
      <c r="C17" s="140">
        <f>Sheet12!E23</f>
        <v>206.58333333333334</v>
      </c>
      <c r="D17" s="140">
        <f>Sheet12!F23</f>
        <v>206.875</v>
      </c>
      <c r="E17" s="140">
        <f>Sheet12!G23</f>
        <v>0.29166666666665719</v>
      </c>
      <c r="F17" s="140">
        <f>Sheet12!H23</f>
        <v>206.91666666666666</v>
      </c>
      <c r="G17" s="140">
        <f>Sheet12!I23</f>
        <v>207.20833333333334</v>
      </c>
      <c r="H17" s="140">
        <f>Sheet12!J23</f>
        <v>0.29166666666668561</v>
      </c>
      <c r="I17" s="141">
        <f t="shared" si="1"/>
        <v>0.87152777777777146</v>
      </c>
      <c r="J17" s="140">
        <v>0.12847222222222224</v>
      </c>
      <c r="K17" s="140">
        <v>0</v>
      </c>
      <c r="L17" s="140">
        <v>0</v>
      </c>
      <c r="M17" s="140">
        <v>0</v>
      </c>
      <c r="N17" s="140">
        <v>0</v>
      </c>
      <c r="O17" s="141">
        <f t="shared" si="2"/>
        <v>0</v>
      </c>
      <c r="P17" s="140">
        <v>0</v>
      </c>
      <c r="Q17" s="140">
        <v>0</v>
      </c>
      <c r="R17" s="140">
        <v>0</v>
      </c>
      <c r="S17" s="140">
        <v>0</v>
      </c>
      <c r="T17" s="141">
        <f t="shared" si="4"/>
        <v>0</v>
      </c>
      <c r="U17" s="140">
        <f>'stream I '!U17</f>
        <v>0</v>
      </c>
      <c r="V17" s="144">
        <f t="shared" si="3"/>
        <v>0.99999999999999367</v>
      </c>
      <c r="W17" s="272" t="s">
        <v>336</v>
      </c>
    </row>
    <row r="18" spans="1:23" ht="30" x14ac:dyDescent="0.25">
      <c r="A18" s="139">
        <v>44025</v>
      </c>
      <c r="B18" s="140">
        <f>Sheet13!D23</f>
        <v>0.13194444444445708</v>
      </c>
      <c r="C18" s="140">
        <f>Sheet13!E23</f>
        <v>206.59027777777777</v>
      </c>
      <c r="D18" s="140">
        <f>Sheet13!F23</f>
        <v>206.875</v>
      </c>
      <c r="E18" s="140">
        <f>Sheet13!G23</f>
        <v>0.28472222222222854</v>
      </c>
      <c r="F18" s="140">
        <f>Sheet13!H23</f>
        <v>206.91666666666666</v>
      </c>
      <c r="G18" s="140">
        <f>Sheet13!I23</f>
        <v>207.20833333333334</v>
      </c>
      <c r="H18" s="140">
        <f>Sheet13!J23</f>
        <v>0.29166666666668561</v>
      </c>
      <c r="I18" s="141">
        <f t="shared" si="1"/>
        <v>0.70833333333337123</v>
      </c>
      <c r="J18" s="140">
        <v>0.10416666666666667</v>
      </c>
      <c r="K18" s="140">
        <v>0</v>
      </c>
      <c r="L18" s="140">
        <v>0</v>
      </c>
      <c r="M18" s="140">
        <v>0.1875</v>
      </c>
      <c r="N18" s="140">
        <v>0</v>
      </c>
      <c r="O18" s="141">
        <f t="shared" si="2"/>
        <v>0.1875</v>
      </c>
      <c r="P18" s="140">
        <v>0</v>
      </c>
      <c r="Q18" s="140">
        <v>0</v>
      </c>
      <c r="R18" s="140">
        <v>0</v>
      </c>
      <c r="S18" s="140">
        <v>0</v>
      </c>
      <c r="T18" s="141">
        <f t="shared" si="4"/>
        <v>0</v>
      </c>
      <c r="U18" s="140">
        <f>'stream I '!U18</f>
        <v>0</v>
      </c>
      <c r="V18" s="144">
        <f t="shared" si="3"/>
        <v>1.000000000000038</v>
      </c>
      <c r="W18" s="272" t="s">
        <v>405</v>
      </c>
    </row>
    <row r="19" spans="1:23" ht="15.75" x14ac:dyDescent="0.25">
      <c r="A19" s="139">
        <v>44026</v>
      </c>
      <c r="B19" s="140">
        <f>Sheet14!D23</f>
        <v>0.27083333333331439</v>
      </c>
      <c r="C19" s="140">
        <f>Sheet14!E23</f>
        <v>206.61805555555554</v>
      </c>
      <c r="D19" s="140">
        <f>Sheet14!F23</f>
        <v>206.875</v>
      </c>
      <c r="E19" s="140">
        <f>Sheet14!G23</f>
        <v>0.25694444444445708</v>
      </c>
      <c r="F19" s="140">
        <f>Sheet14!H23</f>
        <v>206.9375</v>
      </c>
      <c r="G19" s="140">
        <f>Sheet14!I23</f>
        <v>207.20833333333334</v>
      </c>
      <c r="H19" s="140">
        <f>Sheet14!J23</f>
        <v>0.27083333333334281</v>
      </c>
      <c r="I19" s="141">
        <f t="shared" si="1"/>
        <v>0.79861111111111427</v>
      </c>
      <c r="J19" s="140">
        <v>0.12847222222222224</v>
      </c>
      <c r="K19" s="140">
        <v>0</v>
      </c>
      <c r="L19" s="140">
        <v>0</v>
      </c>
      <c r="M19" s="140">
        <v>6.25E-2</v>
      </c>
      <c r="N19" s="140">
        <v>0</v>
      </c>
      <c r="O19" s="141">
        <f t="shared" si="2"/>
        <v>6.25E-2</v>
      </c>
      <c r="P19" s="140">
        <v>0</v>
      </c>
      <c r="Q19" s="140">
        <v>0</v>
      </c>
      <c r="R19" s="140">
        <v>0</v>
      </c>
      <c r="S19" s="140">
        <v>0</v>
      </c>
      <c r="T19" s="141">
        <f t="shared" si="4"/>
        <v>0</v>
      </c>
      <c r="U19" s="140">
        <f>'stream I '!U19</f>
        <v>1.0416666666666666E-2</v>
      </c>
      <c r="V19" s="144">
        <f t="shared" si="3"/>
        <v>1.0000000000000031</v>
      </c>
      <c r="W19" s="272" t="s">
        <v>274</v>
      </c>
    </row>
    <row r="20" spans="1:23" ht="15.75" x14ac:dyDescent="0.25">
      <c r="A20" s="139">
        <v>44027</v>
      </c>
      <c r="B20" s="140">
        <f>Sheet14!D23</f>
        <v>0.27083333333331439</v>
      </c>
      <c r="C20" s="140">
        <f>Sheet14!E23</f>
        <v>206.61805555555554</v>
      </c>
      <c r="D20" s="140">
        <f>Sheet14!F23</f>
        <v>206.875</v>
      </c>
      <c r="E20" s="140">
        <f>Sheet14!G23</f>
        <v>0.25694444444445708</v>
      </c>
      <c r="F20" s="140">
        <f>Sheet14!H23</f>
        <v>206.9375</v>
      </c>
      <c r="G20" s="140">
        <f>Sheet14!I23</f>
        <v>207.20833333333334</v>
      </c>
      <c r="H20" s="140">
        <f>Sheet14!J23</f>
        <v>0.27083333333334281</v>
      </c>
      <c r="I20" s="141">
        <f t="shared" si="1"/>
        <v>0.79861111111111427</v>
      </c>
      <c r="J20" s="140">
        <v>0.1076388888888889</v>
      </c>
      <c r="K20" s="140">
        <v>0</v>
      </c>
      <c r="L20" s="140">
        <v>0</v>
      </c>
      <c r="M20" s="140">
        <v>4.1666666666666664E-2</v>
      </c>
      <c r="N20" s="140">
        <v>0</v>
      </c>
      <c r="O20" s="141">
        <f t="shared" si="2"/>
        <v>4.1666666666666664E-2</v>
      </c>
      <c r="P20" s="140">
        <v>0</v>
      </c>
      <c r="Q20" s="140">
        <v>0</v>
      </c>
      <c r="R20" s="140">
        <v>0</v>
      </c>
      <c r="S20" s="140">
        <v>0</v>
      </c>
      <c r="T20" s="141">
        <f t="shared" si="4"/>
        <v>0</v>
      </c>
      <c r="U20" s="140">
        <f>'stream I '!U20</f>
        <v>5.2083333333333336E-2</v>
      </c>
      <c r="V20" s="144">
        <f t="shared" si="3"/>
        <v>1.0000000000000031</v>
      </c>
      <c r="W20" s="272" t="s">
        <v>274</v>
      </c>
    </row>
    <row r="21" spans="1:23" ht="15.75" x14ac:dyDescent="0.25">
      <c r="A21" s="139">
        <v>44028</v>
      </c>
      <c r="B21" s="140">
        <f>Sheet16!D23</f>
        <v>0.29166666666665719</v>
      </c>
      <c r="C21" s="140">
        <f>Sheet16!E23</f>
        <v>206.58333333333334</v>
      </c>
      <c r="D21" s="140">
        <f>Sheet16!F23</f>
        <v>206.875</v>
      </c>
      <c r="E21" s="140">
        <f>Sheet16!G23</f>
        <v>0.28472222222222221</v>
      </c>
      <c r="F21" s="140">
        <f>Sheet16!H23</f>
        <v>206.91319444444446</v>
      </c>
      <c r="G21" s="140">
        <f>Sheet16!I23</f>
        <v>207.20833333333334</v>
      </c>
      <c r="H21" s="140">
        <f>Sheet16!J23</f>
        <v>0.29513888888888573</v>
      </c>
      <c r="I21" s="141">
        <f t="shared" si="1"/>
        <v>0.87152777777776513</v>
      </c>
      <c r="J21" s="140">
        <v>8.3333333333333329E-2</v>
      </c>
      <c r="K21" s="140">
        <v>4.5138888888888888E-2</v>
      </c>
      <c r="L21" s="140">
        <v>0</v>
      </c>
      <c r="M21" s="140">
        <v>0</v>
      </c>
      <c r="N21" s="140">
        <v>0</v>
      </c>
      <c r="O21" s="141">
        <f t="shared" si="2"/>
        <v>4.5138888888888888E-2</v>
      </c>
      <c r="P21" s="140">
        <v>0</v>
      </c>
      <c r="Q21" s="140">
        <v>0</v>
      </c>
      <c r="R21" s="140">
        <v>0</v>
      </c>
      <c r="S21" s="140">
        <v>0</v>
      </c>
      <c r="T21" s="141">
        <f t="shared" si="4"/>
        <v>0</v>
      </c>
      <c r="U21" s="140">
        <f>'stream I '!U21</f>
        <v>0</v>
      </c>
      <c r="V21" s="144">
        <f t="shared" si="3"/>
        <v>0.99999999999998734</v>
      </c>
      <c r="W21" s="272" t="s">
        <v>274</v>
      </c>
    </row>
    <row r="22" spans="1:23" ht="15.75" x14ac:dyDescent="0.25">
      <c r="A22" s="139">
        <v>44029</v>
      </c>
      <c r="B22" s="140">
        <f>Sheet17!D23</f>
        <v>0.26041666666665719</v>
      </c>
      <c r="C22" s="140">
        <f>Sheet17!E23</f>
        <v>206.59375</v>
      </c>
      <c r="D22" s="140">
        <f>Sheet17!F23</f>
        <v>206.875</v>
      </c>
      <c r="E22" s="140">
        <f>Sheet17!G23</f>
        <v>0.28125</v>
      </c>
      <c r="F22" s="140">
        <f>Sheet17!H23</f>
        <v>206.91666666666666</v>
      </c>
      <c r="G22" s="140">
        <f>Sheet17!I23</f>
        <v>207.20833333333334</v>
      </c>
      <c r="H22" s="140">
        <f>Sheet17!J23</f>
        <v>0.29166666666668561</v>
      </c>
      <c r="I22" s="141">
        <f t="shared" si="1"/>
        <v>0.83333333333334281</v>
      </c>
      <c r="J22" s="140">
        <v>0.16666666666666666</v>
      </c>
      <c r="K22" s="140">
        <v>0</v>
      </c>
      <c r="L22" s="140">
        <v>0</v>
      </c>
      <c r="M22" s="140">
        <v>0</v>
      </c>
      <c r="N22" s="140">
        <v>0</v>
      </c>
      <c r="O22" s="141">
        <f t="shared" si="2"/>
        <v>0</v>
      </c>
      <c r="P22" s="140">
        <v>0</v>
      </c>
      <c r="Q22" s="140">
        <v>0</v>
      </c>
      <c r="R22" s="140">
        <v>0</v>
      </c>
      <c r="S22" s="140">
        <v>0</v>
      </c>
      <c r="T22" s="141">
        <f t="shared" si="4"/>
        <v>0</v>
      </c>
      <c r="U22" s="140">
        <f>'stream I '!U22</f>
        <v>0</v>
      </c>
      <c r="V22" s="144">
        <f t="shared" si="3"/>
        <v>1.0000000000000095</v>
      </c>
      <c r="W22" s="272" t="s">
        <v>294</v>
      </c>
    </row>
    <row r="23" spans="1:23" ht="15.75" x14ac:dyDescent="0.25">
      <c r="A23" s="139">
        <v>44030</v>
      </c>
      <c r="B23" s="140">
        <f>Sheet18!D23</f>
        <v>0.25</v>
      </c>
      <c r="C23" s="140">
        <f>Sheet18!E23</f>
        <v>206.59027777777777</v>
      </c>
      <c r="D23" s="140">
        <f>Sheet18!F23</f>
        <v>206.875</v>
      </c>
      <c r="E23" s="140">
        <f>Sheet18!G23</f>
        <v>0.28472222222222854</v>
      </c>
      <c r="F23" s="140">
        <f>Sheet18!H23</f>
        <v>206.91666666666666</v>
      </c>
      <c r="G23" s="140">
        <f>Sheet18!I23</f>
        <v>207.20833333333334</v>
      </c>
      <c r="H23" s="140">
        <f>Sheet18!J23</f>
        <v>0.29166666666668561</v>
      </c>
      <c r="I23" s="141">
        <f t="shared" si="1"/>
        <v>0.82638888888891415</v>
      </c>
      <c r="J23" s="140">
        <v>0.10416666666666667</v>
      </c>
      <c r="K23" s="140">
        <v>0</v>
      </c>
      <c r="L23" s="140">
        <v>6.9444444444444434E-2</v>
      </c>
      <c r="M23" s="140">
        <v>0</v>
      </c>
      <c r="N23" s="140">
        <v>0</v>
      </c>
      <c r="O23" s="141">
        <f t="shared" si="2"/>
        <v>6.9444444444444434E-2</v>
      </c>
      <c r="P23" s="140">
        <v>0</v>
      </c>
      <c r="Q23" s="140">
        <v>0</v>
      </c>
      <c r="R23" s="140">
        <v>0</v>
      </c>
      <c r="S23" s="140">
        <v>0</v>
      </c>
      <c r="T23" s="141">
        <f t="shared" si="4"/>
        <v>0</v>
      </c>
      <c r="U23" s="140">
        <f>'stream I '!U23</f>
        <v>0</v>
      </c>
      <c r="V23" s="144">
        <f t="shared" si="3"/>
        <v>1.0000000000000253</v>
      </c>
      <c r="W23" s="272" t="s">
        <v>294</v>
      </c>
    </row>
    <row r="24" spans="1:23" ht="15.75" x14ac:dyDescent="0.25">
      <c r="A24" s="139">
        <v>44031</v>
      </c>
      <c r="B24" s="140">
        <f>Sheet18!D23</f>
        <v>0.25</v>
      </c>
      <c r="C24" s="140">
        <f>Sheet18!E23</f>
        <v>206.59027777777777</v>
      </c>
      <c r="D24" s="140">
        <f>Sheet18!F23</f>
        <v>206.875</v>
      </c>
      <c r="E24" s="140">
        <f>Sheet18!G23</f>
        <v>0.28472222222222854</v>
      </c>
      <c r="F24" s="140">
        <f>Sheet18!H23</f>
        <v>206.91666666666666</v>
      </c>
      <c r="G24" s="140">
        <f>Sheet18!I23</f>
        <v>207.20833333333334</v>
      </c>
      <c r="H24" s="140">
        <f>Sheet18!J23</f>
        <v>0.29166666666668561</v>
      </c>
      <c r="I24" s="141">
        <f t="shared" si="1"/>
        <v>0.82638888888891415</v>
      </c>
      <c r="J24" s="140">
        <v>8.6805555555555566E-2</v>
      </c>
      <c r="K24" s="140">
        <v>8.6805555555555566E-2</v>
      </c>
      <c r="L24" s="140">
        <v>0</v>
      </c>
      <c r="M24" s="140">
        <v>0</v>
      </c>
      <c r="N24" s="140">
        <v>0</v>
      </c>
      <c r="O24" s="141">
        <f t="shared" si="2"/>
        <v>8.6805555555555566E-2</v>
      </c>
      <c r="P24" s="140">
        <v>0</v>
      </c>
      <c r="Q24" s="140">
        <v>0</v>
      </c>
      <c r="R24" s="140">
        <v>0</v>
      </c>
      <c r="S24" s="140">
        <v>0</v>
      </c>
      <c r="T24" s="141">
        <f t="shared" si="4"/>
        <v>0</v>
      </c>
      <c r="U24" s="140">
        <f>'stream I '!U24</f>
        <v>0</v>
      </c>
      <c r="V24" s="144">
        <f t="shared" si="3"/>
        <v>1.0000000000000253</v>
      </c>
      <c r="W24" s="272" t="s">
        <v>294</v>
      </c>
    </row>
    <row r="25" spans="1:23" ht="15.75" customHeight="1" x14ac:dyDescent="0.25">
      <c r="A25" s="139">
        <v>44032</v>
      </c>
      <c r="B25" s="140">
        <f>Sheet20!D23</f>
        <v>0.22916666666665719</v>
      </c>
      <c r="C25" s="140">
        <f>Sheet20!E23</f>
        <v>206.68402777777777</v>
      </c>
      <c r="D25" s="140">
        <f>Sheet20!F23</f>
        <v>206.875</v>
      </c>
      <c r="E25" s="140">
        <f>Sheet20!G23</f>
        <v>0.19097222222222854</v>
      </c>
      <c r="F25" s="140">
        <f>Sheet20!H23</f>
        <v>206.91666666666666</v>
      </c>
      <c r="G25" s="140">
        <f>Sheet20!I23</f>
        <v>207.20833333333334</v>
      </c>
      <c r="H25" s="140">
        <f>Sheet20!J23</f>
        <v>0.29166666666668561</v>
      </c>
      <c r="I25" s="141">
        <f t="shared" si="1"/>
        <v>0.71180555555557135</v>
      </c>
      <c r="J25" s="140">
        <v>0.12152777777777778</v>
      </c>
      <c r="K25" s="140">
        <v>0</v>
      </c>
      <c r="L25" s="140">
        <v>0</v>
      </c>
      <c r="M25" s="140">
        <v>0</v>
      </c>
      <c r="N25" s="140">
        <v>0</v>
      </c>
      <c r="O25" s="141">
        <f t="shared" si="2"/>
        <v>0</v>
      </c>
      <c r="P25" s="140">
        <v>0</v>
      </c>
      <c r="Q25" s="140">
        <v>0</v>
      </c>
      <c r="R25" s="140">
        <v>0</v>
      </c>
      <c r="S25" s="140">
        <v>0</v>
      </c>
      <c r="T25" s="141">
        <f t="shared" si="4"/>
        <v>0</v>
      </c>
      <c r="U25" s="140">
        <f>'stream I '!U25</f>
        <v>0.16666666666666666</v>
      </c>
      <c r="V25" s="144">
        <f t="shared" si="3"/>
        <v>1.0000000000000158</v>
      </c>
      <c r="W25" s="307" t="s">
        <v>222</v>
      </c>
    </row>
    <row r="26" spans="1:23" ht="15.75" x14ac:dyDescent="0.25">
      <c r="A26" s="139">
        <v>44033</v>
      </c>
      <c r="B26" s="140">
        <f>Sheet21!D23</f>
        <v>0.27083333333331439</v>
      </c>
      <c r="C26" s="140">
        <f>Sheet21!E23</f>
        <v>206.57638888888889</v>
      </c>
      <c r="D26" s="140">
        <f>Sheet21!F23</f>
        <v>206.875</v>
      </c>
      <c r="E26" s="140">
        <f>Sheet21!G23</f>
        <v>0.29861111111111427</v>
      </c>
      <c r="F26" s="140">
        <f>Sheet21!H23</f>
        <v>206.90972222222223</v>
      </c>
      <c r="G26" s="140">
        <f>Sheet21!I23</f>
        <v>207.20833333333334</v>
      </c>
      <c r="H26" s="140">
        <f>Sheet21!J23</f>
        <v>0.29861111111111427</v>
      </c>
      <c r="I26" s="141">
        <f t="shared" si="1"/>
        <v>0.86805555555554292</v>
      </c>
      <c r="J26" s="140">
        <v>0.10416666666666667</v>
      </c>
      <c r="K26" s="140">
        <v>0</v>
      </c>
      <c r="L26" s="140">
        <v>2.7777777777777776E-2</v>
      </c>
      <c r="M26" s="140">
        <v>0</v>
      </c>
      <c r="N26" s="140">
        <v>0</v>
      </c>
      <c r="O26" s="141">
        <f t="shared" si="2"/>
        <v>2.7777777777777776E-2</v>
      </c>
      <c r="P26" s="140">
        <v>0</v>
      </c>
      <c r="Q26" s="140">
        <v>0</v>
      </c>
      <c r="R26" s="140">
        <v>0</v>
      </c>
      <c r="S26" s="140">
        <v>0</v>
      </c>
      <c r="T26" s="141">
        <f t="shared" si="4"/>
        <v>0</v>
      </c>
      <c r="U26" s="140">
        <f>'stream I '!U26</f>
        <v>0</v>
      </c>
      <c r="V26" s="144">
        <f t="shared" si="3"/>
        <v>0.99999999999998734</v>
      </c>
      <c r="W26" s="150"/>
    </row>
    <row r="27" spans="1:23" ht="15.75" x14ac:dyDescent="0.25">
      <c r="A27" s="139">
        <v>44034</v>
      </c>
      <c r="B27" s="140">
        <f>Sheet22!D23</f>
        <v>0.27083333333331439</v>
      </c>
      <c r="C27" s="140">
        <f>Sheet22!E23</f>
        <v>206.58333333333334</v>
      </c>
      <c r="D27" s="140">
        <f>Sheet22!F23</f>
        <v>206.875</v>
      </c>
      <c r="E27" s="140">
        <f>Sheet22!G23</f>
        <v>0.29166666666665719</v>
      </c>
      <c r="F27" s="140">
        <f>Sheet22!H23</f>
        <v>206.92013888888889</v>
      </c>
      <c r="G27" s="140">
        <f>Sheet22!I23</f>
        <v>207.20833333333334</v>
      </c>
      <c r="H27" s="140">
        <f>Sheet22!J23</f>
        <v>0.28819444444445708</v>
      </c>
      <c r="I27" s="141">
        <f t="shared" si="1"/>
        <v>0.85069444444442865</v>
      </c>
      <c r="J27" s="140">
        <v>8.3333333333333329E-2</v>
      </c>
      <c r="K27" s="140">
        <v>0</v>
      </c>
      <c r="L27" s="140">
        <v>0</v>
      </c>
      <c r="M27" s="140">
        <v>6.5972222222222224E-2</v>
      </c>
      <c r="N27" s="140">
        <v>0</v>
      </c>
      <c r="O27" s="141">
        <f t="shared" si="2"/>
        <v>6.5972222222222224E-2</v>
      </c>
      <c r="P27" s="140">
        <v>0</v>
      </c>
      <c r="Q27" s="140">
        <v>0</v>
      </c>
      <c r="R27" s="140">
        <v>0</v>
      </c>
      <c r="S27" s="140">
        <v>0</v>
      </c>
      <c r="T27" s="141">
        <f t="shared" si="4"/>
        <v>0</v>
      </c>
      <c r="U27" s="140">
        <f>'stream I '!U27</f>
        <v>0</v>
      </c>
      <c r="V27" s="144">
        <f t="shared" si="3"/>
        <v>0.99999999999998423</v>
      </c>
      <c r="W27" s="148"/>
    </row>
    <row r="28" spans="1:23" ht="15.75" x14ac:dyDescent="0.25">
      <c r="A28" s="139">
        <v>44035</v>
      </c>
      <c r="B28" s="140">
        <f>Sheet23!D23</f>
        <v>0.29513888888888573</v>
      </c>
      <c r="C28" s="140">
        <f>Sheet23!E23</f>
        <v>206.58333333333334</v>
      </c>
      <c r="D28" s="140">
        <f>Sheet23!F23</f>
        <v>206.875</v>
      </c>
      <c r="E28" s="140">
        <f>Sheet23!G23</f>
        <v>0.29166666666665719</v>
      </c>
      <c r="F28" s="140">
        <f>Sheet23!H23</f>
        <v>206.92013888888889</v>
      </c>
      <c r="G28" s="140">
        <f>Sheet23!I23</f>
        <v>207.20833333333334</v>
      </c>
      <c r="H28" s="140">
        <f>Sheet23!J23</f>
        <v>0.28819444444445708</v>
      </c>
      <c r="I28" s="141">
        <f t="shared" si="1"/>
        <v>0.875</v>
      </c>
      <c r="J28" s="140">
        <v>8.3333333333333329E-2</v>
      </c>
      <c r="K28" s="140">
        <v>0</v>
      </c>
      <c r="L28" s="140">
        <v>0</v>
      </c>
      <c r="M28" s="140">
        <v>4.1666666666666664E-2</v>
      </c>
      <c r="N28" s="140">
        <v>0</v>
      </c>
      <c r="O28" s="141">
        <f t="shared" si="2"/>
        <v>4.1666666666666664E-2</v>
      </c>
      <c r="P28" s="140">
        <v>0</v>
      </c>
      <c r="Q28" s="140">
        <v>0</v>
      </c>
      <c r="R28" s="140">
        <v>0</v>
      </c>
      <c r="S28" s="140">
        <v>0</v>
      </c>
      <c r="T28" s="141">
        <f t="shared" si="4"/>
        <v>0</v>
      </c>
      <c r="U28" s="140">
        <f>'stream I '!U28</f>
        <v>0</v>
      </c>
      <c r="V28" s="144">
        <f t="shared" si="3"/>
        <v>1</v>
      </c>
      <c r="W28" s="128" t="s">
        <v>249</v>
      </c>
    </row>
    <row r="29" spans="1:23" ht="15.75" x14ac:dyDescent="0.25">
      <c r="A29" s="139">
        <v>44036</v>
      </c>
      <c r="B29" s="140">
        <f>Sheet24!D23</f>
        <v>0.29166666666665719</v>
      </c>
      <c r="C29" s="140">
        <f>Sheet24!E23</f>
        <v>206.61458333333334</v>
      </c>
      <c r="D29" s="140">
        <f>Sheet24!F23</f>
        <v>206.875</v>
      </c>
      <c r="E29" s="140">
        <f>Sheet24!G23</f>
        <v>0.26041666666665719</v>
      </c>
      <c r="F29" s="140">
        <f>Sheet24!H23</f>
        <v>206.91666666666666</v>
      </c>
      <c r="G29" s="140">
        <f>Sheet24!I23</f>
        <v>207.20833333333334</v>
      </c>
      <c r="H29" s="140">
        <f>Sheet24!J23</f>
        <v>0.29166666666668561</v>
      </c>
      <c r="I29" s="141">
        <f t="shared" si="1"/>
        <v>0.84375</v>
      </c>
      <c r="J29" s="140">
        <v>9.0277777777777776E-2</v>
      </c>
      <c r="K29" s="140">
        <v>0</v>
      </c>
      <c r="L29" s="140">
        <v>0</v>
      </c>
      <c r="M29" s="140">
        <v>0</v>
      </c>
      <c r="N29" s="140">
        <v>0</v>
      </c>
      <c r="O29" s="141">
        <f t="shared" si="2"/>
        <v>0</v>
      </c>
      <c r="P29" s="140">
        <v>6.5972222222222224E-2</v>
      </c>
      <c r="Q29" s="140">
        <v>0</v>
      </c>
      <c r="R29" s="140">
        <v>0</v>
      </c>
      <c r="S29" s="140">
        <v>0</v>
      </c>
      <c r="T29" s="141">
        <f t="shared" si="4"/>
        <v>6.5972222222222224E-2</v>
      </c>
      <c r="U29" s="140">
        <f>'stream I '!U29</f>
        <v>0</v>
      </c>
      <c r="V29" s="144">
        <f t="shared" si="3"/>
        <v>1</v>
      </c>
      <c r="W29" s="128" t="s">
        <v>611</v>
      </c>
    </row>
    <row r="30" spans="1:23" ht="15.75" x14ac:dyDescent="0.25">
      <c r="A30" s="139">
        <v>44037</v>
      </c>
      <c r="B30" s="140">
        <f>Sheet25!D23</f>
        <v>0.27083333333331439</v>
      </c>
      <c r="C30" s="140">
        <f>Sheet25!E23</f>
        <v>206.59375</v>
      </c>
      <c r="D30" s="140">
        <f>Sheet25!F23</f>
        <v>206.875</v>
      </c>
      <c r="E30" s="140">
        <f>Sheet25!G23</f>
        <v>0.28125</v>
      </c>
      <c r="F30" s="140">
        <f>Sheet25!H23</f>
        <v>206.91666666666666</v>
      </c>
      <c r="G30" s="140">
        <f>Sheet25!I23</f>
        <v>207.20833333333334</v>
      </c>
      <c r="H30" s="140">
        <f>Sheet25!J23</f>
        <v>0.29166666666668561</v>
      </c>
      <c r="I30" s="141">
        <f t="shared" si="1"/>
        <v>0.84375</v>
      </c>
      <c r="J30" s="140">
        <v>0.1111111111111111</v>
      </c>
      <c r="K30" s="140">
        <v>0</v>
      </c>
      <c r="L30" s="140">
        <v>0</v>
      </c>
      <c r="M30" s="140">
        <v>4.5138888888888888E-2</v>
      </c>
      <c r="N30" s="140">
        <v>0</v>
      </c>
      <c r="O30" s="141">
        <f t="shared" si="2"/>
        <v>4.5138888888888888E-2</v>
      </c>
      <c r="P30" s="140">
        <v>0</v>
      </c>
      <c r="Q30" s="140">
        <v>0</v>
      </c>
      <c r="R30" s="140">
        <v>0</v>
      </c>
      <c r="S30" s="140">
        <v>0</v>
      </c>
      <c r="T30" s="141">
        <f t="shared" si="4"/>
        <v>0</v>
      </c>
      <c r="U30" s="140">
        <f>'stream I '!U30</f>
        <v>0</v>
      </c>
      <c r="V30" s="144">
        <f t="shared" si="3"/>
        <v>1</v>
      </c>
      <c r="W30" s="147"/>
    </row>
    <row r="31" spans="1:23" ht="30" x14ac:dyDescent="0.25">
      <c r="A31" s="139">
        <v>44038</v>
      </c>
      <c r="B31" s="140">
        <f>Sheet26!D23</f>
        <v>0.25</v>
      </c>
      <c r="C31" s="140">
        <f>Sheet26!E23</f>
        <v>206.58333333333334</v>
      </c>
      <c r="D31" s="140">
        <f>Sheet26!F23</f>
        <v>206.875</v>
      </c>
      <c r="E31" s="140">
        <f>Sheet26!G23</f>
        <v>0.29166666666665719</v>
      </c>
      <c r="F31" s="140">
        <f>Sheet26!H23</f>
        <v>206.97916666666666</v>
      </c>
      <c r="G31" s="140">
        <f>Sheet26!I23</f>
        <v>207.16666666666666</v>
      </c>
      <c r="H31" s="140">
        <f>Sheet26!J23</f>
        <v>0.1875</v>
      </c>
      <c r="I31" s="141">
        <f t="shared" si="1"/>
        <v>0.72916666666665719</v>
      </c>
      <c r="J31" s="140">
        <v>0.14583333333333334</v>
      </c>
      <c r="K31" s="140">
        <v>4.1666666666666664E-2</v>
      </c>
      <c r="L31" s="140">
        <v>0</v>
      </c>
      <c r="M31" s="140">
        <v>0</v>
      </c>
      <c r="N31" s="140">
        <v>0</v>
      </c>
      <c r="O31" s="141">
        <f t="shared" si="2"/>
        <v>4.1666666666666664E-2</v>
      </c>
      <c r="P31" s="140">
        <v>0</v>
      </c>
      <c r="Q31" s="140">
        <v>0</v>
      </c>
      <c r="R31" s="140">
        <v>8.3333333333333329E-2</v>
      </c>
      <c r="S31" s="140">
        <v>0</v>
      </c>
      <c r="T31" s="141">
        <f t="shared" si="4"/>
        <v>8.3333333333333329E-2</v>
      </c>
      <c r="U31" s="140">
        <f>'stream I '!U31</f>
        <v>0</v>
      </c>
      <c r="V31" s="144">
        <f t="shared" si="3"/>
        <v>0.99999999999999056</v>
      </c>
      <c r="W31" s="128" t="s">
        <v>461</v>
      </c>
    </row>
    <row r="32" spans="1:23" ht="15.75" x14ac:dyDescent="0.25">
      <c r="A32" s="139">
        <v>44039</v>
      </c>
      <c r="B32" s="140">
        <v>0.24652777777777779</v>
      </c>
      <c r="C32" s="140">
        <f>Sheet27!E23</f>
        <v>206.59375</v>
      </c>
      <c r="D32" s="140">
        <f>Sheet27!F23</f>
        <v>206.875</v>
      </c>
      <c r="E32" s="140">
        <v>0.28125</v>
      </c>
      <c r="F32" s="140">
        <f>Sheet27!H23</f>
        <v>206.92013888888889</v>
      </c>
      <c r="G32" s="140">
        <f>Sheet27!I23</f>
        <v>207.20833333333334</v>
      </c>
      <c r="H32" s="140">
        <v>0.28819444444444448</v>
      </c>
      <c r="I32" s="141">
        <f t="shared" si="1"/>
        <v>0.81597222222222232</v>
      </c>
      <c r="J32" s="140">
        <v>0.12152777777777778</v>
      </c>
      <c r="K32" s="140">
        <v>6.25E-2</v>
      </c>
      <c r="L32" s="140">
        <v>0</v>
      </c>
      <c r="M32" s="140">
        <v>0</v>
      </c>
      <c r="N32" s="140">
        <v>0</v>
      </c>
      <c r="O32" s="141">
        <f t="shared" si="2"/>
        <v>6.25E-2</v>
      </c>
      <c r="P32" s="140">
        <v>0</v>
      </c>
      <c r="Q32" s="140">
        <v>0</v>
      </c>
      <c r="R32" s="140">
        <v>0</v>
      </c>
      <c r="S32" s="140">
        <v>0</v>
      </c>
      <c r="T32" s="141">
        <v>0</v>
      </c>
      <c r="U32" s="140">
        <f>'stream I '!U32</f>
        <v>0</v>
      </c>
      <c r="V32" s="144">
        <f t="shared" si="3"/>
        <v>1</v>
      </c>
      <c r="W32" s="128" t="s">
        <v>274</v>
      </c>
    </row>
    <row r="33" spans="1:23" ht="15.75" x14ac:dyDescent="0.25">
      <c r="A33" s="139">
        <v>44040</v>
      </c>
      <c r="B33" s="140">
        <f>Sheet28!D23</f>
        <v>0.27083333333331439</v>
      </c>
      <c r="C33" s="140">
        <f>Sheet28!E23</f>
        <v>206.63888888888889</v>
      </c>
      <c r="D33" s="140">
        <f>Sheet28!F23</f>
        <v>206.875</v>
      </c>
      <c r="E33" s="140">
        <f>Sheet28!G23</f>
        <v>0.23611111111111427</v>
      </c>
      <c r="F33" s="140">
        <f>Sheet28!H23</f>
        <v>206.91666666666666</v>
      </c>
      <c r="G33" s="140">
        <f>Sheet28!I23</f>
        <v>207.20833333333334</v>
      </c>
      <c r="H33" s="140">
        <f>Sheet28!J23</f>
        <v>0.29166666666668561</v>
      </c>
      <c r="I33" s="141">
        <f t="shared" si="1"/>
        <v>0.79861111111111427</v>
      </c>
      <c r="J33" s="140">
        <v>9.7222222222222224E-2</v>
      </c>
      <c r="K33" s="140">
        <v>0.10416666666666667</v>
      </c>
      <c r="L33" s="140">
        <v>0</v>
      </c>
      <c r="M33" s="140">
        <v>0</v>
      </c>
      <c r="N33" s="140">
        <v>0</v>
      </c>
      <c r="O33" s="141">
        <f t="shared" si="2"/>
        <v>0.10416666666666667</v>
      </c>
      <c r="P33" s="140">
        <v>0</v>
      </c>
      <c r="Q33" s="140">
        <v>0</v>
      </c>
      <c r="R33" s="140">
        <v>0</v>
      </c>
      <c r="S33" s="140">
        <v>0</v>
      </c>
      <c r="T33" s="141">
        <f t="shared" si="4"/>
        <v>0</v>
      </c>
      <c r="U33" s="140">
        <f>'stream I '!U33</f>
        <v>0</v>
      </c>
      <c r="V33" s="144">
        <f t="shared" si="3"/>
        <v>1.0000000000000031</v>
      </c>
      <c r="W33" s="128" t="s">
        <v>274</v>
      </c>
    </row>
    <row r="34" spans="1:23" ht="45" x14ac:dyDescent="0.25">
      <c r="A34" s="139">
        <v>44041</v>
      </c>
      <c r="B34" s="140">
        <f>Sheet29!D23</f>
        <v>0.28125</v>
      </c>
      <c r="C34" s="140">
        <f>Sheet29!E23</f>
        <v>206.63194444444446</v>
      </c>
      <c r="D34" s="140">
        <f>Sheet29!F23</f>
        <v>206.875</v>
      </c>
      <c r="E34" s="140">
        <f>Sheet29!G23</f>
        <v>0.24305555555554292</v>
      </c>
      <c r="F34" s="140">
        <f>Sheet29!H23</f>
        <v>206.91666666666666</v>
      </c>
      <c r="G34" s="140">
        <f>Sheet29!I23</f>
        <v>207.20833333333334</v>
      </c>
      <c r="H34" s="140">
        <f>Sheet29!J23</f>
        <v>0.29166666666668561</v>
      </c>
      <c r="I34" s="141">
        <f t="shared" si="1"/>
        <v>0.81597222222222854</v>
      </c>
      <c r="J34" s="140">
        <v>6.5972222222222224E-2</v>
      </c>
      <c r="K34" s="140">
        <v>0.11805555555555557</v>
      </c>
      <c r="L34" s="140">
        <v>0</v>
      </c>
      <c r="M34" s="140">
        <v>0</v>
      </c>
      <c r="N34" s="140">
        <v>0</v>
      </c>
      <c r="O34" s="141">
        <f t="shared" si="2"/>
        <v>0.11805555555555557</v>
      </c>
      <c r="P34" s="140">
        <v>0</v>
      </c>
      <c r="Q34" s="140">
        <v>0</v>
      </c>
      <c r="R34" s="140">
        <v>0</v>
      </c>
      <c r="S34" s="140">
        <v>0</v>
      </c>
      <c r="T34" s="141">
        <f t="shared" si="4"/>
        <v>0</v>
      </c>
      <c r="U34" s="140">
        <f>'stream I '!U34</f>
        <v>0</v>
      </c>
      <c r="V34" s="144">
        <f t="shared" si="3"/>
        <v>1.0000000000000064</v>
      </c>
      <c r="W34" s="128" t="s">
        <v>504</v>
      </c>
    </row>
    <row r="35" spans="1:23" ht="27.75" customHeight="1" x14ac:dyDescent="0.25">
      <c r="A35" s="139">
        <v>44042</v>
      </c>
      <c r="B35" s="140">
        <f>'Sheet 30'!D23</f>
        <v>0.13194444444442865</v>
      </c>
      <c r="C35" s="140">
        <f>Sheet29!E24</f>
        <v>0</v>
      </c>
      <c r="D35" s="140">
        <f>Sheet29!F24</f>
        <v>0</v>
      </c>
      <c r="E35" s="140">
        <f>'Sheet 30'!G23</f>
        <v>0</v>
      </c>
      <c r="F35" s="140">
        <f>Sheet29!H24</f>
        <v>0</v>
      </c>
      <c r="G35" s="140">
        <f>Sheet29!I24</f>
        <v>0</v>
      </c>
      <c r="H35" s="140">
        <f>'Sheet 30'!J23</f>
        <v>0</v>
      </c>
      <c r="I35" s="141">
        <f t="shared" ref="I35" si="6">B35+E35+H35</f>
        <v>0.13194444444442865</v>
      </c>
      <c r="J35" s="140">
        <v>4.5138888888888888E-2</v>
      </c>
      <c r="K35" s="140">
        <v>0</v>
      </c>
      <c r="L35" s="140">
        <v>0</v>
      </c>
      <c r="M35" s="140">
        <v>0</v>
      </c>
      <c r="N35" s="140">
        <v>0</v>
      </c>
      <c r="O35" s="141">
        <f t="shared" ref="O35" si="7">SUM(K35:N35)</f>
        <v>0</v>
      </c>
      <c r="P35" s="140">
        <v>0</v>
      </c>
      <c r="Q35" s="140">
        <v>0</v>
      </c>
      <c r="R35" s="140">
        <v>0.82291666666666663</v>
      </c>
      <c r="S35" s="140">
        <v>0</v>
      </c>
      <c r="T35" s="141">
        <f t="shared" ref="T35" si="8">SUM(P35:S35)</f>
        <v>0.82291666666666663</v>
      </c>
      <c r="U35" s="140">
        <f>'stream I '!U35</f>
        <v>0</v>
      </c>
      <c r="V35" s="144">
        <f t="shared" si="3"/>
        <v>0.99999999999998423</v>
      </c>
      <c r="W35" s="330" t="s">
        <v>517</v>
      </c>
    </row>
    <row r="36" spans="1:23" ht="33.75" customHeight="1" x14ac:dyDescent="0.25">
      <c r="A36" s="139">
        <v>44043</v>
      </c>
      <c r="B36" s="140">
        <f>'Sheet 31'!D23</f>
        <v>0</v>
      </c>
      <c r="C36" s="140">
        <f>Sheet29!E25</f>
        <v>0</v>
      </c>
      <c r="D36" s="140">
        <f>Sheet29!F25</f>
        <v>0</v>
      </c>
      <c r="E36" s="140">
        <f>'Sheet 31'!G23</f>
        <v>0</v>
      </c>
      <c r="F36" s="140">
        <f>Sheet29!H25</f>
        <v>0</v>
      </c>
      <c r="G36" s="140">
        <f>Sheet29!I25</f>
        <v>0</v>
      </c>
      <c r="H36" s="140">
        <f>'Sheet 31'!J23</f>
        <v>0.13194444444445708</v>
      </c>
      <c r="I36" s="141">
        <f t="shared" ref="I36" si="9">B36+E36+H36</f>
        <v>0.13194444444445708</v>
      </c>
      <c r="J36" s="140">
        <v>0</v>
      </c>
      <c r="K36" s="140">
        <v>0</v>
      </c>
      <c r="L36" s="140">
        <v>0</v>
      </c>
      <c r="M36" s="140">
        <v>0</v>
      </c>
      <c r="N36" s="140">
        <v>0</v>
      </c>
      <c r="O36" s="141">
        <f t="shared" ref="O36" si="10">SUM(K36:N36)</f>
        <v>0</v>
      </c>
      <c r="P36" s="140">
        <v>0</v>
      </c>
      <c r="Q36" s="140">
        <v>0</v>
      </c>
      <c r="R36" s="140">
        <v>0.86805555555555547</v>
      </c>
      <c r="S36" s="140">
        <v>0</v>
      </c>
      <c r="T36" s="141">
        <f t="shared" ref="T36" si="11">SUM(P36:S36)</f>
        <v>0.86805555555555547</v>
      </c>
      <c r="U36" s="140">
        <f>'stream I '!U36</f>
        <v>0</v>
      </c>
      <c r="V36" s="144">
        <f t="shared" si="3"/>
        <v>1.0000000000000124</v>
      </c>
      <c r="W36" s="331"/>
    </row>
    <row r="37" spans="1:23" ht="15.75" x14ac:dyDescent="0.25">
      <c r="A37" s="129" t="s">
        <v>104</v>
      </c>
      <c r="B37" s="127" t="s">
        <v>13</v>
      </c>
      <c r="C37" s="127"/>
      <c r="D37" s="127"/>
      <c r="E37" s="127"/>
      <c r="F37" s="127"/>
      <c r="G37" s="127"/>
      <c r="H37" s="127" t="s">
        <v>13</v>
      </c>
      <c r="I37" s="149">
        <f>SUM(I6:I36)</f>
        <v>19.861111111111242</v>
      </c>
      <c r="J37" s="149">
        <f t="shared" ref="J37:U37" si="12">SUM(J6:J36)</f>
        <v>5.9235763888888888</v>
      </c>
      <c r="K37" s="149">
        <f t="shared" si="12"/>
        <v>0.4583680555555556</v>
      </c>
      <c r="L37" s="149">
        <f t="shared" si="12"/>
        <v>0.1388888888888889</v>
      </c>
      <c r="M37" s="149">
        <f t="shared" si="12"/>
        <v>2.0798611111111112</v>
      </c>
      <c r="N37" s="149">
        <f t="shared" si="12"/>
        <v>0</v>
      </c>
      <c r="O37" s="149">
        <f t="shared" si="12"/>
        <v>2.6771180555555549</v>
      </c>
      <c r="P37" s="149">
        <f t="shared" si="12"/>
        <v>0.11805555555555555</v>
      </c>
      <c r="Q37" s="149">
        <f t="shared" si="12"/>
        <v>0</v>
      </c>
      <c r="R37" s="149">
        <f t="shared" si="12"/>
        <v>2.1909722222222219</v>
      </c>
      <c r="S37" s="149">
        <f t="shared" si="12"/>
        <v>0</v>
      </c>
      <c r="T37" s="149">
        <f t="shared" si="12"/>
        <v>2.3090277777777777</v>
      </c>
      <c r="U37" s="149">
        <f t="shared" si="12"/>
        <v>0.22916666666666666</v>
      </c>
      <c r="V37" s="190">
        <f>I37+J37+O37+T37+U37</f>
        <v>31.000000000000131</v>
      </c>
      <c r="W37" s="88"/>
    </row>
    <row r="38" spans="1:23" ht="15.75" x14ac:dyDescent="0.25">
      <c r="B38" s="130"/>
      <c r="C38" s="130"/>
      <c r="D38" s="130"/>
      <c r="E38" s="130"/>
      <c r="F38" s="130"/>
      <c r="G38" s="130"/>
      <c r="H38" s="130"/>
      <c r="I38" s="131"/>
      <c r="J38" s="132"/>
      <c r="K38" s="130"/>
      <c r="L38" s="130"/>
      <c r="M38" s="130"/>
      <c r="N38" s="130"/>
      <c r="O38" s="130"/>
      <c r="P38" s="130"/>
      <c r="Q38" s="130"/>
      <c r="R38" s="130"/>
      <c r="S38" s="130"/>
      <c r="T38" s="133"/>
      <c r="U38" s="133"/>
      <c r="V38" s="235">
        <f>I37+J37+O37+T37+U37</f>
        <v>31.000000000000131</v>
      </c>
    </row>
    <row r="39" spans="1:23" x14ac:dyDescent="0.25">
      <c r="B39" s="130"/>
      <c r="C39" s="130"/>
      <c r="D39" s="130"/>
      <c r="E39" s="130"/>
      <c r="F39" s="130"/>
      <c r="G39" s="130"/>
      <c r="H39" s="130"/>
      <c r="I39" s="131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3" x14ac:dyDescent="0.25"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4"/>
      <c r="N40" s="130"/>
      <c r="O40" s="130"/>
      <c r="P40" s="130"/>
      <c r="Q40" s="130"/>
      <c r="R40" s="130" t="s">
        <v>147</v>
      </c>
      <c r="S40" s="130"/>
      <c r="T40" s="130"/>
      <c r="U40" s="130"/>
      <c r="V40" s="130"/>
    </row>
    <row r="41" spans="1:23" x14ac:dyDescent="0.25">
      <c r="B41" s="130"/>
      <c r="C41" s="130"/>
      <c r="D41" s="130"/>
      <c r="E41" s="130"/>
      <c r="F41" s="130"/>
      <c r="G41" s="130"/>
      <c r="H41" s="130"/>
      <c r="I41" s="135"/>
      <c r="J41" s="135"/>
      <c r="K41" s="135"/>
      <c r="L41" s="135"/>
      <c r="M41" s="135"/>
      <c r="N41" s="135"/>
      <c r="O41" s="136"/>
      <c r="P41" s="135"/>
      <c r="Q41" s="135"/>
      <c r="R41" s="135" t="s">
        <v>105</v>
      </c>
      <c r="S41" s="135"/>
      <c r="T41" s="130"/>
      <c r="U41" s="130"/>
      <c r="V41" s="130"/>
    </row>
    <row r="42" spans="1:23" ht="15.75" x14ac:dyDescent="0.25">
      <c r="A42" s="137" t="s">
        <v>106</v>
      </c>
      <c r="B42" s="130"/>
      <c r="C42" s="130"/>
      <c r="D42" s="130"/>
      <c r="E42" s="130"/>
      <c r="F42" s="130"/>
      <c r="G42" s="130"/>
      <c r="H42" s="130"/>
      <c r="I42" s="131"/>
      <c r="J42" s="130"/>
      <c r="K42" s="130"/>
      <c r="L42" s="130"/>
      <c r="M42" s="134"/>
      <c r="N42" s="130"/>
      <c r="O42" s="136"/>
      <c r="P42" s="130"/>
      <c r="Q42" s="130"/>
      <c r="R42" s="130"/>
      <c r="S42" s="130"/>
      <c r="T42" s="130"/>
      <c r="U42" s="130"/>
      <c r="V42" s="130"/>
    </row>
    <row r="43" spans="1:23" ht="15.75" x14ac:dyDescent="0.25">
      <c r="A43" s="137" t="s">
        <v>107</v>
      </c>
      <c r="B43" s="130"/>
      <c r="C43" s="130"/>
      <c r="D43" s="130"/>
      <c r="E43" s="130"/>
      <c r="F43" s="130"/>
      <c r="G43" s="130"/>
      <c r="H43" s="130"/>
      <c r="I43" s="131"/>
      <c r="J43" s="130"/>
      <c r="K43" s="130"/>
      <c r="L43" s="130"/>
      <c r="M43" s="130"/>
      <c r="N43" s="130"/>
      <c r="O43" s="136"/>
      <c r="P43" s="130"/>
      <c r="Q43" s="130"/>
      <c r="R43" s="130"/>
      <c r="S43" s="130"/>
      <c r="T43" s="130"/>
      <c r="U43" s="130"/>
      <c r="V43" s="130"/>
    </row>
    <row r="44" spans="1:23" ht="15.75" x14ac:dyDescent="0.25">
      <c r="A44" s="137">
        <v>2</v>
      </c>
      <c r="B44" s="130" t="s">
        <v>148</v>
      </c>
      <c r="C44" s="130"/>
      <c r="D44" s="130"/>
      <c r="E44" s="130"/>
      <c r="F44" s="130"/>
      <c r="G44" s="130"/>
      <c r="H44" s="130"/>
      <c r="I44" s="131"/>
      <c r="J44" s="130"/>
      <c r="K44" s="130"/>
      <c r="L44" s="130"/>
      <c r="M44" s="130"/>
      <c r="N44" s="130"/>
      <c r="O44" s="136"/>
      <c r="P44" s="130"/>
      <c r="Q44" s="130"/>
      <c r="R44" s="130"/>
      <c r="S44" s="130"/>
      <c r="T44" s="130"/>
      <c r="U44" s="130"/>
      <c r="V44" s="130"/>
    </row>
    <row r="45" spans="1:23" ht="15.75" x14ac:dyDescent="0.25">
      <c r="A45" s="137">
        <v>3</v>
      </c>
      <c r="B45" s="130" t="s">
        <v>108</v>
      </c>
      <c r="C45" s="130"/>
      <c r="D45" s="130"/>
      <c r="E45" s="130"/>
      <c r="F45" s="130"/>
      <c r="G45" s="130"/>
      <c r="H45" s="130"/>
      <c r="I45" s="131"/>
      <c r="J45" s="130"/>
      <c r="K45" s="130"/>
      <c r="L45" s="130"/>
      <c r="M45" s="130"/>
      <c r="N45" s="130"/>
      <c r="O45" s="136"/>
      <c r="P45" s="130"/>
      <c r="Q45" s="130"/>
      <c r="R45" s="130"/>
      <c r="S45" s="130"/>
      <c r="T45" s="130"/>
      <c r="U45" s="130"/>
      <c r="V45" s="130"/>
    </row>
    <row r="46" spans="1:23" x14ac:dyDescent="0.25">
      <c r="A46" s="138" t="s">
        <v>109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4"/>
      <c r="P46" s="130"/>
      <c r="Q46" s="130"/>
      <c r="R46" s="130"/>
      <c r="S46" s="130"/>
      <c r="T46" s="130"/>
      <c r="U46" s="130"/>
      <c r="V46" s="130"/>
    </row>
    <row r="47" spans="1:23" ht="15.75" x14ac:dyDescent="0.25">
      <c r="A47" s="137"/>
      <c r="B47" s="130"/>
      <c r="C47" s="130"/>
      <c r="D47" s="130"/>
      <c r="E47" s="131"/>
      <c r="F47" s="130"/>
      <c r="G47" s="130"/>
      <c r="H47" s="130"/>
      <c r="I47" s="130"/>
      <c r="J47" s="130"/>
      <c r="K47" s="136"/>
      <c r="L47" s="130"/>
      <c r="M47" s="130"/>
      <c r="N47" s="130"/>
      <c r="O47" s="130"/>
      <c r="P47" s="130"/>
      <c r="Q47" s="130"/>
    </row>
    <row r="48" spans="1:23" ht="15.75" x14ac:dyDescent="0.25">
      <c r="A48" s="137"/>
      <c r="B48" s="130"/>
      <c r="C48" s="130"/>
      <c r="D48" s="130"/>
      <c r="E48" s="131"/>
      <c r="F48" s="130"/>
      <c r="G48" s="130"/>
      <c r="H48" s="130"/>
      <c r="I48" s="130"/>
      <c r="J48" s="130"/>
      <c r="K48" s="136"/>
      <c r="L48" s="130"/>
      <c r="M48" s="130"/>
      <c r="N48" s="130"/>
      <c r="O48" s="130"/>
      <c r="P48" s="130"/>
      <c r="Q48" s="130"/>
    </row>
    <row r="49" spans="1:17" ht="15.75" x14ac:dyDescent="0.25">
      <c r="A49" s="137"/>
      <c r="B49" s="130"/>
      <c r="C49" s="130"/>
      <c r="D49" s="130"/>
      <c r="E49" s="131"/>
      <c r="F49" s="130"/>
      <c r="G49" s="130"/>
      <c r="H49" s="130"/>
      <c r="I49" s="130"/>
      <c r="J49" s="130"/>
      <c r="K49" s="136"/>
      <c r="L49" s="130"/>
      <c r="M49" s="130"/>
      <c r="N49" s="130"/>
      <c r="O49" s="130"/>
      <c r="P49" s="130"/>
      <c r="Q49" s="130"/>
    </row>
    <row r="50" spans="1:17" x14ac:dyDescent="0.25">
      <c r="A50" s="138"/>
      <c r="B50" s="130"/>
      <c r="C50" s="130"/>
      <c r="D50" s="130"/>
      <c r="E50" s="130"/>
      <c r="F50" s="130"/>
      <c r="G50" s="130"/>
      <c r="H50" s="130"/>
      <c r="I50" s="130"/>
      <c r="J50" s="130"/>
      <c r="K50" s="134"/>
      <c r="L50" s="130"/>
      <c r="M50" s="130"/>
      <c r="N50" s="130"/>
      <c r="O50" s="130"/>
      <c r="P50" s="130"/>
      <c r="Q50" s="130"/>
    </row>
  </sheetData>
  <mergeCells count="1">
    <mergeCell ref="W35:W36"/>
  </mergeCells>
  <pageMargins left="0.31496062992125984" right="0.19685039370078741" top="0.23622047244094491" bottom="0.23622047244094491" header="0.31496062992125984" footer="0.31496062992125984"/>
  <pageSetup paperSize="9" scale="63" orientation="landscape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topLeftCell="A26" workbookViewId="0">
      <selection activeCell="H43" sqref="H43"/>
    </sheetView>
  </sheetViews>
  <sheetFormatPr defaultRowHeight="15" x14ac:dyDescent="0.25"/>
  <cols>
    <col min="2" max="2" width="13.140625" customWidth="1"/>
    <col min="3" max="3" width="17.5703125" customWidth="1"/>
    <col min="4" max="4" width="23.28515625" customWidth="1"/>
    <col min="5" max="5" width="15.28515625" customWidth="1"/>
    <col min="6" max="6" width="12.7109375" customWidth="1"/>
    <col min="7" max="7" width="13.28515625" customWidth="1"/>
    <col min="8" max="8" width="17" customWidth="1"/>
    <col min="9" max="9" width="13.7109375" customWidth="1"/>
    <col min="10" max="10" width="16.7109375" customWidth="1"/>
    <col min="11" max="11" width="13" customWidth="1"/>
  </cols>
  <sheetData>
    <row r="1" spans="2:11" ht="20.25" x14ac:dyDescent="0.3">
      <c r="B1" t="s">
        <v>122</v>
      </c>
      <c r="E1" s="176" t="s">
        <v>123</v>
      </c>
    </row>
    <row r="2" spans="2:11" ht="20.25" x14ac:dyDescent="0.3">
      <c r="B2" s="177"/>
      <c r="C2" s="177"/>
      <c r="D2" s="177"/>
      <c r="E2" s="176" t="s">
        <v>124</v>
      </c>
      <c r="G2" s="177"/>
      <c r="H2" s="177"/>
    </row>
    <row r="4" spans="2:11" ht="20.25" customHeight="1" x14ac:dyDescent="0.4">
      <c r="B4" s="178" t="s">
        <v>125</v>
      </c>
      <c r="C4" s="158"/>
      <c r="D4" s="177"/>
      <c r="E4" s="179"/>
      <c r="F4" s="177"/>
      <c r="G4" s="177"/>
      <c r="H4" s="177"/>
    </row>
    <row r="5" spans="2:11" ht="20.25" customHeight="1" x14ac:dyDescent="0.4">
      <c r="B5" s="178" t="s">
        <v>126</v>
      </c>
      <c r="C5" s="158"/>
      <c r="D5" s="177"/>
      <c r="E5" s="179"/>
      <c r="F5" s="177"/>
      <c r="G5" s="177"/>
      <c r="H5" s="177"/>
    </row>
    <row r="7" spans="2:11" ht="0.75" customHeight="1" x14ac:dyDescent="0.25"/>
    <row r="8" spans="2:11" ht="18.75" x14ac:dyDescent="0.3">
      <c r="D8" s="180" t="s">
        <v>127</v>
      </c>
    </row>
    <row r="10" spans="2:11" ht="90" x14ac:dyDescent="0.25">
      <c r="B10" s="175" t="s">
        <v>128</v>
      </c>
      <c r="C10" s="175" t="s">
        <v>129</v>
      </c>
      <c r="D10" s="175" t="s">
        <v>130</v>
      </c>
      <c r="E10" s="181" t="s">
        <v>131</v>
      </c>
      <c r="F10" s="181" t="s">
        <v>132</v>
      </c>
      <c r="G10" s="181" t="s">
        <v>133</v>
      </c>
      <c r="H10" s="181" t="s">
        <v>134</v>
      </c>
      <c r="I10" s="181" t="s">
        <v>135</v>
      </c>
      <c r="J10" s="181" t="s">
        <v>136</v>
      </c>
      <c r="K10" s="181" t="s">
        <v>137</v>
      </c>
    </row>
    <row r="11" spans="2:11" s="188" customFormat="1" ht="45" x14ac:dyDescent="0.25">
      <c r="B11" s="157" t="s">
        <v>53</v>
      </c>
      <c r="C11" s="184" t="s">
        <v>138</v>
      </c>
      <c r="D11" s="185" t="s">
        <v>139</v>
      </c>
      <c r="E11" s="157">
        <f>8*3*31</f>
        <v>744</v>
      </c>
      <c r="F11" s="186">
        <f>(51.3+44+31.05)/3</f>
        <v>42.116666666666667</v>
      </c>
      <c r="G11" s="157">
        <f>(35.1+33.15+17.1)/3</f>
        <v>28.45</v>
      </c>
      <c r="H11" s="157">
        <f>57/60</f>
        <v>0.95</v>
      </c>
      <c r="I11" s="157">
        <f>(110.1+108.15+114)/3</f>
        <v>110.75</v>
      </c>
      <c r="J11" s="186">
        <f>E11-(F11+G11+H11)</f>
        <v>672.48333333333335</v>
      </c>
      <c r="K11" s="187">
        <f>J11/E11</f>
        <v>0.90387544802867381</v>
      </c>
    </row>
    <row r="12" spans="2:11" x14ac:dyDescent="0.25">
      <c r="F12" t="s">
        <v>140</v>
      </c>
    </row>
    <row r="15" spans="2:11" ht="18.75" x14ac:dyDescent="0.3">
      <c r="D15" s="180" t="s">
        <v>141</v>
      </c>
    </row>
    <row r="17" spans="2:12" ht="90" x14ac:dyDescent="0.25">
      <c r="B17" s="175" t="s">
        <v>128</v>
      </c>
      <c r="C17" s="175" t="s">
        <v>129</v>
      </c>
      <c r="D17" s="175" t="s">
        <v>130</v>
      </c>
      <c r="E17" s="181" t="s">
        <v>131</v>
      </c>
      <c r="F17" s="181" t="s">
        <v>132</v>
      </c>
      <c r="G17" s="181" t="s">
        <v>133</v>
      </c>
      <c r="H17" s="181" t="s">
        <v>134</v>
      </c>
      <c r="I17" s="181" t="s">
        <v>135</v>
      </c>
      <c r="J17" s="181" t="s">
        <v>136</v>
      </c>
      <c r="K17" s="185" t="s">
        <v>137</v>
      </c>
    </row>
    <row r="18" spans="2:12" ht="45" x14ac:dyDescent="0.25">
      <c r="B18" s="157" t="s">
        <v>53</v>
      </c>
      <c r="C18" s="184" t="s">
        <v>138</v>
      </c>
      <c r="D18" s="185" t="s">
        <v>142</v>
      </c>
      <c r="E18" s="157">
        <f>8*3*29</f>
        <v>696</v>
      </c>
      <c r="F18" s="186">
        <f>(33+4.05+13.35)/3</f>
        <v>16.8</v>
      </c>
      <c r="G18" s="157">
        <f>(45+8.5+13.1)/3</f>
        <v>22.2</v>
      </c>
      <c r="H18" s="157">
        <f>54/60</f>
        <v>0.9</v>
      </c>
      <c r="I18" s="186">
        <f>(119.3+110.35+131.05)/3</f>
        <v>120.23333333333333</v>
      </c>
      <c r="J18" s="186">
        <f>E18-(F18+G18+H18)</f>
        <v>656.1</v>
      </c>
      <c r="K18" s="187">
        <f>J18/E18</f>
        <v>0.94267241379310351</v>
      </c>
    </row>
    <row r="21" spans="2:12" x14ac:dyDescent="0.25">
      <c r="B21" t="s">
        <v>143</v>
      </c>
    </row>
    <row r="25" spans="2:12" x14ac:dyDescent="0.25">
      <c r="K25" t="s">
        <v>52</v>
      </c>
    </row>
    <row r="26" spans="2:12" x14ac:dyDescent="0.25">
      <c r="K26" t="s">
        <v>105</v>
      </c>
    </row>
    <row r="28" spans="2:12" ht="20.25" x14ac:dyDescent="0.3">
      <c r="E28" s="176" t="s">
        <v>123</v>
      </c>
      <c r="L28" s="236">
        <v>0.33333333333333331</v>
      </c>
    </row>
    <row r="29" spans="2:12" ht="20.25" x14ac:dyDescent="0.3">
      <c r="E29" s="176" t="s">
        <v>124</v>
      </c>
    </row>
    <row r="30" spans="2:12" ht="18.75" x14ac:dyDescent="0.3">
      <c r="D30" s="194" t="s">
        <v>248</v>
      </c>
      <c r="E30" s="231"/>
    </row>
    <row r="31" spans="2:12" ht="18.75" x14ac:dyDescent="0.3">
      <c r="C31" s="194"/>
      <c r="E31" s="231"/>
    </row>
    <row r="32" spans="2:12" ht="18.75" x14ac:dyDescent="0.3">
      <c r="C32" s="194"/>
      <c r="E32" s="231"/>
    </row>
    <row r="33" spans="2:11" ht="15.75" x14ac:dyDescent="0.25">
      <c r="B33" s="178" t="s">
        <v>125</v>
      </c>
    </row>
    <row r="34" spans="2:11" ht="15.75" x14ac:dyDescent="0.25">
      <c r="B34" s="178" t="s">
        <v>126</v>
      </c>
    </row>
    <row r="35" spans="2:11" ht="15.75" x14ac:dyDescent="0.25">
      <c r="B35" s="178"/>
    </row>
    <row r="36" spans="2:11" ht="93.75" x14ac:dyDescent="0.25">
      <c r="B36" s="232" t="s">
        <v>182</v>
      </c>
      <c r="C36" s="232" t="s">
        <v>183</v>
      </c>
      <c r="D36" s="232" t="s">
        <v>184</v>
      </c>
      <c r="E36" s="232" t="s">
        <v>185</v>
      </c>
      <c r="F36" s="232" t="s">
        <v>186</v>
      </c>
      <c r="G36" s="232" t="s">
        <v>187</v>
      </c>
      <c r="H36" s="232" t="s">
        <v>136</v>
      </c>
      <c r="I36" s="232" t="s">
        <v>188</v>
      </c>
      <c r="J36" s="232" t="s">
        <v>189</v>
      </c>
      <c r="K36" s="233" t="s">
        <v>190</v>
      </c>
    </row>
    <row r="37" spans="2:11" ht="18.75" x14ac:dyDescent="0.25">
      <c r="B37" s="191" t="s">
        <v>53</v>
      </c>
      <c r="C37" s="192">
        <f>L28*3*30</f>
        <v>30</v>
      </c>
      <c r="D37" s="192">
        <f>('stream I '!T37+' stream II  '!T37+'stream III '!T37)/3</f>
        <v>1.7152777777777777</v>
      </c>
      <c r="E37" s="192">
        <f>('stream I '!O37+' stream II  '!O37+'stream III '!O37)/3</f>
        <v>1.7315162037037037</v>
      </c>
      <c r="F37" s="192">
        <f>('stream I '!U37+' stream II  '!U37+'stream III '!U37)/3</f>
        <v>0.22916666666666666</v>
      </c>
      <c r="G37" s="192">
        <f>('stream I '!J37+' stream II  '!J37+'stream III '!J37)/3</f>
        <v>5.8657060185185186</v>
      </c>
      <c r="H37" s="192">
        <f>C37-D37-E37-F37</f>
        <v>26.324039351851848</v>
      </c>
      <c r="I37" s="193">
        <f>H37/C37</f>
        <v>0.87746797839506163</v>
      </c>
      <c r="J37" s="234">
        <f>H37-G37</f>
        <v>20.458333333333329</v>
      </c>
      <c r="K37" s="193">
        <f>J37/C37</f>
        <v>0.68194444444444424</v>
      </c>
    </row>
    <row r="40" spans="2:11" ht="18.75" x14ac:dyDescent="0.3">
      <c r="I40" s="194" t="s">
        <v>52</v>
      </c>
      <c r="J40" s="194"/>
    </row>
    <row r="41" spans="2:11" ht="18.75" x14ac:dyDescent="0.3">
      <c r="B41" s="158" t="s">
        <v>165</v>
      </c>
      <c r="I41" s="194" t="s">
        <v>105</v>
      </c>
      <c r="J41" s="194"/>
    </row>
    <row r="42" spans="2:11" ht="15.75" x14ac:dyDescent="0.25">
      <c r="B42" s="158" t="s">
        <v>166</v>
      </c>
    </row>
    <row r="43" spans="2:11" ht="15.75" x14ac:dyDescent="0.25">
      <c r="B43" s="158" t="s">
        <v>167</v>
      </c>
    </row>
  </sheetData>
  <pageMargins left="0.39370078740157483" right="0.78740157480314965" top="0.39370078740157483" bottom="0.39370078740157483" header="0.31496062992125984" footer="0.31496062992125984"/>
  <pageSetup paperSize="9" scale="55" orientation="landscape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00"/>
  <sheetViews>
    <sheetView topLeftCell="A83" workbookViewId="0">
      <selection activeCell="C89" sqref="C89"/>
    </sheetView>
  </sheetViews>
  <sheetFormatPr defaultRowHeight="15" x14ac:dyDescent="0.25"/>
  <cols>
    <col min="2" max="2" width="11.28515625" customWidth="1"/>
    <col min="3" max="3" width="13.85546875" customWidth="1"/>
    <col min="4" max="4" width="14" customWidth="1"/>
    <col min="5" max="5" width="14.7109375" customWidth="1"/>
    <col min="6" max="6" width="13" customWidth="1"/>
    <col min="7" max="7" width="10.140625" customWidth="1"/>
    <col min="8" max="8" width="13.42578125" customWidth="1"/>
    <col min="9" max="9" width="13.85546875" customWidth="1"/>
    <col min="10" max="10" width="14.140625" customWidth="1"/>
    <col min="11" max="11" width="10.7109375" customWidth="1"/>
    <col min="12" max="12" width="16.140625" customWidth="1"/>
  </cols>
  <sheetData>
    <row r="5" spans="2:12" ht="23.25" x14ac:dyDescent="0.35">
      <c r="B5" t="s">
        <v>122</v>
      </c>
      <c r="E5" s="195" t="s">
        <v>123</v>
      </c>
    </row>
    <row r="6" spans="2:12" ht="20.25" x14ac:dyDescent="0.3">
      <c r="B6" s="177"/>
      <c r="C6" s="177"/>
      <c r="D6" s="177"/>
      <c r="E6" s="176" t="s">
        <v>124</v>
      </c>
      <c r="G6" s="177"/>
      <c r="H6" s="177"/>
      <c r="I6" s="177"/>
      <c r="J6" s="177"/>
      <c r="K6" s="177"/>
      <c r="L6" s="177"/>
    </row>
    <row r="8" spans="2:12" ht="26.25" x14ac:dyDescent="0.4">
      <c r="B8" s="178" t="s">
        <v>125</v>
      </c>
      <c r="C8" s="158"/>
      <c r="D8" s="177"/>
      <c r="E8" s="179"/>
      <c r="F8" s="177"/>
      <c r="G8" s="177"/>
      <c r="H8" s="177"/>
      <c r="I8" s="177"/>
      <c r="J8" s="177"/>
      <c r="K8" s="177"/>
      <c r="L8" s="177"/>
    </row>
    <row r="9" spans="2:12" ht="26.25" x14ac:dyDescent="0.4">
      <c r="B9" s="178" t="s">
        <v>126</v>
      </c>
      <c r="C9" s="158"/>
      <c r="D9" s="177"/>
      <c r="E9" s="179"/>
      <c r="F9" s="177"/>
      <c r="G9" s="177"/>
      <c r="H9" s="177"/>
      <c r="I9" s="177"/>
      <c r="J9" s="177"/>
      <c r="K9" s="177"/>
      <c r="L9" s="177"/>
    </row>
    <row r="10" spans="2:12" ht="21" thickBot="1" x14ac:dyDescent="0.35">
      <c r="B10" s="177"/>
      <c r="C10" s="177"/>
      <c r="D10" s="177"/>
      <c r="E10" s="196" t="s">
        <v>149</v>
      </c>
      <c r="F10" s="177"/>
      <c r="G10" s="177"/>
      <c r="H10" s="177"/>
      <c r="I10" s="177"/>
      <c r="J10" s="177"/>
      <c r="K10" s="177"/>
      <c r="L10" s="177"/>
    </row>
    <row r="11" spans="2:12" ht="57.75" thickBot="1" x14ac:dyDescent="0.3">
      <c r="B11" s="197" t="s">
        <v>150</v>
      </c>
      <c r="C11" s="198" t="s">
        <v>151</v>
      </c>
      <c r="D11" s="198" t="s">
        <v>152</v>
      </c>
      <c r="E11" s="198" t="s">
        <v>153</v>
      </c>
      <c r="F11" s="198" t="s">
        <v>154</v>
      </c>
      <c r="G11" s="198" t="s">
        <v>155</v>
      </c>
      <c r="H11" s="198" t="s">
        <v>156</v>
      </c>
      <c r="I11" s="198" t="s">
        <v>157</v>
      </c>
      <c r="J11" s="198" t="s">
        <v>158</v>
      </c>
      <c r="K11" s="198" t="s">
        <v>159</v>
      </c>
      <c r="L11" s="199" t="s">
        <v>160</v>
      </c>
    </row>
    <row r="12" spans="2:12" ht="23.25" x14ac:dyDescent="0.25">
      <c r="B12" s="200"/>
      <c r="C12" s="201"/>
      <c r="D12" s="202"/>
      <c r="E12" s="202"/>
      <c r="F12" s="202"/>
      <c r="G12" s="203"/>
      <c r="H12" s="201"/>
      <c r="I12" s="202"/>
      <c r="J12" s="202"/>
      <c r="K12" s="202"/>
      <c r="L12" s="204"/>
    </row>
    <row r="13" spans="2:12" x14ac:dyDescent="0.25">
      <c r="B13" s="205" t="s">
        <v>54</v>
      </c>
      <c r="C13" s="206">
        <v>833333.3</v>
      </c>
      <c r="D13" s="182">
        <v>800000</v>
      </c>
      <c r="E13" s="183">
        <v>862193.73</v>
      </c>
      <c r="F13" s="207" t="s">
        <v>161</v>
      </c>
      <c r="G13" s="208">
        <v>1</v>
      </c>
      <c r="H13" s="209">
        <f>E13/D13</f>
        <v>1.0777421624999999</v>
      </c>
      <c r="I13" s="210">
        <f>E13/C13</f>
        <v>1.0346325173853006</v>
      </c>
      <c r="J13" s="183">
        <v>888734.4</v>
      </c>
      <c r="K13" s="210">
        <v>-3.0779999999999998E-2</v>
      </c>
      <c r="L13" s="211">
        <v>27586.21</v>
      </c>
    </row>
    <row r="14" spans="2:12" ht="43.5" thickBot="1" x14ac:dyDescent="0.3">
      <c r="B14" s="212"/>
      <c r="C14" s="213" t="s">
        <v>162</v>
      </c>
      <c r="D14" s="214"/>
      <c r="E14" s="215"/>
      <c r="F14" s="215"/>
      <c r="G14" s="216"/>
      <c r="H14" s="217"/>
      <c r="I14" s="218"/>
      <c r="J14" s="215"/>
      <c r="K14" s="218"/>
      <c r="L14" s="219"/>
    </row>
    <row r="15" spans="2:12" x14ac:dyDescent="0.25"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</row>
    <row r="16" spans="2:12" ht="15.75" x14ac:dyDescent="0.25">
      <c r="B16" s="178" t="s">
        <v>163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0"/>
    </row>
    <row r="17" spans="2:12" ht="18.75" x14ac:dyDescent="0.25">
      <c r="B17" s="221"/>
      <c r="C17" s="220"/>
      <c r="D17" s="220"/>
      <c r="E17" s="220"/>
      <c r="F17" s="220"/>
      <c r="G17" s="220"/>
      <c r="H17" s="1"/>
      <c r="I17" s="220"/>
      <c r="J17" s="220"/>
      <c r="K17" s="220"/>
      <c r="L17" s="220"/>
    </row>
    <row r="18" spans="2:12" ht="15.75" x14ac:dyDescent="0.25">
      <c r="B18" s="220"/>
      <c r="C18" s="220"/>
      <c r="D18" s="220"/>
      <c r="E18" s="220"/>
      <c r="F18" s="220"/>
      <c r="G18" s="220"/>
      <c r="H18" s="220"/>
      <c r="I18" s="220"/>
      <c r="K18" s="178" t="s">
        <v>52</v>
      </c>
      <c r="L18" s="220"/>
    </row>
    <row r="19" spans="2:12" ht="15.75" x14ac:dyDescent="0.25">
      <c r="B19" s="220"/>
      <c r="C19" s="220"/>
      <c r="D19" s="220"/>
      <c r="E19" s="220"/>
      <c r="F19" s="220"/>
      <c r="G19" s="220"/>
      <c r="H19" s="220"/>
      <c r="I19" s="220"/>
      <c r="K19" s="178" t="s">
        <v>164</v>
      </c>
      <c r="L19" s="220"/>
    </row>
    <row r="20" spans="2:12" ht="15.75" x14ac:dyDescent="0.25">
      <c r="B20" s="158" t="s">
        <v>165</v>
      </c>
      <c r="C20" s="222"/>
      <c r="D20" s="222"/>
      <c r="E20" s="177"/>
      <c r="F20" s="177"/>
      <c r="G20" s="177"/>
      <c r="H20" s="177"/>
      <c r="I20" s="177"/>
      <c r="J20" s="177"/>
      <c r="K20" s="177"/>
      <c r="L20" s="177"/>
    </row>
    <row r="21" spans="2:12" ht="15.75" x14ac:dyDescent="0.25">
      <c r="B21" s="158" t="s">
        <v>166</v>
      </c>
      <c r="C21" s="223"/>
      <c r="D21" s="223"/>
      <c r="E21" s="224"/>
      <c r="F21" s="224"/>
      <c r="G21" s="224"/>
      <c r="H21" s="224"/>
      <c r="I21" s="224"/>
      <c r="J21" s="224"/>
      <c r="K21" s="224"/>
      <c r="L21" s="224"/>
    </row>
    <row r="22" spans="2:12" ht="15.75" x14ac:dyDescent="0.25">
      <c r="B22" s="158" t="s">
        <v>167</v>
      </c>
      <c r="C22" s="224"/>
      <c r="D22" s="224"/>
      <c r="E22" s="224"/>
      <c r="F22" s="224"/>
      <c r="G22" s="224"/>
      <c r="H22" s="224"/>
      <c r="I22" s="224"/>
      <c r="J22" s="224"/>
      <c r="K22" s="224"/>
      <c r="L22" s="224"/>
    </row>
    <row r="30" spans="2:12" ht="23.25" x14ac:dyDescent="0.35">
      <c r="B30" t="s">
        <v>122</v>
      </c>
      <c r="E30" s="195" t="s">
        <v>123</v>
      </c>
    </row>
    <row r="31" spans="2:12" ht="20.25" x14ac:dyDescent="0.3">
      <c r="B31" s="177"/>
      <c r="C31" s="177"/>
      <c r="D31" s="177"/>
      <c r="E31" s="176" t="s">
        <v>124</v>
      </c>
      <c r="G31" s="177"/>
      <c r="H31" s="177"/>
      <c r="I31" s="177"/>
      <c r="J31" s="177"/>
      <c r="K31" s="177"/>
      <c r="L31" s="177"/>
    </row>
    <row r="33" spans="2:12" ht="26.25" x14ac:dyDescent="0.4">
      <c r="B33" s="178" t="s">
        <v>125</v>
      </c>
      <c r="C33" s="158"/>
      <c r="D33" s="177"/>
      <c r="E33" s="179"/>
      <c r="F33" s="177"/>
      <c r="G33" s="177"/>
      <c r="H33" s="177"/>
      <c r="I33" s="177"/>
      <c r="J33" s="177"/>
      <c r="K33" s="177"/>
      <c r="L33" s="177"/>
    </row>
    <row r="34" spans="2:12" ht="26.25" x14ac:dyDescent="0.4">
      <c r="B34" s="178" t="s">
        <v>126</v>
      </c>
      <c r="C34" s="158"/>
      <c r="D34" s="177"/>
      <c r="E34" s="179"/>
      <c r="F34" s="177"/>
      <c r="G34" s="177"/>
      <c r="H34" s="177"/>
      <c r="I34" s="177"/>
      <c r="J34" s="177"/>
      <c r="K34" s="177"/>
      <c r="L34" s="177"/>
    </row>
    <row r="35" spans="2:12" ht="21" thickBot="1" x14ac:dyDescent="0.35">
      <c r="B35" s="177"/>
      <c r="C35" s="177"/>
      <c r="D35" s="177"/>
      <c r="E35" s="196" t="s">
        <v>168</v>
      </c>
      <c r="F35" s="177"/>
      <c r="G35" s="177"/>
      <c r="H35" s="177"/>
      <c r="I35" s="177"/>
      <c r="J35" s="177"/>
      <c r="K35" s="177"/>
      <c r="L35" s="177"/>
    </row>
    <row r="36" spans="2:12" ht="57.75" thickBot="1" x14ac:dyDescent="0.3">
      <c r="B36" s="197" t="s">
        <v>150</v>
      </c>
      <c r="C36" s="198" t="s">
        <v>151</v>
      </c>
      <c r="D36" s="198" t="s">
        <v>169</v>
      </c>
      <c r="E36" s="198" t="s">
        <v>170</v>
      </c>
      <c r="F36" s="198" t="s">
        <v>154</v>
      </c>
      <c r="G36" s="198" t="s">
        <v>155</v>
      </c>
      <c r="H36" s="198" t="s">
        <v>156</v>
      </c>
      <c r="I36" s="198" t="s">
        <v>157</v>
      </c>
      <c r="J36" s="198" t="s">
        <v>171</v>
      </c>
      <c r="K36" s="198" t="s">
        <v>159</v>
      </c>
      <c r="L36" s="199" t="s">
        <v>172</v>
      </c>
    </row>
    <row r="37" spans="2:12" ht="23.25" x14ac:dyDescent="0.25">
      <c r="B37" s="200"/>
      <c r="C37" s="201"/>
      <c r="D37" s="202"/>
      <c r="E37" s="202"/>
      <c r="F37" s="202"/>
      <c r="G37" s="203"/>
      <c r="H37" s="201"/>
      <c r="I37" s="202"/>
      <c r="J37" s="202"/>
      <c r="K37" s="202"/>
      <c r="L37" s="204"/>
    </row>
    <row r="38" spans="2:12" x14ac:dyDescent="0.25">
      <c r="B38" s="205" t="s">
        <v>54</v>
      </c>
      <c r="C38" s="206">
        <v>833333.3</v>
      </c>
      <c r="D38" s="182">
        <v>800000</v>
      </c>
      <c r="E38" s="183">
        <v>772986.59</v>
      </c>
      <c r="F38" s="207" t="s">
        <v>161</v>
      </c>
      <c r="G38" s="208">
        <v>1</v>
      </c>
      <c r="H38" s="209">
        <f>E38/D38</f>
        <v>0.96623323750000001</v>
      </c>
      <c r="I38" s="210">
        <f>E38/C38</f>
        <v>0.92758394510335773</v>
      </c>
      <c r="J38" s="183">
        <v>641154.82999999996</v>
      </c>
      <c r="K38" s="210">
        <f>E38/J38</f>
        <v>1.2056161067990394</v>
      </c>
      <c r="L38" s="211">
        <f>D38/31</f>
        <v>25806.451612903227</v>
      </c>
    </row>
    <row r="39" spans="2:12" ht="43.5" thickBot="1" x14ac:dyDescent="0.3">
      <c r="B39" s="212"/>
      <c r="C39" s="213" t="s">
        <v>162</v>
      </c>
      <c r="D39" s="214"/>
      <c r="E39" s="215"/>
      <c r="F39" s="215"/>
      <c r="G39" s="216"/>
      <c r="H39" s="217"/>
      <c r="I39" s="218"/>
      <c r="J39" s="215"/>
      <c r="K39" s="218"/>
      <c r="L39" s="219"/>
    </row>
    <row r="40" spans="2:12" x14ac:dyDescent="0.25"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</row>
    <row r="41" spans="2:12" ht="15.75" x14ac:dyDescent="0.25">
      <c r="B41" s="178" t="s">
        <v>173</v>
      </c>
      <c r="C41" s="220"/>
      <c r="D41" s="220"/>
      <c r="E41" s="220"/>
      <c r="F41" s="220"/>
      <c r="G41" s="220"/>
      <c r="H41" s="220"/>
      <c r="I41" s="220"/>
      <c r="J41" s="220"/>
      <c r="K41" s="220"/>
      <c r="L41" s="220"/>
    </row>
    <row r="42" spans="2:12" ht="18.75" x14ac:dyDescent="0.25">
      <c r="B42" s="221" t="s">
        <v>174</v>
      </c>
      <c r="C42" s="220"/>
      <c r="D42" s="220"/>
      <c r="E42" s="220"/>
      <c r="F42" s="220"/>
      <c r="G42" s="220"/>
      <c r="H42" s="1"/>
      <c r="I42" s="220"/>
      <c r="J42" s="220"/>
      <c r="K42" s="220"/>
      <c r="L42" s="220"/>
    </row>
    <row r="43" spans="2:12" ht="18.75" x14ac:dyDescent="0.25">
      <c r="B43" s="221"/>
      <c r="C43" s="220"/>
      <c r="D43" s="220"/>
      <c r="E43" s="220"/>
      <c r="F43" s="220"/>
      <c r="G43" s="220"/>
      <c r="H43" s="1"/>
      <c r="I43" s="220"/>
      <c r="J43" s="220"/>
      <c r="K43" s="220"/>
      <c r="L43" s="220"/>
    </row>
    <row r="44" spans="2:12" ht="18.75" x14ac:dyDescent="0.25">
      <c r="B44" s="221"/>
      <c r="C44" s="220"/>
      <c r="D44" s="220"/>
      <c r="E44" s="220"/>
      <c r="F44" s="220"/>
      <c r="G44" s="220"/>
      <c r="H44" s="1"/>
      <c r="I44" s="220"/>
      <c r="J44" s="220"/>
      <c r="K44" s="220"/>
      <c r="L44" s="220"/>
    </row>
    <row r="45" spans="2:12" ht="15.75" x14ac:dyDescent="0.25">
      <c r="B45" s="220"/>
      <c r="C45" s="220"/>
      <c r="D45" s="220"/>
      <c r="E45" s="220"/>
      <c r="F45" s="220"/>
      <c r="G45" s="220"/>
      <c r="H45" s="220"/>
      <c r="I45" s="220"/>
      <c r="K45" s="178" t="s">
        <v>52</v>
      </c>
      <c r="L45" s="220"/>
    </row>
    <row r="46" spans="2:12" ht="15.75" x14ac:dyDescent="0.25">
      <c r="B46" s="220"/>
      <c r="C46" s="220"/>
      <c r="D46" s="220"/>
      <c r="E46" s="220"/>
      <c r="F46" s="220"/>
      <c r="G46" s="220"/>
      <c r="H46" s="220"/>
      <c r="I46" s="220"/>
      <c r="K46" s="178" t="s">
        <v>164</v>
      </c>
      <c r="L46" s="220"/>
    </row>
    <row r="47" spans="2:12" ht="15.75" x14ac:dyDescent="0.25">
      <c r="B47" s="158" t="s">
        <v>165</v>
      </c>
      <c r="C47" s="222"/>
      <c r="D47" s="222"/>
      <c r="E47" s="177"/>
      <c r="F47" s="177"/>
      <c r="G47" s="177"/>
      <c r="H47" s="177"/>
      <c r="I47" s="177"/>
      <c r="J47" s="177"/>
      <c r="K47" s="177"/>
      <c r="L47" s="177"/>
    </row>
    <row r="48" spans="2:12" ht="15.75" x14ac:dyDescent="0.25">
      <c r="B48" s="158" t="s">
        <v>166</v>
      </c>
      <c r="C48" s="223"/>
      <c r="D48" s="223"/>
      <c r="E48" s="224"/>
      <c r="F48" s="224"/>
      <c r="G48" s="224"/>
      <c r="H48" s="224"/>
      <c r="I48" s="224"/>
      <c r="J48" s="224"/>
      <c r="K48" s="224"/>
      <c r="L48" s="224"/>
    </row>
    <row r="49" spans="2:12" ht="15.75" x14ac:dyDescent="0.25">
      <c r="B49" s="158" t="s">
        <v>167</v>
      </c>
      <c r="C49" s="224"/>
      <c r="D49" s="224"/>
      <c r="E49" s="224"/>
      <c r="F49" s="224"/>
      <c r="G49" s="224"/>
      <c r="H49" s="224"/>
      <c r="I49" s="224"/>
      <c r="J49" s="224"/>
      <c r="K49" s="224"/>
      <c r="L49" s="224"/>
    </row>
    <row r="57" spans="2:12" ht="23.25" x14ac:dyDescent="0.35">
      <c r="B57" t="s">
        <v>122</v>
      </c>
      <c r="E57" s="195" t="s">
        <v>123</v>
      </c>
    </row>
    <row r="58" spans="2:12" ht="20.25" x14ac:dyDescent="0.3">
      <c r="B58" s="177"/>
      <c r="C58" s="177"/>
      <c r="D58" s="177"/>
      <c r="E58" s="176" t="s">
        <v>124</v>
      </c>
      <c r="G58" s="177"/>
      <c r="H58" s="177"/>
      <c r="I58" s="177"/>
      <c r="J58" s="177"/>
      <c r="K58" s="177"/>
      <c r="L58" s="177"/>
    </row>
    <row r="60" spans="2:12" ht="26.25" x14ac:dyDescent="0.4">
      <c r="B60" s="178" t="s">
        <v>125</v>
      </c>
      <c r="C60" s="158"/>
      <c r="D60" s="177"/>
      <c r="E60" s="179"/>
      <c r="F60" s="177"/>
      <c r="G60" s="177"/>
      <c r="H60" s="177"/>
      <c r="I60" s="177"/>
      <c r="J60" s="177"/>
      <c r="K60" s="177"/>
      <c r="L60" s="177"/>
    </row>
    <row r="61" spans="2:12" ht="26.25" x14ac:dyDescent="0.4">
      <c r="B61" s="178" t="s">
        <v>126</v>
      </c>
      <c r="C61" s="158"/>
      <c r="D61" s="177"/>
      <c r="E61" s="179"/>
      <c r="F61" s="177"/>
      <c r="G61" s="177"/>
      <c r="H61" s="177"/>
      <c r="I61" s="177"/>
      <c r="J61" s="177"/>
      <c r="K61" s="177"/>
      <c r="L61" s="177"/>
    </row>
    <row r="62" spans="2:12" ht="21" thickBot="1" x14ac:dyDescent="0.35">
      <c r="B62" s="177"/>
      <c r="C62" s="177"/>
      <c r="D62" s="177"/>
      <c r="E62" s="196" t="s">
        <v>175</v>
      </c>
      <c r="F62" s="177"/>
      <c r="G62" s="177"/>
      <c r="H62" s="177"/>
      <c r="I62" s="177"/>
      <c r="J62" s="177"/>
      <c r="K62" s="177"/>
      <c r="L62" s="177"/>
    </row>
    <row r="63" spans="2:12" ht="57.75" thickBot="1" x14ac:dyDescent="0.3">
      <c r="B63" s="197" t="s">
        <v>150</v>
      </c>
      <c r="C63" s="198" t="s">
        <v>151</v>
      </c>
      <c r="D63" s="198" t="s">
        <v>176</v>
      </c>
      <c r="E63" s="198" t="s">
        <v>177</v>
      </c>
      <c r="F63" s="198" t="s">
        <v>154</v>
      </c>
      <c r="G63" s="198" t="s">
        <v>155</v>
      </c>
      <c r="H63" s="198" t="s">
        <v>156</v>
      </c>
      <c r="I63" s="198" t="s">
        <v>157</v>
      </c>
      <c r="J63" s="198" t="s">
        <v>178</v>
      </c>
      <c r="K63" s="198" t="s">
        <v>159</v>
      </c>
      <c r="L63" s="199" t="s">
        <v>179</v>
      </c>
    </row>
    <row r="64" spans="2:12" ht="23.25" x14ac:dyDescent="0.25">
      <c r="B64" s="200"/>
      <c r="C64" s="201"/>
      <c r="D64" s="202"/>
      <c r="E64" s="202"/>
      <c r="F64" s="202"/>
      <c r="G64" s="203"/>
      <c r="H64" s="201"/>
      <c r="I64" s="202"/>
      <c r="J64" s="202"/>
      <c r="K64" s="202"/>
      <c r="L64" s="204"/>
    </row>
    <row r="65" spans="2:12" x14ac:dyDescent="0.25">
      <c r="B65" s="205" t="s">
        <v>54</v>
      </c>
      <c r="C65" s="206">
        <v>833333.3</v>
      </c>
      <c r="D65" s="182">
        <v>1060000</v>
      </c>
      <c r="E65" s="183">
        <v>929100.47</v>
      </c>
      <c r="F65" s="207" t="s">
        <v>161</v>
      </c>
      <c r="G65" s="208">
        <v>1</v>
      </c>
      <c r="H65" s="209">
        <f>E65/D65</f>
        <v>0.87650987735849051</v>
      </c>
      <c r="I65" s="210">
        <f>E65/C65</f>
        <v>1.1149206085968242</v>
      </c>
      <c r="J65" s="183">
        <v>928091.1</v>
      </c>
      <c r="K65" s="210">
        <f>E65/J65</f>
        <v>1.0010875764243403</v>
      </c>
      <c r="L65" s="211">
        <f>1080000/31</f>
        <v>34838.709677419356</v>
      </c>
    </row>
    <row r="66" spans="2:12" ht="43.5" thickBot="1" x14ac:dyDescent="0.3">
      <c r="B66" s="212"/>
      <c r="C66" s="213" t="s">
        <v>162</v>
      </c>
      <c r="D66" s="214"/>
      <c r="E66" s="215"/>
      <c r="F66" s="215"/>
      <c r="G66" s="216"/>
      <c r="H66" s="217"/>
      <c r="I66" s="218"/>
      <c r="J66" s="215"/>
      <c r="K66" s="218"/>
      <c r="L66" s="219"/>
    </row>
    <row r="67" spans="2:12" x14ac:dyDescent="0.25"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</row>
    <row r="68" spans="2:12" ht="15.75" x14ac:dyDescent="0.25">
      <c r="B68" s="178" t="s">
        <v>180</v>
      </c>
      <c r="C68" s="220"/>
      <c r="D68" s="220"/>
      <c r="E68" s="220"/>
      <c r="F68" s="220"/>
      <c r="G68" s="220"/>
      <c r="H68" s="220"/>
      <c r="I68" s="220"/>
      <c r="J68" s="220"/>
      <c r="K68" s="220"/>
      <c r="L68" s="220"/>
    </row>
    <row r="69" spans="2:12" ht="18.75" x14ac:dyDescent="0.25">
      <c r="B69" s="221" t="s">
        <v>174</v>
      </c>
      <c r="C69" s="220"/>
      <c r="D69" s="220"/>
      <c r="E69" s="220"/>
      <c r="F69" s="220"/>
      <c r="G69" s="220"/>
      <c r="H69" s="1"/>
      <c r="I69" s="220"/>
      <c r="J69" s="220"/>
      <c r="K69" s="220"/>
      <c r="L69" s="220"/>
    </row>
    <row r="70" spans="2:12" ht="18.75" x14ac:dyDescent="0.25">
      <c r="B70" s="221"/>
      <c r="C70" s="220"/>
      <c r="D70" s="220"/>
      <c r="E70" s="220"/>
      <c r="F70" s="220"/>
      <c r="G70" s="220"/>
      <c r="H70" s="1"/>
      <c r="I70" s="220"/>
      <c r="J70" s="220"/>
      <c r="K70" s="220"/>
      <c r="L70" s="220"/>
    </row>
    <row r="71" spans="2:12" ht="18.75" x14ac:dyDescent="0.25">
      <c r="B71" s="221"/>
      <c r="C71" s="220"/>
      <c r="D71" s="220"/>
      <c r="E71" s="220"/>
      <c r="F71" s="220"/>
      <c r="G71" s="220"/>
      <c r="H71" s="1"/>
      <c r="I71" s="220"/>
      <c r="J71" s="220"/>
      <c r="K71" s="220"/>
      <c r="L71" s="220"/>
    </row>
    <row r="72" spans="2:12" ht="15.75" x14ac:dyDescent="0.25">
      <c r="B72" s="220"/>
      <c r="C72" s="220"/>
      <c r="D72" s="220"/>
      <c r="E72" s="220"/>
      <c r="F72" s="220"/>
      <c r="G72" s="220"/>
      <c r="H72" s="220"/>
      <c r="I72" s="220"/>
      <c r="K72" s="178" t="s">
        <v>52</v>
      </c>
      <c r="L72" s="220"/>
    </row>
    <row r="73" spans="2:12" ht="15.75" x14ac:dyDescent="0.25">
      <c r="B73" s="220"/>
      <c r="C73" s="220"/>
      <c r="D73" s="220"/>
      <c r="E73" s="220"/>
      <c r="F73" s="220"/>
      <c r="G73" s="220"/>
      <c r="H73" s="220"/>
      <c r="I73" s="220"/>
      <c r="K73" s="178" t="s">
        <v>164</v>
      </c>
      <c r="L73" s="220"/>
    </row>
    <row r="74" spans="2:12" ht="15.75" x14ac:dyDescent="0.25">
      <c r="B74" s="158" t="s">
        <v>165</v>
      </c>
      <c r="C74" s="222"/>
      <c r="D74" s="222"/>
      <c r="E74" s="177"/>
      <c r="F74" s="177"/>
      <c r="G74" s="177"/>
      <c r="H74" s="177"/>
      <c r="I74" s="177"/>
      <c r="J74" s="177"/>
      <c r="K74" s="177"/>
      <c r="L74" s="177"/>
    </row>
    <row r="75" spans="2:12" ht="15.75" x14ac:dyDescent="0.25">
      <c r="B75" s="158" t="s">
        <v>166</v>
      </c>
      <c r="C75" s="223"/>
      <c r="D75" s="223"/>
      <c r="E75" s="224"/>
      <c r="F75" s="224"/>
      <c r="G75" s="224"/>
      <c r="H75" s="224"/>
      <c r="I75" s="224"/>
      <c r="J75" s="224"/>
      <c r="K75" s="224"/>
      <c r="L75" s="224"/>
    </row>
    <row r="76" spans="2:12" ht="15.75" x14ac:dyDescent="0.25">
      <c r="B76" s="158" t="s">
        <v>167</v>
      </c>
      <c r="C76" s="224"/>
      <c r="D76" s="224"/>
      <c r="E76" s="224"/>
      <c r="F76" s="224"/>
      <c r="G76" s="224"/>
      <c r="H76" s="224"/>
      <c r="I76" s="224"/>
      <c r="J76" s="224"/>
      <c r="K76" s="224"/>
      <c r="L76" s="224"/>
    </row>
    <row r="81" spans="2:12" ht="23.25" x14ac:dyDescent="0.35">
      <c r="B81" t="s">
        <v>122</v>
      </c>
      <c r="E81" s="195" t="s">
        <v>123</v>
      </c>
    </row>
    <row r="82" spans="2:12" ht="20.25" x14ac:dyDescent="0.3">
      <c r="B82" s="177"/>
      <c r="C82" s="177"/>
      <c r="D82" s="177"/>
      <c r="E82" s="176" t="s">
        <v>124</v>
      </c>
      <c r="G82" s="177"/>
      <c r="H82" s="177"/>
      <c r="I82" s="177"/>
      <c r="J82" s="177"/>
      <c r="K82" s="177"/>
      <c r="L82" s="177"/>
    </row>
    <row r="84" spans="2:12" ht="26.25" x14ac:dyDescent="0.4">
      <c r="B84" s="178" t="s">
        <v>125</v>
      </c>
      <c r="C84" s="158"/>
      <c r="D84" s="177"/>
      <c r="E84" s="179"/>
      <c r="F84" s="177"/>
      <c r="G84" s="177"/>
      <c r="H84" s="177"/>
      <c r="I84" s="177"/>
      <c r="J84" s="177"/>
      <c r="K84" s="177"/>
      <c r="L84" s="177"/>
    </row>
    <row r="85" spans="2:12" ht="26.25" x14ac:dyDescent="0.4">
      <c r="B85" s="178" t="s">
        <v>126</v>
      </c>
      <c r="C85" s="158"/>
      <c r="D85" s="177"/>
      <c r="E85" s="179"/>
      <c r="F85" s="177"/>
      <c r="G85" s="177"/>
      <c r="H85" s="177"/>
      <c r="I85" s="177"/>
      <c r="J85" s="177"/>
      <c r="K85" s="177"/>
      <c r="L85" s="177"/>
    </row>
    <row r="86" spans="2:12" ht="21" thickBot="1" x14ac:dyDescent="0.35">
      <c r="B86" s="177"/>
      <c r="C86" s="177"/>
      <c r="D86" s="177"/>
      <c r="E86" s="196" t="s">
        <v>256</v>
      </c>
      <c r="F86" s="177"/>
      <c r="G86" s="177"/>
      <c r="H86" s="177"/>
      <c r="I86" s="177"/>
      <c r="J86" s="177"/>
      <c r="K86" s="177"/>
      <c r="L86" s="177"/>
    </row>
    <row r="87" spans="2:12" ht="57.75" thickBot="1" x14ac:dyDescent="0.3">
      <c r="B87" s="197" t="s">
        <v>150</v>
      </c>
      <c r="C87" s="198" t="s">
        <v>151</v>
      </c>
      <c r="D87" s="198" t="s">
        <v>252</v>
      </c>
      <c r="E87" s="198" t="s">
        <v>253</v>
      </c>
      <c r="F87" s="198" t="s">
        <v>154</v>
      </c>
      <c r="G87" s="198" t="s">
        <v>155</v>
      </c>
      <c r="H87" s="198" t="s">
        <v>156</v>
      </c>
      <c r="I87" s="198" t="s">
        <v>157</v>
      </c>
      <c r="J87" s="198" t="s">
        <v>254</v>
      </c>
      <c r="K87" s="198" t="s">
        <v>159</v>
      </c>
      <c r="L87" s="199" t="s">
        <v>251</v>
      </c>
    </row>
    <row r="88" spans="2:12" ht="23.25" x14ac:dyDescent="0.25">
      <c r="B88" s="200"/>
      <c r="C88" s="201"/>
      <c r="D88" s="202"/>
      <c r="E88" s="202"/>
      <c r="F88" s="202"/>
      <c r="G88" s="203"/>
      <c r="H88" s="201"/>
      <c r="I88" s="202"/>
      <c r="J88" s="202"/>
      <c r="K88" s="202"/>
      <c r="L88" s="204"/>
    </row>
    <row r="89" spans="2:12" x14ac:dyDescent="0.25">
      <c r="B89" s="205" t="s">
        <v>54</v>
      </c>
      <c r="C89" s="206">
        <v>833333.3</v>
      </c>
      <c r="D89" s="182">
        <v>1050000</v>
      </c>
      <c r="E89" s="183">
        <v>960764.08</v>
      </c>
      <c r="F89" s="207" t="s">
        <v>161</v>
      </c>
      <c r="G89" s="208">
        <v>1</v>
      </c>
      <c r="H89" s="209">
        <f>E89/D89</f>
        <v>0.9150134095238095</v>
      </c>
      <c r="I89" s="210">
        <f>E89/C89</f>
        <v>1.1529169421166776</v>
      </c>
      <c r="J89" s="183">
        <v>930969.96</v>
      </c>
      <c r="K89" s="210">
        <f>(E89-J89)/J89</f>
        <v>3.2003309752336152E-2</v>
      </c>
      <c r="L89" s="211">
        <f>990000/31</f>
        <v>31935.483870967742</v>
      </c>
    </row>
    <row r="90" spans="2:12" ht="43.5" thickBot="1" x14ac:dyDescent="0.3">
      <c r="B90" s="212"/>
      <c r="C90" s="213" t="s">
        <v>162</v>
      </c>
      <c r="D90" s="214"/>
      <c r="E90" s="215"/>
      <c r="F90" s="215"/>
      <c r="G90" s="216"/>
      <c r="H90" s="217"/>
      <c r="I90" s="218"/>
      <c r="J90" s="215"/>
      <c r="K90" s="218"/>
      <c r="L90" s="219"/>
    </row>
    <row r="91" spans="2:12" x14ac:dyDescent="0.25"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</row>
    <row r="92" spans="2:12" ht="15.75" x14ac:dyDescent="0.25">
      <c r="B92" s="178" t="s">
        <v>255</v>
      </c>
      <c r="C92" s="220"/>
      <c r="D92" s="220"/>
      <c r="E92" s="220"/>
      <c r="F92" s="220"/>
      <c r="G92" s="220"/>
      <c r="H92" s="220"/>
      <c r="I92" s="220"/>
      <c r="J92" s="220"/>
      <c r="K92" s="220"/>
      <c r="L92" s="220"/>
    </row>
    <row r="93" spans="2:12" ht="18.75" x14ac:dyDescent="0.25">
      <c r="B93" s="221" t="s">
        <v>257</v>
      </c>
      <c r="C93" s="220"/>
      <c r="D93" s="220"/>
      <c r="E93" s="220"/>
      <c r="F93" s="220"/>
      <c r="G93" s="220"/>
      <c r="H93" s="1"/>
      <c r="I93" s="220"/>
      <c r="J93" s="220"/>
      <c r="K93" s="220"/>
      <c r="L93" s="220"/>
    </row>
    <row r="94" spans="2:12" ht="18.75" x14ac:dyDescent="0.25">
      <c r="B94" s="221"/>
      <c r="C94" s="220"/>
      <c r="D94" s="220"/>
      <c r="E94" s="220"/>
      <c r="F94" s="220"/>
      <c r="G94" s="220"/>
      <c r="H94" s="1"/>
      <c r="I94" s="220"/>
      <c r="J94" s="220"/>
      <c r="K94" s="220"/>
      <c r="L94" s="220"/>
    </row>
    <row r="95" spans="2:12" ht="18.75" x14ac:dyDescent="0.25">
      <c r="B95" s="221"/>
      <c r="C95" s="220"/>
      <c r="D95" s="220"/>
      <c r="E95" s="220"/>
      <c r="F95" s="220"/>
      <c r="G95" s="220"/>
      <c r="H95" s="1"/>
      <c r="I95" s="220"/>
      <c r="J95" s="220"/>
      <c r="K95" s="220"/>
      <c r="L95" s="220"/>
    </row>
    <row r="96" spans="2:12" ht="15.75" x14ac:dyDescent="0.25">
      <c r="B96" s="220"/>
      <c r="C96" s="220"/>
      <c r="D96" s="220"/>
      <c r="E96" s="220"/>
      <c r="F96" s="220"/>
      <c r="G96" s="220"/>
      <c r="H96" s="220"/>
      <c r="I96" s="220"/>
      <c r="K96" s="178" t="s">
        <v>52</v>
      </c>
      <c r="L96" s="220"/>
    </row>
    <row r="97" spans="2:12" ht="15.75" x14ac:dyDescent="0.25">
      <c r="B97" s="220"/>
      <c r="C97" s="220"/>
      <c r="D97" s="220"/>
      <c r="E97" s="220"/>
      <c r="F97" s="220"/>
      <c r="G97" s="220"/>
      <c r="H97" s="220"/>
      <c r="I97" s="220"/>
      <c r="K97" s="178" t="s">
        <v>164</v>
      </c>
      <c r="L97" s="220"/>
    </row>
    <row r="98" spans="2:12" ht="15.75" x14ac:dyDescent="0.25">
      <c r="B98" s="158" t="s">
        <v>165</v>
      </c>
      <c r="C98" s="222"/>
      <c r="D98" s="222"/>
      <c r="E98" s="177"/>
      <c r="F98" s="177"/>
      <c r="G98" s="177"/>
      <c r="H98" s="177"/>
      <c r="I98" s="177"/>
      <c r="J98" s="177"/>
      <c r="K98" s="177"/>
      <c r="L98" s="177"/>
    </row>
    <row r="99" spans="2:12" ht="15.75" x14ac:dyDescent="0.25">
      <c r="B99" s="158" t="s">
        <v>166</v>
      </c>
      <c r="C99" s="223"/>
      <c r="D99" s="223"/>
      <c r="E99" s="224"/>
      <c r="F99" s="224"/>
      <c r="G99" s="224"/>
      <c r="H99" s="224"/>
      <c r="I99" s="224"/>
      <c r="J99" s="224"/>
      <c r="K99" s="224"/>
      <c r="L99" s="224"/>
    </row>
    <row r="100" spans="2:12" ht="15.75" x14ac:dyDescent="0.25">
      <c r="B100" s="158" t="s">
        <v>167</v>
      </c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</row>
  </sheetData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504"/>
  <sheetViews>
    <sheetView topLeftCell="A427" workbookViewId="0">
      <selection activeCell="H435" sqref="H435"/>
    </sheetView>
  </sheetViews>
  <sheetFormatPr defaultRowHeight="15" x14ac:dyDescent="0.25"/>
  <cols>
    <col min="2" max="2" width="30.28515625" customWidth="1"/>
    <col min="3" max="3" width="19.85546875" customWidth="1"/>
    <col min="4" max="4" width="18.42578125" customWidth="1"/>
    <col min="5" max="5" width="13.5703125" customWidth="1"/>
    <col min="6" max="6" width="9.7109375" customWidth="1"/>
    <col min="7" max="7" width="14.28515625" customWidth="1"/>
    <col min="8" max="8" width="14.5703125" customWidth="1"/>
    <col min="9" max="9" width="22" customWidth="1"/>
    <col min="10" max="10" width="24.85546875" customWidth="1"/>
  </cols>
  <sheetData>
    <row r="3" spans="2:12" ht="15.75" thickBot="1" x14ac:dyDescent="0.3"/>
    <row r="4" spans="2:12" ht="16.5" thickBot="1" x14ac:dyDescent="0.3">
      <c r="B4" s="263"/>
      <c r="C4" s="264"/>
      <c r="D4" s="349" t="s">
        <v>297</v>
      </c>
      <c r="E4" s="349"/>
      <c r="F4" s="349"/>
      <c r="G4" s="349"/>
      <c r="H4" s="264"/>
      <c r="I4" s="264"/>
      <c r="J4" s="265"/>
    </row>
    <row r="5" spans="2:12" ht="15.75" x14ac:dyDescent="0.25">
      <c r="B5" s="256"/>
      <c r="C5" s="257"/>
      <c r="D5" s="257"/>
      <c r="E5" s="257"/>
      <c r="F5" s="257"/>
      <c r="G5" s="257"/>
      <c r="H5" s="353" t="s">
        <v>273</v>
      </c>
      <c r="I5" s="353"/>
      <c r="J5" s="354"/>
    </row>
    <row r="6" spans="2:12" ht="15.75" x14ac:dyDescent="0.25">
      <c r="B6" s="355" t="s">
        <v>263</v>
      </c>
      <c r="C6" s="356"/>
      <c r="D6" s="356"/>
      <c r="E6" s="356"/>
      <c r="F6" s="356"/>
      <c r="G6" s="356"/>
      <c r="H6" s="356"/>
      <c r="I6" s="255"/>
      <c r="J6" s="258"/>
    </row>
    <row r="7" spans="2:12" ht="15.75" x14ac:dyDescent="0.25">
      <c r="B7" s="355" t="s">
        <v>264</v>
      </c>
      <c r="C7" s="356"/>
      <c r="D7" s="356"/>
      <c r="E7" s="356"/>
      <c r="F7" s="356"/>
      <c r="G7" s="356"/>
      <c r="H7" s="356"/>
      <c r="I7" s="255"/>
      <c r="J7" s="258"/>
    </row>
    <row r="8" spans="2:12" ht="63" x14ac:dyDescent="0.25">
      <c r="B8" s="259" t="s">
        <v>258</v>
      </c>
      <c r="C8" s="260" t="s">
        <v>266</v>
      </c>
      <c r="D8" s="260" t="s">
        <v>267</v>
      </c>
      <c r="E8" s="332" t="s">
        <v>259</v>
      </c>
      <c r="F8" s="357"/>
      <c r="G8" s="260" t="s">
        <v>260</v>
      </c>
      <c r="H8" s="260" t="s">
        <v>261</v>
      </c>
      <c r="I8" s="260" t="s">
        <v>262</v>
      </c>
      <c r="J8" s="261" t="s">
        <v>95</v>
      </c>
    </row>
    <row r="9" spans="2:12" ht="31.5" x14ac:dyDescent="0.25">
      <c r="B9" s="358" t="s">
        <v>265</v>
      </c>
      <c r="C9" s="337">
        <f>Sheet1!N22</f>
        <v>32027</v>
      </c>
      <c r="D9" s="340">
        <f>Sheet1!N24</f>
        <v>33589.75</v>
      </c>
      <c r="E9" s="255" t="s">
        <v>268</v>
      </c>
      <c r="F9" s="267">
        <f>'stream I '!I6</f>
        <v>0.88888888888888573</v>
      </c>
      <c r="G9" s="267">
        <f>'stream I '!O6</f>
        <v>4.1666666666666664E-2</v>
      </c>
      <c r="H9" s="267">
        <f>'stream I '!T6</f>
        <v>0</v>
      </c>
      <c r="I9" s="267">
        <f>'stream I '!J6</f>
        <v>6.9444444444444434E-2</v>
      </c>
      <c r="J9" s="262" t="str">
        <f>'stream I '!W6</f>
        <v>Routine maintenance work</v>
      </c>
    </row>
    <row r="10" spans="2:12" ht="15.75" x14ac:dyDescent="0.25">
      <c r="B10" s="359"/>
      <c r="C10" s="360"/>
      <c r="D10" s="362"/>
      <c r="E10" s="255" t="s">
        <v>269</v>
      </c>
      <c r="F10" s="267">
        <f>' stream II  '!I6</f>
        <v>0.65277777777782831</v>
      </c>
      <c r="G10" s="267">
        <f>' stream II  '!O6</f>
        <v>4.1666666666666664E-2</v>
      </c>
      <c r="H10" s="267">
        <f>' stream II  '!T6</f>
        <v>0.11805555555555557</v>
      </c>
      <c r="I10" s="267">
        <f>' stream II  '!J6</f>
        <v>0.1875</v>
      </c>
      <c r="J10" s="258" t="str">
        <f>' stream II  '!W6</f>
        <v>A/F Chute jammed</v>
      </c>
    </row>
    <row r="11" spans="2:12" ht="35.25" customHeight="1" x14ac:dyDescent="0.25">
      <c r="B11" s="359"/>
      <c r="C11" s="361"/>
      <c r="D11" s="363"/>
      <c r="E11" s="255" t="s">
        <v>270</v>
      </c>
      <c r="F11" s="267">
        <f>'stream III '!I6</f>
        <v>0.64930555555557135</v>
      </c>
      <c r="G11" s="267">
        <f>'stream III '!O6</f>
        <v>0.21875</v>
      </c>
      <c r="H11" s="267">
        <f>'stream III '!T6</f>
        <v>0</v>
      </c>
      <c r="I11" s="267">
        <f>'stream III '!J6</f>
        <v>0.13194444444444445</v>
      </c>
      <c r="J11" s="262" t="str">
        <f>'stream III '!W6</f>
        <v>C4 tail pulley bearing replacement work</v>
      </c>
    </row>
    <row r="12" spans="2:12" ht="15.75" x14ac:dyDescent="0.25">
      <c r="B12" s="266"/>
      <c r="C12" s="266"/>
      <c r="D12" s="270" t="s">
        <v>11</v>
      </c>
      <c r="E12" s="270"/>
      <c r="F12" s="268">
        <f>SUM(F9:F11)</f>
        <v>2.1909722222222854</v>
      </c>
      <c r="G12" s="268">
        <f>SUM(G9:G11)</f>
        <v>0.30208333333333331</v>
      </c>
      <c r="H12" s="268">
        <f>SUM(H9:H11)</f>
        <v>0.11805555555555557</v>
      </c>
      <c r="I12" s="268">
        <f>SUM(I9:I11)</f>
        <v>0.38888888888888884</v>
      </c>
      <c r="J12" s="271"/>
      <c r="L12" s="254">
        <f>F12+G12+H12+I12</f>
        <v>3.0000000000000631</v>
      </c>
    </row>
    <row r="16" spans="2:12" ht="15.75" x14ac:dyDescent="0.25">
      <c r="D16" s="269"/>
      <c r="E16" s="158"/>
      <c r="F16" s="158"/>
      <c r="G16" s="158"/>
      <c r="H16" s="158"/>
      <c r="I16" s="158" t="s">
        <v>52</v>
      </c>
      <c r="J16" s="158"/>
    </row>
    <row r="17" spans="2:12" ht="15.75" x14ac:dyDescent="0.25">
      <c r="D17" s="269"/>
      <c r="E17" s="158"/>
      <c r="F17" s="158"/>
      <c r="G17" s="158"/>
      <c r="H17" s="158"/>
      <c r="I17" s="158" t="s">
        <v>105</v>
      </c>
      <c r="J17" s="158"/>
    </row>
    <row r="18" spans="2:12" ht="15.75" x14ac:dyDescent="0.25">
      <c r="D18" s="158"/>
      <c r="E18" s="158"/>
      <c r="F18" s="158"/>
      <c r="G18" s="158"/>
      <c r="H18" s="158"/>
      <c r="I18" s="158"/>
      <c r="J18" s="158"/>
    </row>
    <row r="19" spans="2:12" ht="15.75" x14ac:dyDescent="0.25">
      <c r="D19" s="158"/>
      <c r="E19" s="158"/>
      <c r="F19" s="158"/>
      <c r="G19" s="158"/>
      <c r="H19" s="158"/>
      <c r="I19" s="158"/>
      <c r="J19" s="158"/>
    </row>
    <row r="21" spans="2:12" ht="15.75" thickBot="1" x14ac:dyDescent="0.3"/>
    <row r="22" spans="2:12" ht="16.5" thickBot="1" x14ac:dyDescent="0.3">
      <c r="B22" s="263"/>
      <c r="C22" s="264"/>
      <c r="D22" s="349" t="s">
        <v>297</v>
      </c>
      <c r="E22" s="349"/>
      <c r="F22" s="349"/>
      <c r="G22" s="349"/>
      <c r="H22" s="264"/>
      <c r="I22" s="264"/>
      <c r="J22" s="265"/>
    </row>
    <row r="23" spans="2:12" ht="15.75" x14ac:dyDescent="0.25">
      <c r="B23" s="256"/>
      <c r="C23" s="257"/>
      <c r="D23" s="257"/>
      <c r="E23" s="257"/>
      <c r="F23" s="257"/>
      <c r="G23" s="257"/>
      <c r="H23" s="353" t="str">
        <f>Sheet2!P2</f>
        <v xml:space="preserve"> Date  :  02.07 .2020</v>
      </c>
      <c r="I23" s="353"/>
      <c r="J23" s="354"/>
    </row>
    <row r="24" spans="2:12" ht="15.75" x14ac:dyDescent="0.25">
      <c r="B24" s="355" t="s">
        <v>263</v>
      </c>
      <c r="C24" s="356"/>
      <c r="D24" s="356"/>
      <c r="E24" s="356"/>
      <c r="F24" s="356"/>
      <c r="G24" s="356"/>
      <c r="H24" s="356"/>
      <c r="I24" s="255"/>
      <c r="J24" s="258"/>
    </row>
    <row r="25" spans="2:12" ht="15.75" x14ac:dyDescent="0.25">
      <c r="B25" s="355" t="s">
        <v>264</v>
      </c>
      <c r="C25" s="356"/>
      <c r="D25" s="356"/>
      <c r="E25" s="356"/>
      <c r="F25" s="356"/>
      <c r="G25" s="356"/>
      <c r="H25" s="356"/>
      <c r="I25" s="255"/>
      <c r="J25" s="258"/>
    </row>
    <row r="26" spans="2:12" ht="63" x14ac:dyDescent="0.25">
      <c r="B26" s="259" t="s">
        <v>258</v>
      </c>
      <c r="C26" s="260" t="s">
        <v>266</v>
      </c>
      <c r="D26" s="260" t="s">
        <v>267</v>
      </c>
      <c r="E26" s="332" t="s">
        <v>259</v>
      </c>
      <c r="F26" s="357"/>
      <c r="G26" s="260" t="s">
        <v>260</v>
      </c>
      <c r="H26" s="260" t="s">
        <v>261</v>
      </c>
      <c r="I26" s="260" t="s">
        <v>262</v>
      </c>
      <c r="J26" s="261" t="s">
        <v>95</v>
      </c>
    </row>
    <row r="27" spans="2:12" ht="47.25" x14ac:dyDescent="0.25">
      <c r="B27" s="358" t="s">
        <v>265</v>
      </c>
      <c r="C27" s="337">
        <f>Sheet2!N22</f>
        <v>0</v>
      </c>
      <c r="D27" s="340">
        <f>Sheet2!N24</f>
        <v>7216.72</v>
      </c>
      <c r="E27" s="255" t="s">
        <v>268</v>
      </c>
      <c r="F27" s="267">
        <f>'stream I '!I7</f>
        <v>0</v>
      </c>
      <c r="G27" s="267">
        <f>'stream I '!O7</f>
        <v>1.1574074074074073E-5</v>
      </c>
      <c r="H27" s="267">
        <f>'stream I '!T7</f>
        <v>0</v>
      </c>
      <c r="I27" s="267">
        <f>'stream I '!J7</f>
        <v>0.99998842592592585</v>
      </c>
      <c r="J27" s="262" t="str">
        <f>'stream I '!W7</f>
        <v>No Manpower tern-up due to strike &amp; Crushing nill</v>
      </c>
    </row>
    <row r="28" spans="2:12" ht="47.25" x14ac:dyDescent="0.25">
      <c r="B28" s="359"/>
      <c r="C28" s="360"/>
      <c r="D28" s="362"/>
      <c r="E28" s="255" t="s">
        <v>269</v>
      </c>
      <c r="F28" s="267">
        <f>' stream II  '!I7</f>
        <v>0</v>
      </c>
      <c r="G28" s="267">
        <f>' stream II  '!O7</f>
        <v>1.1574074074074073E-5</v>
      </c>
      <c r="H28" s="267">
        <f>' stream II  '!T7</f>
        <v>0</v>
      </c>
      <c r="I28" s="267">
        <f>' stream II  '!J7</f>
        <v>0.99998842592592585</v>
      </c>
      <c r="J28" s="262" t="str">
        <f>' stream II  '!W7</f>
        <v>No Manpower tern-up due to strike &amp; Crushing nill</v>
      </c>
    </row>
    <row r="29" spans="2:12" ht="47.25" x14ac:dyDescent="0.25">
      <c r="B29" s="359"/>
      <c r="C29" s="361"/>
      <c r="D29" s="363"/>
      <c r="E29" s="255" t="s">
        <v>270</v>
      </c>
      <c r="F29" s="267">
        <f>'stream III '!I7</f>
        <v>0</v>
      </c>
      <c r="G29" s="267">
        <f>'stream III '!O7</f>
        <v>1.1574074074074073E-5</v>
      </c>
      <c r="H29" s="267">
        <f>'stream III '!T7</f>
        <v>0</v>
      </c>
      <c r="I29" s="267">
        <f>'stream III '!J7</f>
        <v>0.99998842592592585</v>
      </c>
      <c r="J29" s="262" t="str">
        <f>'stream III '!W7</f>
        <v>No Manpower tern-up due to strike &amp; Crushing nill</v>
      </c>
    </row>
    <row r="30" spans="2:12" ht="15.75" x14ac:dyDescent="0.25">
      <c r="B30" s="266"/>
      <c r="C30" s="266"/>
      <c r="D30" s="255" t="s">
        <v>11</v>
      </c>
      <c r="E30" s="255"/>
      <c r="F30" s="268">
        <f>SUM(F27:F29)</f>
        <v>0</v>
      </c>
      <c r="G30" s="268">
        <f>SUM(G27:G29)</f>
        <v>3.4722222222222222E-5</v>
      </c>
      <c r="H30" s="268">
        <f>SUM(H27:H29)</f>
        <v>0</v>
      </c>
      <c r="I30" s="268">
        <f>SUM(I27:I29)</f>
        <v>2.9999652777777777</v>
      </c>
      <c r="J30" s="266"/>
      <c r="L30" s="254">
        <f>F30+G30+H30+I30</f>
        <v>3</v>
      </c>
    </row>
    <row r="34" spans="2:12" ht="15.75" x14ac:dyDescent="0.25">
      <c r="D34" s="269"/>
      <c r="E34" s="158"/>
      <c r="F34" s="158"/>
      <c r="G34" s="158"/>
      <c r="H34" s="158"/>
      <c r="I34" s="158" t="s">
        <v>52</v>
      </c>
      <c r="J34" s="158"/>
    </row>
    <row r="35" spans="2:12" ht="15.75" x14ac:dyDescent="0.25">
      <c r="D35" s="269"/>
      <c r="E35" s="158"/>
      <c r="F35" s="158"/>
      <c r="G35" s="158"/>
      <c r="H35" s="158"/>
      <c r="I35" s="158" t="s">
        <v>105</v>
      </c>
      <c r="J35" s="158"/>
    </row>
    <row r="39" spans="2:12" ht="15.75" thickBot="1" x14ac:dyDescent="0.3"/>
    <row r="40" spans="2:12" ht="16.5" thickBot="1" x14ac:dyDescent="0.3">
      <c r="B40" s="263"/>
      <c r="C40" s="264"/>
      <c r="D40" s="349" t="s">
        <v>297</v>
      </c>
      <c r="E40" s="349"/>
      <c r="F40" s="349"/>
      <c r="G40" s="349"/>
      <c r="H40" s="264"/>
      <c r="I40" s="264"/>
      <c r="J40" s="265"/>
    </row>
    <row r="41" spans="2:12" ht="15.75" x14ac:dyDescent="0.25">
      <c r="B41" s="256"/>
      <c r="C41" s="257"/>
      <c r="D41" s="257"/>
      <c r="E41" s="257"/>
      <c r="F41" s="257"/>
      <c r="G41" s="257"/>
      <c r="H41" s="353" t="str">
        <f>Sheet3!P2</f>
        <v xml:space="preserve"> Date  :  03.07 .2020</v>
      </c>
      <c r="I41" s="353"/>
      <c r="J41" s="354"/>
    </row>
    <row r="42" spans="2:12" ht="15.75" x14ac:dyDescent="0.25">
      <c r="B42" s="355" t="s">
        <v>263</v>
      </c>
      <c r="C42" s="356"/>
      <c r="D42" s="356"/>
      <c r="E42" s="356"/>
      <c r="F42" s="356"/>
      <c r="G42" s="356"/>
      <c r="H42" s="356"/>
      <c r="I42" s="255"/>
      <c r="J42" s="258"/>
    </row>
    <row r="43" spans="2:12" ht="15.75" x14ac:dyDescent="0.25">
      <c r="B43" s="355" t="s">
        <v>264</v>
      </c>
      <c r="C43" s="356"/>
      <c r="D43" s="356"/>
      <c r="E43" s="356"/>
      <c r="F43" s="356"/>
      <c r="G43" s="356"/>
      <c r="H43" s="356"/>
      <c r="I43" s="255"/>
      <c r="J43" s="258"/>
    </row>
    <row r="44" spans="2:12" ht="63" x14ac:dyDescent="0.25">
      <c r="B44" s="259" t="s">
        <v>258</v>
      </c>
      <c r="C44" s="260" t="s">
        <v>266</v>
      </c>
      <c r="D44" s="260" t="s">
        <v>267</v>
      </c>
      <c r="E44" s="332" t="s">
        <v>259</v>
      </c>
      <c r="F44" s="357"/>
      <c r="G44" s="260" t="s">
        <v>260</v>
      </c>
      <c r="H44" s="260" t="s">
        <v>261</v>
      </c>
      <c r="I44" s="260" t="s">
        <v>262</v>
      </c>
      <c r="J44" s="261" t="s">
        <v>95</v>
      </c>
    </row>
    <row r="45" spans="2:12" ht="47.25" x14ac:dyDescent="0.25">
      <c r="B45" s="358" t="s">
        <v>265</v>
      </c>
      <c r="C45" s="337">
        <f>Sheet3!N22</f>
        <v>0</v>
      </c>
      <c r="D45" s="340">
        <f>Sheet3!N24</f>
        <v>0</v>
      </c>
      <c r="E45" s="255" t="s">
        <v>268</v>
      </c>
      <c r="F45" s="267">
        <f>'stream I '!I8</f>
        <v>0</v>
      </c>
      <c r="G45" s="267">
        <f>'stream I '!O8</f>
        <v>1.1574074074074073E-5</v>
      </c>
      <c r="H45" s="267">
        <f>'stream I '!T8</f>
        <v>0</v>
      </c>
      <c r="I45" s="267">
        <f>'stream I '!J8</f>
        <v>0.99998842592592585</v>
      </c>
      <c r="J45" s="262" t="str">
        <f>'stream I '!W8</f>
        <v>No Manpower tern-up due to strike &amp; Crushing nill</v>
      </c>
    </row>
    <row r="46" spans="2:12" ht="47.25" x14ac:dyDescent="0.25">
      <c r="B46" s="359"/>
      <c r="C46" s="360"/>
      <c r="D46" s="362"/>
      <c r="E46" s="255" t="s">
        <v>269</v>
      </c>
      <c r="F46" s="267">
        <f>' stream II  '!I8</f>
        <v>0</v>
      </c>
      <c r="G46" s="267">
        <f>' stream II  '!O8</f>
        <v>1.1574074074074073E-5</v>
      </c>
      <c r="H46" s="267">
        <f>' stream II  '!T8</f>
        <v>0</v>
      </c>
      <c r="I46" s="267">
        <f>' stream II  '!J8</f>
        <v>0.99998842592592585</v>
      </c>
      <c r="J46" s="262" t="str">
        <f>' stream II  '!W8</f>
        <v>No Manpower tern-up due to strike &amp; Crushing nill</v>
      </c>
    </row>
    <row r="47" spans="2:12" ht="47.25" x14ac:dyDescent="0.25">
      <c r="B47" s="359"/>
      <c r="C47" s="361"/>
      <c r="D47" s="363"/>
      <c r="E47" s="255" t="s">
        <v>270</v>
      </c>
      <c r="F47" s="267">
        <f>'stream III '!I8</f>
        <v>0</v>
      </c>
      <c r="G47" s="267">
        <f>'stream III '!O8</f>
        <v>1.1574074074074073E-5</v>
      </c>
      <c r="H47" s="267">
        <f>'stream III '!T8</f>
        <v>0</v>
      </c>
      <c r="I47" s="267">
        <f>'stream III '!J8</f>
        <v>0.99998842592592585</v>
      </c>
      <c r="J47" s="262" t="str">
        <f>'stream III '!W8</f>
        <v>No Manpower tern-up due to strike &amp; Crushing nill</v>
      </c>
    </row>
    <row r="48" spans="2:12" ht="15.75" x14ac:dyDescent="0.25">
      <c r="B48" s="266"/>
      <c r="C48" s="266"/>
      <c r="D48" s="255" t="s">
        <v>11</v>
      </c>
      <c r="E48" s="255"/>
      <c r="F48" s="268">
        <f>SUM(F45:F47)</f>
        <v>0</v>
      </c>
      <c r="G48" s="268">
        <f>SUM(G45:G47)</f>
        <v>3.4722222222222222E-5</v>
      </c>
      <c r="H48" s="268">
        <f>SUM(H45:H47)</f>
        <v>0</v>
      </c>
      <c r="I48" s="268">
        <f>SUM(I45:I47)</f>
        <v>2.9999652777777777</v>
      </c>
      <c r="J48" s="266"/>
      <c r="L48" s="254">
        <f>F48+G48+H48+I48</f>
        <v>3</v>
      </c>
    </row>
    <row r="52" spans="2:10" ht="15.75" x14ac:dyDescent="0.25">
      <c r="D52" s="269"/>
      <c r="E52" s="158"/>
      <c r="F52" s="158"/>
      <c r="G52" s="158"/>
      <c r="H52" s="158"/>
      <c r="I52" s="158" t="s">
        <v>52</v>
      </c>
      <c r="J52" s="158"/>
    </row>
    <row r="53" spans="2:10" ht="15.75" x14ac:dyDescent="0.25">
      <c r="D53" s="269"/>
      <c r="E53" s="158"/>
      <c r="F53" s="158"/>
      <c r="G53" s="158"/>
      <c r="H53" s="158"/>
      <c r="I53" s="158" t="s">
        <v>105</v>
      </c>
      <c r="J53" s="158"/>
    </row>
    <row r="57" spans="2:10" ht="15.75" thickBot="1" x14ac:dyDescent="0.3"/>
    <row r="58" spans="2:10" ht="16.5" thickBot="1" x14ac:dyDescent="0.3">
      <c r="B58" s="263"/>
      <c r="C58" s="264"/>
      <c r="D58" s="349" t="s">
        <v>297</v>
      </c>
      <c r="E58" s="349"/>
      <c r="F58" s="349"/>
      <c r="G58" s="349"/>
      <c r="H58" s="264"/>
      <c r="I58" s="264"/>
      <c r="J58" s="265"/>
    </row>
    <row r="59" spans="2:10" ht="15.75" x14ac:dyDescent="0.25">
      <c r="B59" s="256"/>
      <c r="C59" s="257"/>
      <c r="D59" s="257"/>
      <c r="E59" s="257"/>
      <c r="F59" s="257"/>
      <c r="G59" s="257"/>
      <c r="H59" s="353" t="str">
        <f>Sheet4!P2</f>
        <v xml:space="preserve"> Date  :  04.07 .2020</v>
      </c>
      <c r="I59" s="353"/>
      <c r="J59" s="354"/>
    </row>
    <row r="60" spans="2:10" ht="15.75" x14ac:dyDescent="0.25">
      <c r="B60" s="355" t="s">
        <v>263</v>
      </c>
      <c r="C60" s="356"/>
      <c r="D60" s="356"/>
      <c r="E60" s="356"/>
      <c r="F60" s="356"/>
      <c r="G60" s="356"/>
      <c r="H60" s="356"/>
      <c r="I60" s="255"/>
      <c r="J60" s="258"/>
    </row>
    <row r="61" spans="2:10" ht="15.75" x14ac:dyDescent="0.25">
      <c r="B61" s="355" t="s">
        <v>264</v>
      </c>
      <c r="C61" s="356"/>
      <c r="D61" s="356"/>
      <c r="E61" s="356"/>
      <c r="F61" s="356"/>
      <c r="G61" s="356"/>
      <c r="H61" s="356"/>
      <c r="I61" s="255"/>
      <c r="J61" s="258"/>
    </row>
    <row r="62" spans="2:10" ht="63" x14ac:dyDescent="0.25">
      <c r="B62" s="259" t="s">
        <v>258</v>
      </c>
      <c r="C62" s="260" t="s">
        <v>266</v>
      </c>
      <c r="D62" s="260" t="s">
        <v>267</v>
      </c>
      <c r="E62" s="332" t="s">
        <v>259</v>
      </c>
      <c r="F62" s="357"/>
      <c r="G62" s="260" t="s">
        <v>260</v>
      </c>
      <c r="H62" s="260" t="s">
        <v>261</v>
      </c>
      <c r="I62" s="260" t="s">
        <v>262</v>
      </c>
      <c r="J62" s="261" t="s">
        <v>95</v>
      </c>
    </row>
    <row r="63" spans="2:10" ht="33" customHeight="1" x14ac:dyDescent="0.25">
      <c r="B63" s="358" t="s">
        <v>265</v>
      </c>
      <c r="C63" s="337">
        <f>Sheet4!N22</f>
        <v>0</v>
      </c>
      <c r="D63" s="340">
        <f>Sheet4!N24</f>
        <v>0</v>
      </c>
      <c r="E63" s="255" t="s">
        <v>268</v>
      </c>
      <c r="F63" s="267">
        <f>'stream I '!I9</f>
        <v>0</v>
      </c>
      <c r="G63" s="267">
        <f>'stream I '!O9</f>
        <v>1.1574074074074073E-5</v>
      </c>
      <c r="H63" s="267">
        <f>'stream I '!T9</f>
        <v>0</v>
      </c>
      <c r="I63" s="267">
        <f>'stream I '!J9</f>
        <v>0.99998842592592585</v>
      </c>
      <c r="J63" s="262" t="str">
        <f>'stream I '!W9</f>
        <v>No Manpower tern-up due to strike &amp; Crushing nill</v>
      </c>
    </row>
    <row r="64" spans="2:10" ht="47.25" x14ac:dyDescent="0.25">
      <c r="B64" s="359"/>
      <c r="C64" s="360"/>
      <c r="D64" s="362"/>
      <c r="E64" s="255" t="s">
        <v>269</v>
      </c>
      <c r="F64" s="267">
        <f>' stream II  '!I9</f>
        <v>0</v>
      </c>
      <c r="G64" s="267">
        <f>' stream II  '!O9</f>
        <v>1.1574074074074073E-5</v>
      </c>
      <c r="H64" s="267">
        <f>' stream II  '!T9</f>
        <v>0</v>
      </c>
      <c r="I64" s="267">
        <f>' stream II  '!J9</f>
        <v>0.99998842592592585</v>
      </c>
      <c r="J64" s="262" t="str">
        <f>' stream II  '!W9</f>
        <v>No Manpower tern-up due to strike &amp; Crushing nill</v>
      </c>
    </row>
    <row r="65" spans="2:12" ht="47.25" x14ac:dyDescent="0.25">
      <c r="B65" s="359"/>
      <c r="C65" s="361"/>
      <c r="D65" s="363"/>
      <c r="E65" s="255" t="s">
        <v>270</v>
      </c>
      <c r="F65" s="267">
        <f>'stream III '!I9</f>
        <v>0</v>
      </c>
      <c r="G65" s="267">
        <f>'stream III '!O9</f>
        <v>1.1574074074074073E-5</v>
      </c>
      <c r="H65" s="267">
        <f>'stream III '!T9</f>
        <v>0</v>
      </c>
      <c r="I65" s="267">
        <f>'stream III '!J9</f>
        <v>0.99998842592592585</v>
      </c>
      <c r="J65" s="262" t="str">
        <f>'stream III '!W9</f>
        <v>No Manpower tern-up due to strike &amp; Crushing nill</v>
      </c>
    </row>
    <row r="66" spans="2:12" ht="15.75" x14ac:dyDescent="0.25">
      <c r="B66" s="266"/>
      <c r="C66" s="266"/>
      <c r="D66" s="255" t="s">
        <v>11</v>
      </c>
      <c r="E66" s="255"/>
      <c r="F66" s="268">
        <f>SUM(F63:F65)</f>
        <v>0</v>
      </c>
      <c r="G66" s="268">
        <f>SUM(G63:G65)</f>
        <v>3.4722222222222222E-5</v>
      </c>
      <c r="H66" s="268">
        <f>SUM(H63:H65)</f>
        <v>0</v>
      </c>
      <c r="I66" s="268">
        <f>SUM(I63:I65)</f>
        <v>2.9999652777777777</v>
      </c>
      <c r="J66" s="266"/>
      <c r="L66" s="254">
        <f>F66+G66+H66+I66</f>
        <v>3</v>
      </c>
    </row>
    <row r="70" spans="2:12" ht="15.75" x14ac:dyDescent="0.25">
      <c r="D70" s="269"/>
      <c r="E70" s="158"/>
      <c r="F70" s="158"/>
      <c r="G70" s="158"/>
      <c r="H70" s="158"/>
      <c r="I70" s="158" t="s">
        <v>52</v>
      </c>
      <c r="J70" s="158"/>
    </row>
    <row r="71" spans="2:12" ht="15.75" x14ac:dyDescent="0.25">
      <c r="D71" s="269"/>
      <c r="E71" s="158"/>
      <c r="F71" s="158"/>
      <c r="G71" s="158"/>
      <c r="H71" s="158"/>
      <c r="I71" s="158" t="s">
        <v>105</v>
      </c>
      <c r="J71" s="158"/>
    </row>
    <row r="75" spans="2:12" ht="15.75" thickBot="1" x14ac:dyDescent="0.3"/>
    <row r="76" spans="2:12" ht="16.5" thickBot="1" x14ac:dyDescent="0.3">
      <c r="B76" s="263"/>
      <c r="C76" s="264"/>
      <c r="D76" s="349" t="s">
        <v>297</v>
      </c>
      <c r="E76" s="349"/>
      <c r="F76" s="349"/>
      <c r="G76" s="349"/>
      <c r="H76" s="264"/>
      <c r="I76" s="264"/>
      <c r="J76" s="265"/>
    </row>
    <row r="77" spans="2:12" ht="15.75" x14ac:dyDescent="0.25">
      <c r="B77" s="256"/>
      <c r="C77" s="257"/>
      <c r="D77" s="257"/>
      <c r="E77" s="257"/>
      <c r="F77" s="257"/>
      <c r="G77" s="257"/>
      <c r="H77" s="343" t="str">
        <f>Sheet5!P2</f>
        <v xml:space="preserve"> Date  :  05.07.2020</v>
      </c>
      <c r="I77" s="344"/>
      <c r="J77" s="345"/>
    </row>
    <row r="78" spans="2:12" ht="15.75" x14ac:dyDescent="0.25">
      <c r="B78" s="346" t="s">
        <v>263</v>
      </c>
      <c r="C78" s="347"/>
      <c r="D78" s="347"/>
      <c r="E78" s="347"/>
      <c r="F78" s="347"/>
      <c r="G78" s="347"/>
      <c r="H78" s="348"/>
      <c r="I78" s="255"/>
      <c r="J78" s="258"/>
    </row>
    <row r="79" spans="2:12" ht="31.5" customHeight="1" x14ac:dyDescent="0.25">
      <c r="B79" s="346" t="s">
        <v>264</v>
      </c>
      <c r="C79" s="347"/>
      <c r="D79" s="347"/>
      <c r="E79" s="347"/>
      <c r="F79" s="347"/>
      <c r="G79" s="347"/>
      <c r="H79" s="348"/>
      <c r="I79" s="255"/>
      <c r="J79" s="258"/>
    </row>
    <row r="80" spans="2:12" ht="31.5" customHeight="1" x14ac:dyDescent="0.25">
      <c r="B80" s="259" t="s">
        <v>258</v>
      </c>
      <c r="C80" s="260" t="s">
        <v>266</v>
      </c>
      <c r="D80" s="260" t="s">
        <v>267</v>
      </c>
      <c r="E80" s="332" t="s">
        <v>259</v>
      </c>
      <c r="F80" s="333"/>
      <c r="G80" s="260" t="s">
        <v>260</v>
      </c>
      <c r="H80" s="260" t="s">
        <v>261</v>
      </c>
      <c r="I80" s="260" t="s">
        <v>262</v>
      </c>
      <c r="J80" s="274" t="s">
        <v>95</v>
      </c>
    </row>
    <row r="81" spans="2:12" ht="15.75" customHeight="1" x14ac:dyDescent="0.25">
      <c r="B81" s="350" t="s">
        <v>265</v>
      </c>
      <c r="C81" s="337">
        <f>Sheet5!N22</f>
        <v>38247.11</v>
      </c>
      <c r="D81" s="340">
        <f>Sheet5!N24</f>
        <v>30149.18</v>
      </c>
      <c r="E81" s="255" t="s">
        <v>268</v>
      </c>
      <c r="F81" s="267">
        <f>'stream I '!I10</f>
        <v>0.77083333333334281</v>
      </c>
      <c r="G81" s="267">
        <f>'stream I '!O10</f>
        <v>4.1666666666666664E-2</v>
      </c>
      <c r="H81" s="267">
        <f>'stream I '!T10</f>
        <v>0</v>
      </c>
      <c r="I81" s="267">
        <f>'stream I '!J10</f>
        <v>0.1875</v>
      </c>
      <c r="J81" s="262" t="str">
        <f>'stream I '!W10</f>
        <v>Routine maintenance work</v>
      </c>
    </row>
    <row r="82" spans="2:12" ht="15.75" x14ac:dyDescent="0.25">
      <c r="B82" s="351"/>
      <c r="C82" s="338"/>
      <c r="D82" s="341"/>
      <c r="E82" s="255" t="s">
        <v>269</v>
      </c>
      <c r="F82" s="267">
        <f>' stream II  '!I10</f>
        <v>0.90277777777777146</v>
      </c>
      <c r="G82" s="267">
        <f>' stream II  '!O10</f>
        <v>0</v>
      </c>
      <c r="H82" s="267">
        <f>' stream II  '!T10</f>
        <v>0</v>
      </c>
      <c r="I82" s="267">
        <f>' stream II  '!J10</f>
        <v>9.7222222222222224E-2</v>
      </c>
      <c r="J82" s="273" t="str">
        <f>' stream II  '!W10</f>
        <v>-</v>
      </c>
    </row>
    <row r="83" spans="2:12" ht="31.5" x14ac:dyDescent="0.25">
      <c r="B83" s="352"/>
      <c r="C83" s="339"/>
      <c r="D83" s="342"/>
      <c r="E83" s="255" t="s">
        <v>270</v>
      </c>
      <c r="F83" s="267">
        <f>'stream III '!I10</f>
        <v>0.8125</v>
      </c>
      <c r="G83" s="267">
        <f>'stream III '!O10</f>
        <v>4.1666666666666664E-2</v>
      </c>
      <c r="H83" s="267">
        <f>'stream III '!T10</f>
        <v>0</v>
      </c>
      <c r="I83" s="267">
        <f>'stream III '!J10</f>
        <v>0.14583333333333334</v>
      </c>
      <c r="J83" s="262" t="str">
        <f>'stream III '!W10</f>
        <v>Routine maintenance work</v>
      </c>
    </row>
    <row r="84" spans="2:12" ht="15.75" x14ac:dyDescent="0.25">
      <c r="B84" s="266"/>
      <c r="C84" s="266"/>
      <c r="D84" s="255" t="s">
        <v>11</v>
      </c>
      <c r="E84" s="255"/>
      <c r="F84" s="268">
        <f>SUM(F81:F83)</f>
        <v>2.4861111111111143</v>
      </c>
      <c r="G84" s="268">
        <f>SUM(G81:G83)</f>
        <v>8.3333333333333329E-2</v>
      </c>
      <c r="H84" s="268">
        <f>SUM(H81:H83)</f>
        <v>0</v>
      </c>
      <c r="I84" s="268">
        <f>SUM(I81:I83)</f>
        <v>0.43055555555555558</v>
      </c>
      <c r="J84" s="266"/>
      <c r="L84" s="254">
        <f>F84+G84+H84+I84</f>
        <v>3.0000000000000036</v>
      </c>
    </row>
    <row r="88" spans="2:12" ht="15.75" x14ac:dyDescent="0.25">
      <c r="D88" s="269"/>
      <c r="E88" s="158"/>
      <c r="F88" s="158"/>
      <c r="G88" s="158"/>
      <c r="H88" s="158"/>
      <c r="I88" s="158" t="s">
        <v>52</v>
      </c>
      <c r="J88" s="158"/>
    </row>
    <row r="89" spans="2:12" ht="15.75" x14ac:dyDescent="0.25">
      <c r="D89" s="269"/>
      <c r="E89" s="158"/>
      <c r="F89" s="158"/>
      <c r="G89" s="158"/>
      <c r="H89" s="158"/>
      <c r="I89" s="158" t="s">
        <v>105</v>
      </c>
      <c r="J89" s="158"/>
    </row>
    <row r="91" spans="2:12" ht="15.75" thickBot="1" x14ac:dyDescent="0.3"/>
    <row r="92" spans="2:12" ht="16.5" thickBot="1" x14ac:dyDescent="0.3">
      <c r="B92" s="263"/>
      <c r="C92" s="264"/>
      <c r="D92" s="349" t="s">
        <v>297</v>
      </c>
      <c r="E92" s="349"/>
      <c r="F92" s="349"/>
      <c r="G92" s="349"/>
      <c r="H92" s="264"/>
      <c r="I92" s="264"/>
      <c r="J92" s="265"/>
    </row>
    <row r="93" spans="2:12" ht="15.75" x14ac:dyDescent="0.25">
      <c r="B93" s="256"/>
      <c r="C93" s="257"/>
      <c r="D93" s="257"/>
      <c r="E93" s="257"/>
      <c r="F93" s="257"/>
      <c r="G93" s="257"/>
      <c r="H93" s="343" t="str">
        <f>Sheet6!P2</f>
        <v xml:space="preserve"> Date  :  06.07 .2020</v>
      </c>
      <c r="I93" s="344"/>
      <c r="J93" s="345"/>
    </row>
    <row r="94" spans="2:12" ht="15.75" x14ac:dyDescent="0.25">
      <c r="B94" s="346" t="s">
        <v>263</v>
      </c>
      <c r="C94" s="347"/>
      <c r="D94" s="347"/>
      <c r="E94" s="347"/>
      <c r="F94" s="347"/>
      <c r="G94" s="347"/>
      <c r="H94" s="348"/>
      <c r="I94" s="255"/>
      <c r="J94" s="258"/>
    </row>
    <row r="95" spans="2:12" ht="15.75" x14ac:dyDescent="0.25">
      <c r="B95" s="346" t="s">
        <v>264</v>
      </c>
      <c r="C95" s="347"/>
      <c r="D95" s="347"/>
      <c r="E95" s="347"/>
      <c r="F95" s="347"/>
      <c r="G95" s="347"/>
      <c r="H95" s="348"/>
      <c r="I95" s="255"/>
      <c r="J95" s="258"/>
    </row>
    <row r="96" spans="2:12" ht="45.75" customHeight="1" x14ac:dyDescent="0.25">
      <c r="B96" s="259" t="s">
        <v>258</v>
      </c>
      <c r="C96" s="260" t="s">
        <v>266</v>
      </c>
      <c r="D96" s="260" t="s">
        <v>267</v>
      </c>
      <c r="E96" s="332" t="s">
        <v>259</v>
      </c>
      <c r="F96" s="333"/>
      <c r="G96" s="260" t="s">
        <v>260</v>
      </c>
      <c r="H96" s="260" t="s">
        <v>261</v>
      </c>
      <c r="I96" s="260" t="s">
        <v>262</v>
      </c>
      <c r="J96" s="274" t="s">
        <v>95</v>
      </c>
    </row>
    <row r="97" spans="2:12" ht="35.25" customHeight="1" x14ac:dyDescent="0.25">
      <c r="B97" s="350" t="s">
        <v>265</v>
      </c>
      <c r="C97" s="337">
        <f>Sheet6!N22</f>
        <v>34753.839999999997</v>
      </c>
      <c r="D97" s="340">
        <f>Sheet6!N24</f>
        <v>33401.81</v>
      </c>
      <c r="E97" s="255" t="s">
        <v>268</v>
      </c>
      <c r="F97" s="267">
        <f>'stream I '!I11</f>
        <v>0.68402777777777146</v>
      </c>
      <c r="G97" s="267">
        <f>'stream I '!O11</f>
        <v>0.16666666666666666</v>
      </c>
      <c r="H97" s="267">
        <f>'stream I '!T11</f>
        <v>0</v>
      </c>
      <c r="I97" s="267">
        <f>'stream I '!J11</f>
        <v>0.14930555555555555</v>
      </c>
      <c r="J97" s="261" t="str">
        <f>'stream I '!W11</f>
        <v>Rubber liner replacement of AF no.1</v>
      </c>
    </row>
    <row r="98" spans="2:12" ht="51.75" customHeight="1" x14ac:dyDescent="0.25">
      <c r="B98" s="351"/>
      <c r="C98" s="338"/>
      <c r="D98" s="341"/>
      <c r="E98" s="255" t="s">
        <v>269</v>
      </c>
      <c r="F98" s="267">
        <f>' stream II  '!I11</f>
        <v>0.77430555555554292</v>
      </c>
      <c r="G98" s="267">
        <f>' stream II  '!O11</f>
        <v>0</v>
      </c>
      <c r="H98" s="267">
        <f>' stream II  '!T11</f>
        <v>8.3333333333333329E-2</v>
      </c>
      <c r="I98" s="267">
        <f>' stream II  '!J11</f>
        <v>0.1423611111111111</v>
      </c>
      <c r="J98" s="277" t="str">
        <f>' stream II  '!W11</f>
        <v>Cv.1.2 bend pulley bearing   damage (bearing no.22226K).</v>
      </c>
    </row>
    <row r="99" spans="2:12" ht="26.25" customHeight="1" x14ac:dyDescent="0.25">
      <c r="B99" s="352"/>
      <c r="C99" s="339"/>
      <c r="D99" s="342"/>
      <c r="E99" s="255" t="s">
        <v>270</v>
      </c>
      <c r="F99" s="267">
        <f>'stream III '!I11</f>
        <v>0.78125000000002842</v>
      </c>
      <c r="G99" s="267">
        <f>'stream III '!O11</f>
        <v>6.25E-2</v>
      </c>
      <c r="H99" s="267">
        <f>'stream III '!T11</f>
        <v>0</v>
      </c>
      <c r="I99" s="267">
        <f>'stream III '!J11</f>
        <v>0.15625</v>
      </c>
      <c r="J99" s="261" t="str">
        <f>'stream III '!W11</f>
        <v>Routine maintenance work</v>
      </c>
    </row>
    <row r="100" spans="2:12" ht="15.75" x14ac:dyDescent="0.25">
      <c r="B100" s="266"/>
      <c r="C100" s="266"/>
      <c r="D100" s="255" t="s">
        <v>11</v>
      </c>
      <c r="E100" s="255"/>
      <c r="F100" s="268">
        <f>SUM(F97:F99)</f>
        <v>2.2395833333333428</v>
      </c>
      <c r="G100" s="268">
        <f>SUM(G97:G99)</f>
        <v>0.22916666666666666</v>
      </c>
      <c r="H100" s="268">
        <f>SUM(H97:H99)</f>
        <v>8.3333333333333329E-2</v>
      </c>
      <c r="I100" s="268">
        <f>SUM(I97:I99)</f>
        <v>0.44791666666666663</v>
      </c>
      <c r="J100" s="266"/>
      <c r="L100" s="254">
        <f>F100+G100+H100+I100</f>
        <v>3.0000000000000093</v>
      </c>
    </row>
    <row r="104" spans="2:12" ht="15.75" x14ac:dyDescent="0.25">
      <c r="D104" s="269"/>
      <c r="E104" s="158"/>
      <c r="F104" s="158"/>
      <c r="G104" s="158"/>
      <c r="H104" s="158"/>
      <c r="I104" s="158" t="s">
        <v>52</v>
      </c>
      <c r="J104" s="158"/>
    </row>
    <row r="105" spans="2:12" ht="15.75" x14ac:dyDescent="0.25">
      <c r="D105" s="269"/>
      <c r="E105" s="158"/>
      <c r="F105" s="158"/>
      <c r="G105" s="158"/>
      <c r="H105" s="158"/>
      <c r="I105" s="158" t="s">
        <v>105</v>
      </c>
      <c r="J105" s="158"/>
    </row>
    <row r="109" spans="2:12" ht="15.75" thickBot="1" x14ac:dyDescent="0.3"/>
    <row r="110" spans="2:12" ht="16.5" thickBot="1" x14ac:dyDescent="0.3">
      <c r="B110" s="263"/>
      <c r="C110" s="264"/>
      <c r="D110" s="349" t="s">
        <v>297</v>
      </c>
      <c r="E110" s="349"/>
      <c r="F110" s="349"/>
      <c r="G110" s="349"/>
      <c r="H110" s="264"/>
      <c r="I110" s="264"/>
      <c r="J110" s="265"/>
    </row>
    <row r="111" spans="2:12" ht="15.75" x14ac:dyDescent="0.25">
      <c r="B111" s="256"/>
      <c r="C111" s="257"/>
      <c r="D111" s="257"/>
      <c r="E111" s="257"/>
      <c r="F111" s="257"/>
      <c r="G111" s="257"/>
      <c r="H111" s="343" t="str">
        <f>Sheet7!P2</f>
        <v xml:space="preserve"> Date  :  07.07 .2020</v>
      </c>
      <c r="I111" s="344"/>
      <c r="J111" s="345"/>
    </row>
    <row r="112" spans="2:12" ht="15.75" x14ac:dyDescent="0.25">
      <c r="B112" s="346" t="s">
        <v>263</v>
      </c>
      <c r="C112" s="347"/>
      <c r="D112" s="347"/>
      <c r="E112" s="347"/>
      <c r="F112" s="347"/>
      <c r="G112" s="347"/>
      <c r="H112" s="348"/>
      <c r="I112" s="255"/>
      <c r="J112" s="258"/>
    </row>
    <row r="113" spans="2:12" ht="15.75" x14ac:dyDescent="0.25">
      <c r="B113" s="346" t="s">
        <v>264</v>
      </c>
      <c r="C113" s="347"/>
      <c r="D113" s="347"/>
      <c r="E113" s="347"/>
      <c r="F113" s="347"/>
      <c r="G113" s="347"/>
      <c r="H113" s="348"/>
      <c r="I113" s="255"/>
      <c r="J113" s="258"/>
    </row>
    <row r="114" spans="2:12" ht="63" x14ac:dyDescent="0.25">
      <c r="B114" s="259" t="s">
        <v>258</v>
      </c>
      <c r="C114" s="260" t="s">
        <v>266</v>
      </c>
      <c r="D114" s="260" t="s">
        <v>267</v>
      </c>
      <c r="E114" s="332" t="s">
        <v>259</v>
      </c>
      <c r="F114" s="333"/>
      <c r="G114" s="260" t="s">
        <v>260</v>
      </c>
      <c r="H114" s="260" t="s">
        <v>261</v>
      </c>
      <c r="I114" s="260" t="s">
        <v>262</v>
      </c>
      <c r="J114" s="274" t="s">
        <v>95</v>
      </c>
    </row>
    <row r="115" spans="2:12" ht="15.75" x14ac:dyDescent="0.25">
      <c r="B115" s="350" t="s">
        <v>265</v>
      </c>
      <c r="C115" s="337">
        <f>Sheet7!N22</f>
        <v>31102.71</v>
      </c>
      <c r="D115" s="340">
        <f>Sheet7!N24</f>
        <v>33485.54</v>
      </c>
      <c r="E115" s="255" t="s">
        <v>268</v>
      </c>
      <c r="F115" s="267">
        <f>'stream I '!I12</f>
        <v>0.73611111111111427</v>
      </c>
      <c r="G115" s="267">
        <f>'stream I '!O12</f>
        <v>0.1875</v>
      </c>
      <c r="H115" s="267">
        <f>'stream I '!T12</f>
        <v>0</v>
      </c>
      <c r="I115" s="267">
        <f>'stream I '!J12</f>
        <v>7.6388888888888895E-2</v>
      </c>
      <c r="J115" s="261" t="str">
        <f>'stream I '!W12</f>
        <v>Cv.1.1 Chute patching</v>
      </c>
    </row>
    <row r="116" spans="2:12" ht="15.75" x14ac:dyDescent="0.25">
      <c r="B116" s="351"/>
      <c r="C116" s="338"/>
      <c r="D116" s="341"/>
      <c r="E116" s="255" t="s">
        <v>269</v>
      </c>
      <c r="F116" s="267">
        <f>' stream II  '!I12</f>
        <v>0.86805555555557135</v>
      </c>
      <c r="G116" s="267">
        <f>' stream II  '!O12</f>
        <v>0</v>
      </c>
      <c r="H116" s="267">
        <f>' stream II  '!T12</f>
        <v>0</v>
      </c>
      <c r="I116" s="267">
        <f>' stream II  '!J12</f>
        <v>0.13194444444444445</v>
      </c>
      <c r="J116" s="277" t="s">
        <v>327</v>
      </c>
    </row>
    <row r="117" spans="2:12" ht="15.75" x14ac:dyDescent="0.25">
      <c r="B117" s="352"/>
      <c r="C117" s="339"/>
      <c r="D117" s="342"/>
      <c r="E117" s="255" t="s">
        <v>270</v>
      </c>
      <c r="F117" s="267">
        <f>'stream III '!I12</f>
        <v>0.79861111111111427</v>
      </c>
      <c r="G117" s="267">
        <f>'stream III '!O12</f>
        <v>4.1666666666666664E-2</v>
      </c>
      <c r="H117" s="267">
        <f>'stream III '!T12</f>
        <v>0</v>
      </c>
      <c r="I117" s="267">
        <f>'stream III '!J12</f>
        <v>0.15972222222222224</v>
      </c>
      <c r="J117" s="261" t="str">
        <f>'stream III '!W12</f>
        <v xml:space="preserve"> NIL</v>
      </c>
    </row>
    <row r="118" spans="2:12" ht="15.75" x14ac:dyDescent="0.25">
      <c r="B118" s="266"/>
      <c r="C118" s="266"/>
      <c r="D118" s="255" t="s">
        <v>11</v>
      </c>
      <c r="E118" s="255"/>
      <c r="F118" s="268">
        <f>SUM(F115:F117)</f>
        <v>2.4027777777777999</v>
      </c>
      <c r="G118" s="268">
        <f>SUM(G115:G117)</f>
        <v>0.22916666666666666</v>
      </c>
      <c r="H118" s="268">
        <f>SUM(H115:H117)</f>
        <v>0</v>
      </c>
      <c r="I118" s="268">
        <f>SUM(I115:I117)</f>
        <v>0.36805555555555558</v>
      </c>
      <c r="J118" s="266"/>
      <c r="L118" s="254">
        <f>F118+G118+H118+I118</f>
        <v>3.0000000000000222</v>
      </c>
    </row>
    <row r="122" spans="2:12" ht="15.75" x14ac:dyDescent="0.25">
      <c r="D122" s="269"/>
      <c r="E122" s="158"/>
      <c r="F122" s="158"/>
      <c r="G122" s="158"/>
      <c r="H122" s="158"/>
      <c r="I122" s="158" t="s">
        <v>52</v>
      </c>
      <c r="J122" s="158"/>
    </row>
    <row r="123" spans="2:12" ht="15.75" x14ac:dyDescent="0.25">
      <c r="D123" s="269"/>
      <c r="E123" s="158"/>
      <c r="F123" s="158"/>
      <c r="G123" s="158"/>
      <c r="H123" s="158"/>
      <c r="I123" s="158" t="s">
        <v>105</v>
      </c>
      <c r="J123" s="158"/>
    </row>
    <row r="127" spans="2:12" ht="15.75" thickBot="1" x14ac:dyDescent="0.3"/>
    <row r="128" spans="2:12" ht="16.5" thickBot="1" x14ac:dyDescent="0.3">
      <c r="B128" s="263"/>
      <c r="C128" s="264"/>
      <c r="D128" s="349" t="s">
        <v>297</v>
      </c>
      <c r="E128" s="349"/>
      <c r="F128" s="349"/>
      <c r="G128" s="349"/>
      <c r="H128" s="264"/>
      <c r="I128" s="264"/>
      <c r="J128" s="265"/>
    </row>
    <row r="129" spans="2:12" ht="15.75" x14ac:dyDescent="0.25">
      <c r="B129" s="256"/>
      <c r="C129" s="257"/>
      <c r="D129" s="257"/>
      <c r="E129" s="257"/>
      <c r="F129" s="257"/>
      <c r="G129" s="257"/>
      <c r="H129" s="343" t="str">
        <f>Sheet8!P2</f>
        <v xml:space="preserve"> Date  :  08.07 .2020</v>
      </c>
      <c r="I129" s="344"/>
      <c r="J129" s="345"/>
    </row>
    <row r="130" spans="2:12" ht="15.75" x14ac:dyDescent="0.25">
      <c r="B130" s="346" t="s">
        <v>263</v>
      </c>
      <c r="C130" s="347"/>
      <c r="D130" s="347"/>
      <c r="E130" s="347"/>
      <c r="F130" s="347"/>
      <c r="G130" s="347"/>
      <c r="H130" s="348"/>
      <c r="I130" s="255"/>
      <c r="J130" s="258"/>
    </row>
    <row r="131" spans="2:12" ht="15.75" x14ac:dyDescent="0.25">
      <c r="B131" s="346" t="s">
        <v>264</v>
      </c>
      <c r="C131" s="347"/>
      <c r="D131" s="347"/>
      <c r="E131" s="347"/>
      <c r="F131" s="347"/>
      <c r="G131" s="347"/>
      <c r="H131" s="348"/>
      <c r="I131" s="255"/>
      <c r="J131" s="258"/>
    </row>
    <row r="132" spans="2:12" ht="63" x14ac:dyDescent="0.25">
      <c r="B132" s="259" t="s">
        <v>258</v>
      </c>
      <c r="C132" s="260" t="s">
        <v>266</v>
      </c>
      <c r="D132" s="260" t="s">
        <v>267</v>
      </c>
      <c r="E132" s="332" t="s">
        <v>259</v>
      </c>
      <c r="F132" s="333"/>
      <c r="G132" s="260" t="s">
        <v>260</v>
      </c>
      <c r="H132" s="260" t="s">
        <v>261</v>
      </c>
      <c r="I132" s="260" t="s">
        <v>262</v>
      </c>
      <c r="J132" s="274" t="s">
        <v>95</v>
      </c>
    </row>
    <row r="133" spans="2:12" ht="36.75" customHeight="1" x14ac:dyDescent="0.25">
      <c r="B133" s="350" t="s">
        <v>265</v>
      </c>
      <c r="C133" s="337">
        <f>Sheet8!N22</f>
        <v>22563.279999999999</v>
      </c>
      <c r="D133" s="340">
        <f>Sheet8!N24</f>
        <v>29790.74</v>
      </c>
      <c r="E133" s="279" t="s">
        <v>268</v>
      </c>
      <c r="F133" s="267">
        <f>'stream I '!I13</f>
        <v>0.71875</v>
      </c>
      <c r="G133" s="267">
        <f>'stream I '!O30</f>
        <v>3.4722222222222224E-2</v>
      </c>
      <c r="H133" s="267">
        <f>'stream I '!T13</f>
        <v>0.19444444444444445</v>
      </c>
      <c r="I133" s="267">
        <f>'stream I '!J13</f>
        <v>8.6805555555555566E-2</v>
      </c>
      <c r="J133" s="278" t="str">
        <f>'stream I '!W13</f>
        <v>Tripper no.1 wheel derailled due to  beam &amp; rail damaged.</v>
      </c>
    </row>
    <row r="134" spans="2:12" ht="24" customHeight="1" x14ac:dyDescent="0.25">
      <c r="B134" s="351"/>
      <c r="C134" s="338"/>
      <c r="D134" s="341"/>
      <c r="E134" s="279" t="s">
        <v>269</v>
      </c>
      <c r="F134" s="267">
        <f>' stream II  '!I13</f>
        <v>0.86805555555554292</v>
      </c>
      <c r="G134" s="267">
        <f>' stream II  '!O13</f>
        <v>0</v>
      </c>
      <c r="H134" s="267">
        <f>' stream II  '!T13</f>
        <v>0</v>
      </c>
      <c r="I134" s="267">
        <f>' stream II  '!J13</f>
        <v>0.13194444444444445</v>
      </c>
      <c r="J134" s="277" t="s">
        <v>336</v>
      </c>
    </row>
    <row r="135" spans="2:12" ht="25.5" customHeight="1" x14ac:dyDescent="0.25">
      <c r="B135" s="352"/>
      <c r="C135" s="339"/>
      <c r="D135" s="342"/>
      <c r="E135" s="279" t="s">
        <v>270</v>
      </c>
      <c r="F135" s="267">
        <f>'stream III '!I13</f>
        <v>0.29166666666665719</v>
      </c>
      <c r="G135" s="267">
        <f>'stream III '!O13</f>
        <v>0.66666666666666663</v>
      </c>
      <c r="H135" s="267">
        <f>' stream II  '!T14</f>
        <v>0</v>
      </c>
      <c r="I135" s="267">
        <f>'stream III '!J13</f>
        <v>4.1666666666666664E-2</v>
      </c>
      <c r="J135" s="261" t="str">
        <f>'stream III '!W13</f>
        <v>C-2A belt jointing work</v>
      </c>
    </row>
    <row r="136" spans="2:12" ht="15.75" x14ac:dyDescent="0.25">
      <c r="B136" s="266"/>
      <c r="C136" s="266"/>
      <c r="D136" s="255" t="s">
        <v>11</v>
      </c>
      <c r="E136" s="255"/>
      <c r="F136" s="268">
        <f>SUM(F133:F135)</f>
        <v>1.8784722222222001</v>
      </c>
      <c r="G136" s="268">
        <f>SUM(G133:G135)</f>
        <v>0.70138888888888884</v>
      </c>
      <c r="H136" s="268">
        <f>SUM(H133:H135)</f>
        <v>0.19444444444444445</v>
      </c>
      <c r="I136" s="268">
        <f>SUM(I133:I135)</f>
        <v>0.26041666666666669</v>
      </c>
      <c r="J136" s="266"/>
      <c r="L136" s="254">
        <f>F136+G136+H136+I136</f>
        <v>3.0347222222222001</v>
      </c>
    </row>
    <row r="140" spans="2:12" ht="15.75" x14ac:dyDescent="0.25">
      <c r="D140" s="269"/>
      <c r="E140" s="158"/>
      <c r="F140" s="158"/>
      <c r="G140" s="158"/>
      <c r="H140" s="158"/>
      <c r="I140" s="158" t="s">
        <v>52</v>
      </c>
      <c r="J140" s="158"/>
    </row>
    <row r="141" spans="2:12" ht="15.75" x14ac:dyDescent="0.25">
      <c r="D141" s="269"/>
      <c r="E141" s="158"/>
      <c r="F141" s="158"/>
      <c r="G141" s="158"/>
      <c r="H141" s="158"/>
      <c r="I141" s="158" t="s">
        <v>105</v>
      </c>
      <c r="J141" s="158"/>
    </row>
    <row r="142" spans="2:12" ht="15.75" thickBot="1" x14ac:dyDescent="0.3"/>
    <row r="143" spans="2:12" ht="16.5" thickBot="1" x14ac:dyDescent="0.3">
      <c r="B143" s="263" t="s">
        <v>236</v>
      </c>
      <c r="C143" s="264"/>
      <c r="D143" s="349" t="s">
        <v>297</v>
      </c>
      <c r="E143" s="349"/>
      <c r="F143" s="349"/>
      <c r="G143" s="349"/>
      <c r="H143" s="264"/>
      <c r="I143" s="264"/>
      <c r="J143" s="265"/>
    </row>
    <row r="144" spans="2:12" ht="15.75" x14ac:dyDescent="0.25">
      <c r="B144" s="256"/>
      <c r="C144" s="257"/>
      <c r="D144" s="257"/>
      <c r="E144" s="257"/>
      <c r="F144" s="257"/>
      <c r="G144" s="257"/>
      <c r="H144" s="343" t="s">
        <v>351</v>
      </c>
      <c r="I144" s="344"/>
      <c r="J144" s="345"/>
    </row>
    <row r="145" spans="2:12" ht="15.75" x14ac:dyDescent="0.25">
      <c r="B145" s="346" t="s">
        <v>263</v>
      </c>
      <c r="C145" s="347"/>
      <c r="D145" s="347"/>
      <c r="E145" s="347"/>
      <c r="F145" s="347"/>
      <c r="G145" s="347"/>
      <c r="H145" s="348"/>
      <c r="I145" s="255"/>
      <c r="J145" s="258"/>
    </row>
    <row r="146" spans="2:12" ht="15.75" x14ac:dyDescent="0.25">
      <c r="B146" s="346" t="s">
        <v>264</v>
      </c>
      <c r="C146" s="347"/>
      <c r="D146" s="347"/>
      <c r="E146" s="347"/>
      <c r="F146" s="347"/>
      <c r="G146" s="347"/>
      <c r="H146" s="348"/>
      <c r="I146" s="255"/>
      <c r="J146" s="258"/>
    </row>
    <row r="147" spans="2:12" ht="63" x14ac:dyDescent="0.25">
      <c r="B147" s="259" t="s">
        <v>258</v>
      </c>
      <c r="C147" s="260" t="s">
        <v>266</v>
      </c>
      <c r="D147" s="260" t="s">
        <v>267</v>
      </c>
      <c r="E147" s="332" t="s">
        <v>259</v>
      </c>
      <c r="F147" s="333"/>
      <c r="G147" s="260" t="s">
        <v>260</v>
      </c>
      <c r="H147" s="260" t="s">
        <v>261</v>
      </c>
      <c r="I147" s="260" t="s">
        <v>262</v>
      </c>
      <c r="J147" s="274" t="s">
        <v>95</v>
      </c>
    </row>
    <row r="148" spans="2:12" ht="47.25" x14ac:dyDescent="0.25">
      <c r="B148" s="350" t="s">
        <v>265</v>
      </c>
      <c r="C148" s="337">
        <v>24891.66</v>
      </c>
      <c r="D148" s="340">
        <v>22259.01</v>
      </c>
      <c r="E148" s="279" t="s">
        <v>353</v>
      </c>
      <c r="F148" s="267">
        <v>0.2638888888888889</v>
      </c>
      <c r="G148" s="267">
        <v>4.1666666666666664E-2</v>
      </c>
      <c r="H148" s="267">
        <v>0.625</v>
      </c>
      <c r="I148" s="267">
        <v>6.9444444444444434E-2</v>
      </c>
      <c r="J148" s="278" t="s">
        <v>352</v>
      </c>
    </row>
    <row r="149" spans="2:12" ht="28.5" customHeight="1" x14ac:dyDescent="0.25">
      <c r="B149" s="351"/>
      <c r="C149" s="338"/>
      <c r="D149" s="341"/>
      <c r="E149" s="279" t="s">
        <v>354</v>
      </c>
      <c r="F149" s="267">
        <v>0.83680555555555547</v>
      </c>
      <c r="G149" s="267">
        <v>4.1666666666666664E-2</v>
      </c>
      <c r="H149" s="267">
        <v>4.1666666666666664E-2</v>
      </c>
      <c r="I149" s="267">
        <v>7.9861111111111105E-2</v>
      </c>
      <c r="J149" s="277" t="s">
        <v>336</v>
      </c>
    </row>
    <row r="150" spans="2:12" ht="26.25" customHeight="1" x14ac:dyDescent="0.25">
      <c r="B150" s="352"/>
      <c r="C150" s="339"/>
      <c r="D150" s="342"/>
      <c r="E150" s="279" t="s">
        <v>355</v>
      </c>
      <c r="F150" s="267">
        <v>0.46875</v>
      </c>
      <c r="G150" s="267">
        <v>0</v>
      </c>
      <c r="H150" s="267">
        <v>0.46875</v>
      </c>
      <c r="I150" s="267">
        <v>6.25E-2</v>
      </c>
      <c r="J150" s="261" t="s">
        <v>350</v>
      </c>
    </row>
    <row r="151" spans="2:12" ht="27" customHeight="1" x14ac:dyDescent="0.25">
      <c r="B151" s="266"/>
      <c r="C151" s="266"/>
      <c r="D151" s="255" t="s">
        <v>11</v>
      </c>
      <c r="E151" s="255"/>
      <c r="F151" s="268">
        <f>SUM(F148:F150)</f>
        <v>1.5694444444444444</v>
      </c>
      <c r="G151" s="268">
        <f>SUM(G148:G150)</f>
        <v>8.3333333333333329E-2</v>
      </c>
      <c r="H151" s="268">
        <f>SUM(H148:H150)</f>
        <v>1.1354166666666665</v>
      </c>
      <c r="I151" s="268">
        <f>SUM(I148:I150)</f>
        <v>0.21180555555555552</v>
      </c>
      <c r="J151" s="266"/>
      <c r="L151" s="254">
        <f>F151+G151+H151+I151</f>
        <v>2.9999999999999996</v>
      </c>
    </row>
    <row r="155" spans="2:12" ht="15.75" x14ac:dyDescent="0.25">
      <c r="D155" s="269"/>
      <c r="E155" s="158"/>
      <c r="F155" s="158"/>
      <c r="G155" s="158"/>
      <c r="H155" s="158"/>
      <c r="I155" s="158" t="s">
        <v>52</v>
      </c>
      <c r="J155" s="158"/>
    </row>
    <row r="156" spans="2:12" ht="15.75" x14ac:dyDescent="0.25">
      <c r="D156" s="269"/>
      <c r="E156" s="158"/>
      <c r="F156" s="158"/>
      <c r="G156" s="158"/>
      <c r="H156" s="158"/>
      <c r="I156" s="158" t="s">
        <v>105</v>
      </c>
      <c r="J156" s="158"/>
    </row>
    <row r="158" spans="2:12" ht="15.75" thickBot="1" x14ac:dyDescent="0.3"/>
    <row r="159" spans="2:12" ht="16.5" thickBot="1" x14ac:dyDescent="0.3">
      <c r="B159" s="263"/>
      <c r="C159" s="264"/>
      <c r="D159" s="349" t="s">
        <v>297</v>
      </c>
      <c r="E159" s="349"/>
      <c r="F159" s="349"/>
      <c r="G159" s="349"/>
      <c r="H159" s="264"/>
      <c r="I159" s="264"/>
      <c r="J159" s="265"/>
    </row>
    <row r="160" spans="2:12" ht="15.75" x14ac:dyDescent="0.25">
      <c r="B160" s="256"/>
      <c r="C160" s="257"/>
      <c r="D160" s="257"/>
      <c r="E160" s="257"/>
      <c r="F160" s="257"/>
      <c r="G160" s="257"/>
      <c r="H160" s="343" t="s">
        <v>374</v>
      </c>
      <c r="I160" s="344"/>
      <c r="J160" s="345"/>
    </row>
    <row r="161" spans="2:12" ht="15.75" x14ac:dyDescent="0.25">
      <c r="B161" s="346" t="s">
        <v>263</v>
      </c>
      <c r="C161" s="347"/>
      <c r="D161" s="347"/>
      <c r="E161" s="347"/>
      <c r="F161" s="347"/>
      <c r="G161" s="347"/>
      <c r="H161" s="348"/>
      <c r="I161" s="255"/>
      <c r="J161" s="258"/>
    </row>
    <row r="162" spans="2:12" ht="15.75" x14ac:dyDescent="0.25">
      <c r="B162" s="346" t="s">
        <v>264</v>
      </c>
      <c r="C162" s="347"/>
      <c r="D162" s="347"/>
      <c r="E162" s="347"/>
      <c r="F162" s="347"/>
      <c r="G162" s="347"/>
      <c r="H162" s="348"/>
      <c r="I162" s="255"/>
      <c r="J162" s="258"/>
    </row>
    <row r="163" spans="2:12" ht="63" x14ac:dyDescent="0.25">
      <c r="B163" s="259" t="s">
        <v>258</v>
      </c>
      <c r="C163" s="260" t="s">
        <v>266</v>
      </c>
      <c r="D163" s="260" t="s">
        <v>267</v>
      </c>
      <c r="E163" s="332" t="s">
        <v>259</v>
      </c>
      <c r="F163" s="333"/>
      <c r="G163" s="260" t="s">
        <v>260</v>
      </c>
      <c r="H163" s="260" t="s">
        <v>261</v>
      </c>
      <c r="I163" s="260" t="s">
        <v>262</v>
      </c>
      <c r="J163" s="274" t="s">
        <v>95</v>
      </c>
    </row>
    <row r="164" spans="2:12" ht="35.25" customHeight="1" x14ac:dyDescent="0.25">
      <c r="B164" s="350" t="s">
        <v>265</v>
      </c>
      <c r="C164" s="337">
        <f>Sheet11!N22</f>
        <v>26102</v>
      </c>
      <c r="D164" s="340">
        <f>Sheet11!N24</f>
        <v>29928.33</v>
      </c>
      <c r="E164" s="279" t="s">
        <v>268</v>
      </c>
      <c r="F164" s="267">
        <f>'stream I '!I16</f>
        <v>0.64236111111111427</v>
      </c>
      <c r="G164" s="267">
        <f>'stream I '!O16</f>
        <v>0</v>
      </c>
      <c r="H164" s="267">
        <f>'stream I '!T16</f>
        <v>0.27083333333333331</v>
      </c>
      <c r="I164" s="267">
        <f>'stream I '!J16</f>
        <v>8.6805555555555566E-2</v>
      </c>
      <c r="J164" s="281" t="s">
        <v>375</v>
      </c>
    </row>
    <row r="165" spans="2:12" ht="21.75" customHeight="1" x14ac:dyDescent="0.25">
      <c r="B165" s="351"/>
      <c r="C165" s="338"/>
      <c r="D165" s="341"/>
      <c r="E165" s="279" t="s">
        <v>269</v>
      </c>
      <c r="F165" s="267">
        <f>' stream II  '!I16</f>
        <v>0.86805555555554292</v>
      </c>
      <c r="G165" s="267">
        <f>' stream II  '!O16</f>
        <v>0</v>
      </c>
      <c r="H165" s="267">
        <f>' stream II  '!T16</f>
        <v>0</v>
      </c>
      <c r="I165" s="267">
        <f>' stream II  '!J16</f>
        <v>0.13194444444444445</v>
      </c>
      <c r="J165" s="261" t="s">
        <v>336</v>
      </c>
    </row>
    <row r="166" spans="2:12" ht="24.75" customHeight="1" x14ac:dyDescent="0.25">
      <c r="B166" s="352"/>
      <c r="C166" s="339"/>
      <c r="D166" s="342"/>
      <c r="E166" s="279" t="s">
        <v>270</v>
      </c>
      <c r="F166" s="267">
        <f>'stream III '!I16</f>
        <v>0.83680555555557135</v>
      </c>
      <c r="G166" s="267">
        <f>'stream III '!O16</f>
        <v>0</v>
      </c>
      <c r="H166" s="267">
        <f>' stream II  '!T16</f>
        <v>0</v>
      </c>
      <c r="I166" s="267">
        <f>'stream III '!J16</f>
        <v>0.16319444444444445</v>
      </c>
      <c r="J166" s="261" t="s">
        <v>336</v>
      </c>
    </row>
    <row r="167" spans="2:12" ht="28.5" customHeight="1" x14ac:dyDescent="0.25">
      <c r="B167" s="266"/>
      <c r="C167" s="266"/>
      <c r="D167" s="255" t="s">
        <v>11</v>
      </c>
      <c r="E167" s="255"/>
      <c r="F167" s="268">
        <f>SUM(F164:F166)</f>
        <v>2.3472222222222285</v>
      </c>
      <c r="G167" s="268">
        <f>SUM(G164:G166)</f>
        <v>0</v>
      </c>
      <c r="H167" s="268">
        <f>SUM(H164:H166)</f>
        <v>0.27083333333333331</v>
      </c>
      <c r="I167" s="268">
        <f>SUM(I164:I166)</f>
        <v>0.38194444444444442</v>
      </c>
      <c r="J167" s="266"/>
      <c r="L167" s="254">
        <f>F167+G167+H167+I167</f>
        <v>3.0000000000000062</v>
      </c>
    </row>
    <row r="171" spans="2:12" ht="15.75" x14ac:dyDescent="0.25">
      <c r="D171" s="269"/>
      <c r="E171" s="158"/>
      <c r="F171" s="158"/>
      <c r="G171" s="158"/>
      <c r="H171" s="158"/>
      <c r="I171" s="158" t="s">
        <v>52</v>
      </c>
      <c r="J171" s="158"/>
    </row>
    <row r="172" spans="2:12" ht="15.75" x14ac:dyDescent="0.25">
      <c r="D172" s="269"/>
      <c r="E172" s="158"/>
      <c r="F172" s="158"/>
      <c r="G172" s="158"/>
      <c r="H172" s="158"/>
      <c r="I172" s="158" t="s">
        <v>105</v>
      </c>
      <c r="J172" s="158"/>
    </row>
    <row r="174" spans="2:12" ht="15.75" thickBot="1" x14ac:dyDescent="0.3"/>
    <row r="175" spans="2:12" ht="16.5" thickBot="1" x14ac:dyDescent="0.3">
      <c r="B175" s="263"/>
      <c r="C175" s="264"/>
      <c r="D175" s="349" t="s">
        <v>297</v>
      </c>
      <c r="E175" s="349"/>
      <c r="F175" s="349"/>
      <c r="G175" s="349"/>
      <c r="H175" s="264"/>
      <c r="I175" s="264"/>
      <c r="J175" s="265"/>
    </row>
    <row r="176" spans="2:12" ht="15.75" x14ac:dyDescent="0.25">
      <c r="B176" s="256"/>
      <c r="C176" s="257"/>
      <c r="D176" s="257"/>
      <c r="E176" s="257"/>
      <c r="F176" s="257"/>
      <c r="G176" s="257"/>
      <c r="H176" s="343" t="s">
        <v>389</v>
      </c>
      <c r="I176" s="344"/>
      <c r="J176" s="345"/>
    </row>
    <row r="177" spans="2:12" ht="15.75" x14ac:dyDescent="0.25">
      <c r="B177" s="346" t="s">
        <v>263</v>
      </c>
      <c r="C177" s="347"/>
      <c r="D177" s="347"/>
      <c r="E177" s="347"/>
      <c r="F177" s="347"/>
      <c r="G177" s="347"/>
      <c r="H177" s="348"/>
      <c r="I177" s="255"/>
      <c r="J177" s="258"/>
    </row>
    <row r="178" spans="2:12" ht="15.75" x14ac:dyDescent="0.25">
      <c r="B178" s="346" t="s">
        <v>264</v>
      </c>
      <c r="C178" s="347"/>
      <c r="D178" s="347"/>
      <c r="E178" s="347"/>
      <c r="F178" s="347"/>
      <c r="G178" s="347"/>
      <c r="H178" s="348"/>
      <c r="I178" s="255"/>
      <c r="J178" s="258"/>
    </row>
    <row r="179" spans="2:12" ht="63" x14ac:dyDescent="0.25">
      <c r="B179" s="259" t="s">
        <v>258</v>
      </c>
      <c r="C179" s="260" t="s">
        <v>266</v>
      </c>
      <c r="D179" s="260" t="s">
        <v>267</v>
      </c>
      <c r="E179" s="332" t="s">
        <v>259</v>
      </c>
      <c r="F179" s="333"/>
      <c r="G179" s="260" t="s">
        <v>260</v>
      </c>
      <c r="H179" s="260" t="s">
        <v>261</v>
      </c>
      <c r="I179" s="260" t="s">
        <v>262</v>
      </c>
      <c r="J179" s="274" t="s">
        <v>95</v>
      </c>
    </row>
    <row r="180" spans="2:12" ht="47.25" x14ac:dyDescent="0.25">
      <c r="B180" s="350" t="s">
        <v>265</v>
      </c>
      <c r="C180" s="337">
        <f>Sheet12!N22</f>
        <v>33807.21</v>
      </c>
      <c r="D180" s="340">
        <f>Sheet12!N24</f>
        <v>30904.27</v>
      </c>
      <c r="E180" s="279" t="s">
        <v>268</v>
      </c>
      <c r="F180" s="267">
        <f>'stream I '!I17</f>
        <v>0.64583333333334281</v>
      </c>
      <c r="G180" s="267">
        <f>'stream I '!O17</f>
        <v>0</v>
      </c>
      <c r="H180" s="267">
        <f>'stream I '!T17</f>
        <v>0.29166666666666669</v>
      </c>
      <c r="I180" s="267">
        <f>'stream I '!J17</f>
        <v>6.25E-2</v>
      </c>
      <c r="J180" s="281" t="s">
        <v>390</v>
      </c>
    </row>
    <row r="181" spans="2:12" ht="24" customHeight="1" x14ac:dyDescent="0.25">
      <c r="B181" s="351"/>
      <c r="C181" s="338"/>
      <c r="D181" s="341"/>
      <c r="E181" s="279" t="s">
        <v>269</v>
      </c>
      <c r="F181" s="267">
        <f>' stream II  '!I17</f>
        <v>0.9375</v>
      </c>
      <c r="G181" s="267">
        <f>' stream II  '!O17</f>
        <v>0</v>
      </c>
      <c r="H181" s="267">
        <f>' stream II  '!T17</f>
        <v>0</v>
      </c>
      <c r="I181" s="267">
        <f>' stream II  '!J17</f>
        <v>6.25E-2</v>
      </c>
      <c r="J181" s="261" t="s">
        <v>336</v>
      </c>
    </row>
    <row r="182" spans="2:12" ht="24" customHeight="1" x14ac:dyDescent="0.25">
      <c r="B182" s="352"/>
      <c r="C182" s="339"/>
      <c r="D182" s="342"/>
      <c r="E182" s="279" t="s">
        <v>270</v>
      </c>
      <c r="F182" s="267">
        <f>'stream III '!I17</f>
        <v>0.87152777777777146</v>
      </c>
      <c r="G182" s="267">
        <f>'stream III '!O17</f>
        <v>0</v>
      </c>
      <c r="H182" s="267">
        <f>' stream II  '!T17</f>
        <v>0</v>
      </c>
      <c r="I182" s="267">
        <f>'stream III '!J17</f>
        <v>0.12847222222222224</v>
      </c>
      <c r="J182" s="261" t="s">
        <v>336</v>
      </c>
    </row>
    <row r="183" spans="2:12" ht="25.5" customHeight="1" x14ac:dyDescent="0.25">
      <c r="B183" s="266"/>
      <c r="C183" s="266"/>
      <c r="D183" s="255" t="s">
        <v>11</v>
      </c>
      <c r="E183" s="255"/>
      <c r="F183" s="268">
        <f>SUM(F180:F182)</f>
        <v>2.4548611111111143</v>
      </c>
      <c r="G183" s="268">
        <f>SUM(G180:G182)</f>
        <v>0</v>
      </c>
      <c r="H183" s="268">
        <f>SUM(H180:H182)</f>
        <v>0.29166666666666669</v>
      </c>
      <c r="I183" s="268">
        <f>SUM(I180:I182)</f>
        <v>0.25347222222222221</v>
      </c>
      <c r="J183" s="266"/>
      <c r="L183" s="254">
        <f>F183+G183+H183+I183</f>
        <v>3.0000000000000031</v>
      </c>
    </row>
    <row r="187" spans="2:12" ht="15.75" x14ac:dyDescent="0.25">
      <c r="D187" s="269"/>
      <c r="E187" s="158"/>
      <c r="F187" s="158"/>
      <c r="G187" s="158"/>
      <c r="H187" s="158"/>
      <c r="I187" s="158" t="s">
        <v>52</v>
      </c>
      <c r="J187" s="158"/>
    </row>
    <row r="188" spans="2:12" ht="15.75" x14ac:dyDescent="0.25">
      <c r="D188" s="269"/>
      <c r="E188" s="158"/>
      <c r="F188" s="158"/>
      <c r="G188" s="158"/>
      <c r="H188" s="158"/>
      <c r="I188" s="158" t="s">
        <v>105</v>
      </c>
      <c r="J188" s="158"/>
    </row>
    <row r="191" spans="2:12" ht="15.75" thickBot="1" x14ac:dyDescent="0.3"/>
    <row r="192" spans="2:12" ht="16.5" thickBot="1" x14ac:dyDescent="0.3">
      <c r="B192" s="263"/>
      <c r="C192" s="264"/>
      <c r="D192" s="349" t="s">
        <v>297</v>
      </c>
      <c r="E192" s="349"/>
      <c r="F192" s="349"/>
      <c r="G192" s="349"/>
      <c r="H192" s="264"/>
      <c r="I192" s="264"/>
      <c r="J192" s="265"/>
    </row>
    <row r="193" spans="2:12" ht="15.75" x14ac:dyDescent="0.25">
      <c r="B193" s="256"/>
      <c r="C193" s="257"/>
      <c r="D193" s="257"/>
      <c r="E193" s="257"/>
      <c r="F193" s="257"/>
      <c r="G193" s="257"/>
      <c r="H193" s="343" t="s">
        <v>407</v>
      </c>
      <c r="I193" s="344"/>
      <c r="J193" s="345"/>
    </row>
    <row r="194" spans="2:12" ht="15.75" x14ac:dyDescent="0.25">
      <c r="B194" s="346" t="s">
        <v>263</v>
      </c>
      <c r="C194" s="347"/>
      <c r="D194" s="347"/>
      <c r="E194" s="347"/>
      <c r="F194" s="347"/>
      <c r="G194" s="347"/>
      <c r="H194" s="348"/>
      <c r="I194" s="255"/>
      <c r="J194" s="258"/>
    </row>
    <row r="195" spans="2:12" ht="15.75" x14ac:dyDescent="0.25">
      <c r="B195" s="346" t="s">
        <v>264</v>
      </c>
      <c r="C195" s="347"/>
      <c r="D195" s="347"/>
      <c r="E195" s="347"/>
      <c r="F195" s="347"/>
      <c r="G195" s="347"/>
      <c r="H195" s="348"/>
      <c r="I195" s="255"/>
      <c r="J195" s="258"/>
    </row>
    <row r="196" spans="2:12" ht="63" x14ac:dyDescent="0.25">
      <c r="B196" s="259" t="s">
        <v>258</v>
      </c>
      <c r="C196" s="260" t="s">
        <v>266</v>
      </c>
      <c r="D196" s="260" t="s">
        <v>267</v>
      </c>
      <c r="E196" s="332" t="s">
        <v>259</v>
      </c>
      <c r="F196" s="333"/>
      <c r="G196" s="260" t="s">
        <v>260</v>
      </c>
      <c r="H196" s="260" t="s">
        <v>261</v>
      </c>
      <c r="I196" s="260" t="s">
        <v>262</v>
      </c>
      <c r="J196" s="274" t="s">
        <v>95</v>
      </c>
    </row>
    <row r="197" spans="2:12" ht="15.75" x14ac:dyDescent="0.25">
      <c r="B197" s="350" t="s">
        <v>265</v>
      </c>
      <c r="C197" s="337">
        <f>Sheet13!N22</f>
        <v>37604</v>
      </c>
      <c r="D197" s="340">
        <f>Sheet13!N24</f>
        <v>34399.440000000002</v>
      </c>
      <c r="E197" s="279" t="s">
        <v>353</v>
      </c>
      <c r="F197" s="267">
        <f>'stream I '!I18</f>
        <v>0.79166666666668561</v>
      </c>
      <c r="G197" s="267">
        <f>'stream I '!O18</f>
        <v>4.1666666666666664E-2</v>
      </c>
      <c r="H197" s="267">
        <f>'stream I '!T18</f>
        <v>5.9027777777777783E-2</v>
      </c>
      <c r="I197" s="267">
        <f>'stream I '!J18</f>
        <v>0.1076388888888889</v>
      </c>
      <c r="J197" s="281" t="s">
        <v>409</v>
      </c>
    </row>
    <row r="198" spans="2:12" ht="29.25" customHeight="1" x14ac:dyDescent="0.25">
      <c r="B198" s="351"/>
      <c r="C198" s="338"/>
      <c r="D198" s="341"/>
      <c r="E198" s="279" t="s">
        <v>354</v>
      </c>
      <c r="F198" s="267">
        <f>' stream II  '!I18</f>
        <v>0.82638888888888573</v>
      </c>
      <c r="G198" s="267">
        <f>' stream II  '!O18</f>
        <v>4.5138888888888888E-2</v>
      </c>
      <c r="H198" s="267">
        <f>' stream II  '!T18</f>
        <v>0</v>
      </c>
      <c r="I198" s="267">
        <f>' stream II  '!J18</f>
        <v>0.12847222222222224</v>
      </c>
      <c r="J198" s="261" t="s">
        <v>336</v>
      </c>
    </row>
    <row r="199" spans="2:12" ht="21.75" customHeight="1" x14ac:dyDescent="0.25">
      <c r="B199" s="352"/>
      <c r="C199" s="339"/>
      <c r="D199" s="342"/>
      <c r="E199" s="279" t="s">
        <v>408</v>
      </c>
      <c r="F199" s="267">
        <f>'stream III '!I18</f>
        <v>0.70833333333337123</v>
      </c>
      <c r="G199" s="267">
        <f>'stream III '!O18</f>
        <v>0.1875</v>
      </c>
      <c r="H199" s="267">
        <f>' stream II  '!T18</f>
        <v>0</v>
      </c>
      <c r="I199" s="267">
        <f>'stream III '!J18</f>
        <v>0.10416666666666667</v>
      </c>
      <c r="J199" s="261" t="s">
        <v>410</v>
      </c>
    </row>
    <row r="200" spans="2:12" ht="27.75" customHeight="1" x14ac:dyDescent="0.25">
      <c r="B200" s="266"/>
      <c r="C200" s="266"/>
      <c r="D200" s="255" t="s">
        <v>11</v>
      </c>
      <c r="E200" s="255"/>
      <c r="F200" s="268">
        <f>SUM(F197:F199)</f>
        <v>2.3263888888889426</v>
      </c>
      <c r="G200" s="268">
        <f>SUM(G197:G199)</f>
        <v>0.27430555555555558</v>
      </c>
      <c r="H200" s="268">
        <f>SUM(H197:H199)</f>
        <v>5.9027777777777783E-2</v>
      </c>
      <c r="I200" s="268">
        <f>SUM(I197:I199)</f>
        <v>0.34027777777777779</v>
      </c>
      <c r="J200" s="266"/>
      <c r="L200" s="254">
        <f>F200+G200+H200+I200</f>
        <v>3.0000000000000533</v>
      </c>
    </row>
    <row r="204" spans="2:12" ht="15.75" x14ac:dyDescent="0.25">
      <c r="D204" s="269"/>
      <c r="E204" s="158"/>
      <c r="F204" s="158"/>
      <c r="G204" s="158"/>
      <c r="H204" s="158"/>
      <c r="I204" s="158" t="s">
        <v>52</v>
      </c>
      <c r="J204" s="158"/>
    </row>
    <row r="205" spans="2:12" ht="15.75" x14ac:dyDescent="0.25">
      <c r="D205" s="269"/>
      <c r="E205" s="158"/>
      <c r="F205" s="158"/>
      <c r="G205" s="158"/>
      <c r="H205" s="158"/>
      <c r="I205" s="158" t="s">
        <v>105</v>
      </c>
      <c r="J205" s="158"/>
    </row>
    <row r="208" spans="2:12" ht="15.75" thickBot="1" x14ac:dyDescent="0.3"/>
    <row r="209" spans="2:12" ht="16.5" thickBot="1" x14ac:dyDescent="0.3">
      <c r="B209" s="263"/>
      <c r="C209" s="264"/>
      <c r="D209" s="349" t="s">
        <v>297</v>
      </c>
      <c r="E209" s="349"/>
      <c r="F209" s="349"/>
      <c r="G209" s="349"/>
      <c r="H209" s="264"/>
      <c r="I209" s="264"/>
      <c r="J209" s="265"/>
    </row>
    <row r="210" spans="2:12" ht="15.75" x14ac:dyDescent="0.25">
      <c r="B210" s="256"/>
      <c r="C210" s="257"/>
      <c r="D210" s="257"/>
      <c r="E210" s="257"/>
      <c r="F210" s="257"/>
      <c r="G210" s="257"/>
      <c r="H210" s="343" t="s">
        <v>423</v>
      </c>
      <c r="I210" s="344"/>
      <c r="J210" s="345"/>
    </row>
    <row r="211" spans="2:12" ht="15.75" x14ac:dyDescent="0.25">
      <c r="B211" s="346" t="s">
        <v>263</v>
      </c>
      <c r="C211" s="347"/>
      <c r="D211" s="347"/>
      <c r="E211" s="347"/>
      <c r="F211" s="347"/>
      <c r="G211" s="347"/>
      <c r="H211" s="348"/>
      <c r="I211" s="255"/>
      <c r="J211" s="258"/>
    </row>
    <row r="212" spans="2:12" ht="15.75" x14ac:dyDescent="0.25">
      <c r="B212" s="346" t="s">
        <v>264</v>
      </c>
      <c r="C212" s="347"/>
      <c r="D212" s="347"/>
      <c r="E212" s="347"/>
      <c r="F212" s="347"/>
      <c r="G212" s="347"/>
      <c r="H212" s="348"/>
      <c r="I212" s="255"/>
      <c r="J212" s="258"/>
    </row>
    <row r="213" spans="2:12" ht="63" x14ac:dyDescent="0.25">
      <c r="B213" s="259" t="s">
        <v>258</v>
      </c>
      <c r="C213" s="260" t="s">
        <v>266</v>
      </c>
      <c r="D213" s="260" t="s">
        <v>267</v>
      </c>
      <c r="E213" s="332" t="s">
        <v>259</v>
      </c>
      <c r="F213" s="333"/>
      <c r="G213" s="260" t="s">
        <v>260</v>
      </c>
      <c r="H213" s="260" t="s">
        <v>261</v>
      </c>
      <c r="I213" s="260" t="s">
        <v>262</v>
      </c>
      <c r="J213" s="287" t="s">
        <v>95</v>
      </c>
    </row>
    <row r="214" spans="2:12" ht="15.75" x14ac:dyDescent="0.25">
      <c r="B214" s="350" t="s">
        <v>265</v>
      </c>
      <c r="C214" s="337">
        <f>Sheet14!N22</f>
        <v>34870</v>
      </c>
      <c r="D214" s="340">
        <f>Sheet14!N24</f>
        <v>37881.660000000003</v>
      </c>
      <c r="E214" s="279" t="s">
        <v>353</v>
      </c>
      <c r="F214" s="267">
        <f>'stream I '!I19</f>
        <v>0.86458333333331439</v>
      </c>
      <c r="G214" s="267">
        <f>'stream I '!O19</f>
        <v>4.1666666666666664E-2</v>
      </c>
      <c r="H214" s="267">
        <v>1.0416666666666666E-2</v>
      </c>
      <c r="I214" s="286">
        <f>'stream I '!J19</f>
        <v>8.3333333333333329E-2</v>
      </c>
      <c r="J214" s="288" t="s">
        <v>424</v>
      </c>
    </row>
    <row r="215" spans="2:12" ht="15.75" x14ac:dyDescent="0.25">
      <c r="B215" s="351"/>
      <c r="C215" s="338"/>
      <c r="D215" s="341"/>
      <c r="E215" s="279" t="s">
        <v>354</v>
      </c>
      <c r="F215" s="267">
        <f>' stream II  '!I19</f>
        <v>0.82986111111114269</v>
      </c>
      <c r="G215" s="267">
        <f>' stream II  '!T19</f>
        <v>4.1666666666666664E-2</v>
      </c>
      <c r="H215" s="267">
        <v>1.0416666666666666E-2</v>
      </c>
      <c r="I215" s="286">
        <f>' stream II  '!J19</f>
        <v>0.11805555555555557</v>
      </c>
      <c r="J215" s="289" t="s">
        <v>425</v>
      </c>
    </row>
    <row r="216" spans="2:12" ht="15.75" x14ac:dyDescent="0.25">
      <c r="B216" s="352"/>
      <c r="C216" s="339"/>
      <c r="D216" s="342"/>
      <c r="E216" s="279" t="s">
        <v>408</v>
      </c>
      <c r="F216" s="267">
        <f>'stream III '!I19</f>
        <v>0.79861111111111427</v>
      </c>
      <c r="G216" s="267">
        <f>'stream III '!O19</f>
        <v>6.25E-2</v>
      </c>
      <c r="H216" s="267">
        <v>1.0416666666666666E-2</v>
      </c>
      <c r="I216" s="286">
        <f>'stream III '!J19</f>
        <v>0.12847222222222224</v>
      </c>
      <c r="J216" s="290" t="s">
        <v>426</v>
      </c>
    </row>
    <row r="217" spans="2:12" ht="15.75" x14ac:dyDescent="0.25">
      <c r="B217" s="266"/>
      <c r="C217" s="266"/>
      <c r="D217" s="255" t="s">
        <v>11</v>
      </c>
      <c r="E217" s="255"/>
      <c r="F217" s="268">
        <f>SUM(F214:F216)</f>
        <v>2.4930555555555713</v>
      </c>
      <c r="G217" s="268">
        <f>SUM(G214:G216)</f>
        <v>0.14583333333333331</v>
      </c>
      <c r="H217" s="268">
        <f>SUM(H214:H216)</f>
        <v>3.125E-2</v>
      </c>
      <c r="I217" s="268">
        <f>SUM(I214:I216)</f>
        <v>0.32986111111111116</v>
      </c>
      <c r="J217" s="266"/>
      <c r="L217" s="254">
        <f>F217+G217+H217+I217</f>
        <v>3.000000000000016</v>
      </c>
    </row>
    <row r="221" spans="2:12" ht="15.75" x14ac:dyDescent="0.25">
      <c r="D221" s="269"/>
      <c r="E221" s="158"/>
      <c r="F221" s="158"/>
      <c r="G221" s="158"/>
      <c r="H221" s="158"/>
      <c r="I221" s="158" t="s">
        <v>52</v>
      </c>
      <c r="J221" s="158"/>
    </row>
    <row r="222" spans="2:12" ht="15.75" x14ac:dyDescent="0.25">
      <c r="D222" s="269"/>
      <c r="E222" s="158"/>
      <c r="F222" s="158"/>
      <c r="G222" s="158"/>
      <c r="H222" s="158"/>
      <c r="I222" s="158" t="s">
        <v>105</v>
      </c>
      <c r="J222" s="158"/>
    </row>
    <row r="223" spans="2:12" ht="4.5" customHeight="1" thickBot="1" x14ac:dyDescent="0.3"/>
    <row r="224" spans="2:12" ht="16.5" thickBot="1" x14ac:dyDescent="0.3">
      <c r="B224" s="263"/>
      <c r="C224" s="264"/>
      <c r="D224" s="349" t="s">
        <v>297</v>
      </c>
      <c r="E224" s="349"/>
      <c r="F224" s="349"/>
      <c r="G224" s="349"/>
      <c r="H224" s="264"/>
      <c r="I224" s="264"/>
      <c r="J224" s="265"/>
    </row>
    <row r="225" spans="2:12" ht="15.75" x14ac:dyDescent="0.25">
      <c r="B225" s="256"/>
      <c r="C225" s="257"/>
      <c r="D225" s="257"/>
      <c r="E225" s="257"/>
      <c r="F225" s="257"/>
      <c r="G225" s="257"/>
      <c r="H225" s="343" t="s">
        <v>444</v>
      </c>
      <c r="I225" s="344"/>
      <c r="J225" s="345"/>
    </row>
    <row r="226" spans="2:12" ht="15.75" x14ac:dyDescent="0.25">
      <c r="B226" s="346" t="s">
        <v>263</v>
      </c>
      <c r="C226" s="347"/>
      <c r="D226" s="347"/>
      <c r="E226" s="347"/>
      <c r="F226" s="347"/>
      <c r="G226" s="347"/>
      <c r="H226" s="348"/>
      <c r="I226" s="255"/>
      <c r="J226" s="258"/>
    </row>
    <row r="227" spans="2:12" ht="15.75" x14ac:dyDescent="0.25">
      <c r="B227" s="346" t="s">
        <v>264</v>
      </c>
      <c r="C227" s="347"/>
      <c r="D227" s="347"/>
      <c r="E227" s="347"/>
      <c r="F227" s="347"/>
      <c r="G227" s="347"/>
      <c r="H227" s="348"/>
      <c r="I227" s="255"/>
      <c r="J227" s="258"/>
    </row>
    <row r="228" spans="2:12" ht="63" x14ac:dyDescent="0.25">
      <c r="B228" s="259" t="s">
        <v>258</v>
      </c>
      <c r="C228" s="260" t="s">
        <v>266</v>
      </c>
      <c r="D228" s="260" t="s">
        <v>267</v>
      </c>
      <c r="E228" s="332" t="s">
        <v>259</v>
      </c>
      <c r="F228" s="333"/>
      <c r="G228" s="260" t="s">
        <v>260</v>
      </c>
      <c r="H228" s="260" t="s">
        <v>261</v>
      </c>
      <c r="I228" s="260" t="s">
        <v>262</v>
      </c>
      <c r="J228" s="287" t="s">
        <v>95</v>
      </c>
    </row>
    <row r="229" spans="2:12" ht="58.5" customHeight="1" x14ac:dyDescent="0.25">
      <c r="B229" s="334" t="s">
        <v>265</v>
      </c>
      <c r="C229" s="337">
        <f>Sheet15!N22</f>
        <v>30541</v>
      </c>
      <c r="D229" s="340">
        <f>Sheet15!N24</f>
        <v>34224.720000000001</v>
      </c>
      <c r="E229" s="279" t="s">
        <v>353</v>
      </c>
      <c r="F229" s="267">
        <f>'stream I '!I20</f>
        <v>0.79513888888888573</v>
      </c>
      <c r="G229" s="267">
        <f>'stream I '!O20</f>
        <v>0</v>
      </c>
      <c r="H229" s="267">
        <v>5.2083333333333336E-2</v>
      </c>
      <c r="I229" s="286">
        <f>'stream I '!J20</f>
        <v>0.15277777777777776</v>
      </c>
      <c r="J229" s="288" t="s">
        <v>445</v>
      </c>
    </row>
    <row r="230" spans="2:12" ht="121.5" customHeight="1" x14ac:dyDescent="0.25">
      <c r="B230" s="335"/>
      <c r="C230" s="338"/>
      <c r="D230" s="341"/>
      <c r="E230" s="279" t="s">
        <v>354</v>
      </c>
      <c r="F230" s="267">
        <f>' stream II  '!I20</f>
        <v>0.47222222222222854</v>
      </c>
      <c r="G230" s="267">
        <f>' stream II  '!O20</f>
        <v>0.20833333333333334</v>
      </c>
      <c r="H230" s="267">
        <v>0.23263888888888887</v>
      </c>
      <c r="I230" s="286">
        <f>' stream II  '!J20</f>
        <v>8.6805555555555566E-2</v>
      </c>
      <c r="J230" s="260" t="s">
        <v>447</v>
      </c>
    </row>
    <row r="231" spans="2:12" ht="23.25" customHeight="1" x14ac:dyDescent="0.25">
      <c r="B231" s="336"/>
      <c r="C231" s="339"/>
      <c r="D231" s="342"/>
      <c r="E231" s="279" t="s">
        <v>408</v>
      </c>
      <c r="F231" s="267">
        <f>'stream III '!I20</f>
        <v>0.79861111111111427</v>
      </c>
      <c r="G231" s="267">
        <f>'stream III '!O20</f>
        <v>4.1666666666666664E-2</v>
      </c>
      <c r="H231" s="267">
        <v>5.2083333333333336E-2</v>
      </c>
      <c r="I231" s="286">
        <f>'stream III '!J20</f>
        <v>0.1076388888888889</v>
      </c>
      <c r="J231" s="290" t="s">
        <v>446</v>
      </c>
    </row>
    <row r="232" spans="2:12" ht="26.25" customHeight="1" x14ac:dyDescent="0.25">
      <c r="B232" s="266"/>
      <c r="C232" s="266"/>
      <c r="D232" s="255" t="s">
        <v>11</v>
      </c>
      <c r="E232" s="255"/>
      <c r="F232" s="268">
        <f>SUM(F229:F231)</f>
        <v>2.0659722222222285</v>
      </c>
      <c r="G232" s="268">
        <f>SUM(G229:G231)</f>
        <v>0.25</v>
      </c>
      <c r="H232" s="268">
        <f>SUM(H229:H231)</f>
        <v>0.33680555555555552</v>
      </c>
      <c r="I232" s="268">
        <f>SUM(I229:I231)</f>
        <v>0.34722222222222221</v>
      </c>
      <c r="J232" s="266"/>
      <c r="L232" s="254">
        <f>F232+G232+H232+I232</f>
        <v>3.0000000000000062</v>
      </c>
    </row>
    <row r="236" spans="2:12" ht="15.75" x14ac:dyDescent="0.25">
      <c r="D236" s="269"/>
      <c r="E236" s="158"/>
      <c r="F236" s="158"/>
      <c r="G236" s="158"/>
      <c r="H236" s="158"/>
      <c r="I236" s="158" t="s">
        <v>52</v>
      </c>
      <c r="J236" s="158"/>
    </row>
    <row r="237" spans="2:12" ht="15.75" x14ac:dyDescent="0.25">
      <c r="D237" s="269"/>
      <c r="E237" s="158"/>
      <c r="F237" s="158"/>
      <c r="G237" s="158"/>
      <c r="H237" s="158"/>
      <c r="I237" s="158" t="s">
        <v>105</v>
      </c>
      <c r="J237" s="158"/>
    </row>
    <row r="239" spans="2:12" ht="15.75" thickBot="1" x14ac:dyDescent="0.3"/>
    <row r="240" spans="2:12" ht="16.5" thickBot="1" x14ac:dyDescent="0.3">
      <c r="B240" s="263"/>
      <c r="C240" s="264"/>
      <c r="D240" s="349" t="s">
        <v>297</v>
      </c>
      <c r="E240" s="349"/>
      <c r="F240" s="349"/>
      <c r="G240" s="349"/>
      <c r="H240" s="264"/>
      <c r="I240" s="264"/>
      <c r="J240" s="265"/>
    </row>
    <row r="241" spans="2:12" ht="15.75" x14ac:dyDescent="0.25">
      <c r="B241" s="256"/>
      <c r="C241" s="257"/>
      <c r="D241" s="257"/>
      <c r="E241" s="257"/>
      <c r="F241" s="257"/>
      <c r="G241" s="257"/>
      <c r="H241" s="343" t="s">
        <v>456</v>
      </c>
      <c r="I241" s="344"/>
      <c r="J241" s="345"/>
    </row>
    <row r="242" spans="2:12" ht="15.75" x14ac:dyDescent="0.25">
      <c r="B242" s="346" t="s">
        <v>263</v>
      </c>
      <c r="C242" s="347"/>
      <c r="D242" s="347"/>
      <c r="E242" s="347"/>
      <c r="F242" s="347"/>
      <c r="G242" s="347"/>
      <c r="H242" s="348"/>
      <c r="I242" s="255"/>
      <c r="J242" s="258"/>
    </row>
    <row r="243" spans="2:12" ht="15.75" x14ac:dyDescent="0.25">
      <c r="B243" s="346" t="s">
        <v>264</v>
      </c>
      <c r="C243" s="347"/>
      <c r="D243" s="347"/>
      <c r="E243" s="347"/>
      <c r="F243" s="347"/>
      <c r="G243" s="347"/>
      <c r="H243" s="348"/>
      <c r="I243" s="255"/>
      <c r="J243" s="258"/>
    </row>
    <row r="244" spans="2:12" ht="63" x14ac:dyDescent="0.25">
      <c r="B244" s="259" t="s">
        <v>258</v>
      </c>
      <c r="C244" s="260" t="s">
        <v>266</v>
      </c>
      <c r="D244" s="260" t="s">
        <v>267</v>
      </c>
      <c r="E244" s="332" t="s">
        <v>259</v>
      </c>
      <c r="F244" s="333"/>
      <c r="G244" s="260" t="s">
        <v>260</v>
      </c>
      <c r="H244" s="260" t="s">
        <v>261</v>
      </c>
      <c r="I244" s="260" t="s">
        <v>262</v>
      </c>
      <c r="J244" s="287" t="s">
        <v>95</v>
      </c>
    </row>
    <row r="245" spans="2:12" ht="94.5" x14ac:dyDescent="0.25">
      <c r="B245" s="334" t="s">
        <v>265</v>
      </c>
      <c r="C245" s="337">
        <v>35001.85</v>
      </c>
      <c r="D245" s="340">
        <v>34063.379999999997</v>
      </c>
      <c r="E245" s="279" t="s">
        <v>353</v>
      </c>
      <c r="F245" s="267">
        <v>0.75694444444444453</v>
      </c>
      <c r="G245" s="267">
        <f>'stream I '!O36</f>
        <v>4.1666666666666664E-2</v>
      </c>
      <c r="H245" s="267">
        <v>0.125</v>
      </c>
      <c r="I245" s="286">
        <v>0.11805555555555557</v>
      </c>
      <c r="J245" s="288" t="s">
        <v>457</v>
      </c>
    </row>
    <row r="246" spans="2:12" ht="47.25" x14ac:dyDescent="0.25">
      <c r="B246" s="335"/>
      <c r="C246" s="338"/>
      <c r="D246" s="341"/>
      <c r="E246" s="279" t="s">
        <v>354</v>
      </c>
      <c r="F246" s="267">
        <v>0.71527777777777779</v>
      </c>
      <c r="G246" s="267">
        <f>' stream II  '!O36</f>
        <v>4.1666666666666664E-2</v>
      </c>
      <c r="H246" s="267">
        <v>0.16666666666666666</v>
      </c>
      <c r="I246" s="286">
        <v>0.11805555555555557</v>
      </c>
      <c r="J246" s="260" t="s">
        <v>459</v>
      </c>
    </row>
    <row r="247" spans="2:12" ht="15.75" x14ac:dyDescent="0.25">
      <c r="B247" s="336"/>
      <c r="C247" s="339"/>
      <c r="D247" s="342"/>
      <c r="E247" s="279" t="s">
        <v>408</v>
      </c>
      <c r="F247" s="267">
        <v>0.87152777777777779</v>
      </c>
      <c r="G247" s="267">
        <v>4.5138888888888888E-2</v>
      </c>
      <c r="H247" s="267">
        <v>0</v>
      </c>
      <c r="I247" s="286">
        <v>8.3333333333333329E-2</v>
      </c>
      <c r="J247" s="290" t="s">
        <v>446</v>
      </c>
    </row>
    <row r="248" spans="2:12" ht="15.75" x14ac:dyDescent="0.25">
      <c r="B248" s="266"/>
      <c r="C248" s="266"/>
      <c r="D248" s="255" t="s">
        <v>11</v>
      </c>
      <c r="E248" s="255"/>
      <c r="F248" s="268">
        <f>SUM(F245:F247)</f>
        <v>2.34375</v>
      </c>
      <c r="G248" s="268">
        <f>SUM(G245:G247)</f>
        <v>0.12847222222222221</v>
      </c>
      <c r="H248" s="268">
        <f>SUM(H245:H247)</f>
        <v>0.29166666666666663</v>
      </c>
      <c r="I248" s="268">
        <f>SUM(I245:I247)</f>
        <v>0.31944444444444448</v>
      </c>
      <c r="J248" s="266"/>
      <c r="L248" s="254">
        <f>F248+G248+H248+I248</f>
        <v>3.0833333333333335</v>
      </c>
    </row>
    <row r="252" spans="2:12" ht="15.75" x14ac:dyDescent="0.25">
      <c r="D252" s="269"/>
      <c r="E252" s="158"/>
      <c r="F252" s="158"/>
      <c r="G252" s="158"/>
      <c r="H252" s="158"/>
      <c r="I252" s="158" t="s">
        <v>52</v>
      </c>
      <c r="J252" s="158"/>
    </row>
    <row r="253" spans="2:12" ht="15.75" x14ac:dyDescent="0.25">
      <c r="D253" s="269"/>
      <c r="E253" s="158"/>
      <c r="F253" s="158"/>
      <c r="G253" s="158"/>
      <c r="H253" s="158"/>
      <c r="I253" s="158" t="s">
        <v>105</v>
      </c>
      <c r="J253" s="158"/>
    </row>
    <row r="256" spans="2:12" ht="15.75" thickBot="1" x14ac:dyDescent="0.3"/>
    <row r="257" spans="2:12" ht="16.5" thickBot="1" x14ac:dyDescent="0.3">
      <c r="B257" s="263"/>
      <c r="C257" s="264"/>
      <c r="D257" s="349" t="s">
        <v>297</v>
      </c>
      <c r="E257" s="349"/>
      <c r="F257" s="349"/>
      <c r="G257" s="349"/>
      <c r="H257" s="264"/>
      <c r="I257" s="264"/>
      <c r="J257" s="265"/>
    </row>
    <row r="258" spans="2:12" ht="15.75" x14ac:dyDescent="0.25">
      <c r="B258" s="256"/>
      <c r="C258" s="257"/>
      <c r="D258" s="257"/>
      <c r="E258" s="257"/>
      <c r="F258" s="257"/>
      <c r="G258" s="257"/>
      <c r="H258" s="343" t="s">
        <v>463</v>
      </c>
      <c r="I258" s="344"/>
      <c r="J258" s="345"/>
    </row>
    <row r="259" spans="2:12" ht="15.75" x14ac:dyDescent="0.25">
      <c r="B259" s="346" t="s">
        <v>263</v>
      </c>
      <c r="C259" s="347"/>
      <c r="D259" s="347"/>
      <c r="E259" s="347"/>
      <c r="F259" s="347"/>
      <c r="G259" s="347"/>
      <c r="H259" s="348"/>
      <c r="I259" s="255"/>
      <c r="J259" s="258"/>
    </row>
    <row r="260" spans="2:12" ht="15.75" x14ac:dyDescent="0.25">
      <c r="B260" s="346" t="s">
        <v>264</v>
      </c>
      <c r="C260" s="347"/>
      <c r="D260" s="347"/>
      <c r="E260" s="347"/>
      <c r="F260" s="347"/>
      <c r="G260" s="347"/>
      <c r="H260" s="348"/>
      <c r="I260" s="255"/>
      <c r="J260" s="258"/>
    </row>
    <row r="261" spans="2:12" ht="63" x14ac:dyDescent="0.25">
      <c r="B261" s="259" t="s">
        <v>258</v>
      </c>
      <c r="C261" s="260" t="s">
        <v>266</v>
      </c>
      <c r="D261" s="260" t="s">
        <v>267</v>
      </c>
      <c r="E261" s="332" t="s">
        <v>259</v>
      </c>
      <c r="F261" s="333"/>
      <c r="G261" s="260" t="s">
        <v>260</v>
      </c>
      <c r="H261" s="260" t="s">
        <v>261</v>
      </c>
      <c r="I261" s="260" t="s">
        <v>262</v>
      </c>
      <c r="J261" s="287" t="s">
        <v>95</v>
      </c>
    </row>
    <row r="262" spans="2:12" ht="63" x14ac:dyDescent="0.25">
      <c r="B262" s="334" t="s">
        <v>265</v>
      </c>
      <c r="C262" s="337">
        <v>37483</v>
      </c>
      <c r="D262" s="340">
        <v>33794</v>
      </c>
      <c r="E262" s="279" t="s">
        <v>353</v>
      </c>
      <c r="F262" s="267">
        <v>0.77430555555555547</v>
      </c>
      <c r="G262" s="267">
        <v>0.13541666666666666</v>
      </c>
      <c r="H262" s="267">
        <v>0</v>
      </c>
      <c r="I262" s="286">
        <v>8.3333333333333329E-2</v>
      </c>
      <c r="J262" s="288" t="s">
        <v>468</v>
      </c>
    </row>
    <row r="263" spans="2:12" ht="15.75" customHeight="1" x14ac:dyDescent="0.25">
      <c r="B263" s="335"/>
      <c r="C263" s="338"/>
      <c r="D263" s="341"/>
      <c r="E263" s="279" t="s">
        <v>354</v>
      </c>
      <c r="F263" s="267">
        <v>0.73263888888888884</v>
      </c>
      <c r="G263" s="267">
        <v>4.1666666666666664E-2</v>
      </c>
      <c r="H263" s="267">
        <v>0.14583333333333334</v>
      </c>
      <c r="I263" s="286">
        <v>7.9861111111111105E-2</v>
      </c>
      <c r="J263" s="260" t="s">
        <v>483</v>
      </c>
    </row>
    <row r="264" spans="2:12" ht="15.75" x14ac:dyDescent="0.25">
      <c r="B264" s="336"/>
      <c r="C264" s="339"/>
      <c r="D264" s="342"/>
      <c r="E264" s="279" t="s">
        <v>408</v>
      </c>
      <c r="F264" s="267">
        <v>0.82291666666666663</v>
      </c>
      <c r="G264" s="267">
        <v>9.375E-2</v>
      </c>
      <c r="H264" s="267">
        <v>0</v>
      </c>
      <c r="I264" s="286">
        <v>8.3333333333333329E-2</v>
      </c>
      <c r="J264" s="290" t="s">
        <v>446</v>
      </c>
    </row>
    <row r="265" spans="2:12" ht="15.75" x14ac:dyDescent="0.25">
      <c r="B265" s="266"/>
      <c r="C265" s="266"/>
      <c r="D265" s="255" t="s">
        <v>11</v>
      </c>
      <c r="E265" s="255"/>
      <c r="F265" s="268">
        <f>SUM(F262:F264)</f>
        <v>2.3298611111111107</v>
      </c>
      <c r="G265" s="268">
        <f>SUM(G262:G264)</f>
        <v>0.27083333333333331</v>
      </c>
      <c r="H265" s="268">
        <f>SUM(H262:H264)</f>
        <v>0.14583333333333334</v>
      </c>
      <c r="I265" s="268">
        <f>SUM(I262:I264)</f>
        <v>0.24652777777777773</v>
      </c>
      <c r="J265" s="266"/>
      <c r="L265" s="254">
        <f>F265+G265+H265+I265</f>
        <v>2.9930555555555554</v>
      </c>
    </row>
    <row r="269" spans="2:12" ht="15.75" x14ac:dyDescent="0.25">
      <c r="D269" s="269"/>
      <c r="E269" s="158"/>
      <c r="F269" s="158"/>
      <c r="G269" s="158"/>
      <c r="H269" s="158"/>
      <c r="I269" s="158" t="s">
        <v>52</v>
      </c>
      <c r="J269" s="158"/>
    </row>
    <row r="270" spans="2:12" ht="15.75" x14ac:dyDescent="0.25">
      <c r="D270" s="269"/>
      <c r="E270" s="158"/>
      <c r="F270" s="158"/>
      <c r="G270" s="158"/>
      <c r="H270" s="158"/>
      <c r="I270" s="158" t="s">
        <v>105</v>
      </c>
      <c r="J270" s="158"/>
    </row>
    <row r="271" spans="2:12" ht="15.75" x14ac:dyDescent="0.25">
      <c r="D271" s="269"/>
      <c r="E271" s="158"/>
      <c r="F271" s="158"/>
      <c r="G271" s="158"/>
      <c r="H271" s="158"/>
      <c r="I271" s="158"/>
      <c r="J271" s="158"/>
    </row>
    <row r="272" spans="2:12" ht="15.75" thickBot="1" x14ac:dyDescent="0.3"/>
    <row r="273" spans="2:12" ht="16.5" thickBot="1" x14ac:dyDescent="0.3">
      <c r="B273" s="263"/>
      <c r="C273" s="264"/>
      <c r="D273" s="349" t="s">
        <v>297</v>
      </c>
      <c r="E273" s="349"/>
      <c r="F273" s="349"/>
      <c r="G273" s="349"/>
      <c r="H273" s="264"/>
      <c r="I273" s="264"/>
      <c r="J273" s="265"/>
    </row>
    <row r="274" spans="2:12" ht="15.75" x14ac:dyDescent="0.25">
      <c r="B274" s="256"/>
      <c r="C274" s="257"/>
      <c r="D274" s="257"/>
      <c r="E274" s="257"/>
      <c r="F274" s="257"/>
      <c r="G274" s="257"/>
      <c r="H274" s="343" t="s">
        <v>464</v>
      </c>
      <c r="I274" s="344"/>
      <c r="J274" s="345"/>
    </row>
    <row r="275" spans="2:12" ht="15.75" x14ac:dyDescent="0.25">
      <c r="B275" s="346" t="s">
        <v>263</v>
      </c>
      <c r="C275" s="347"/>
      <c r="D275" s="347"/>
      <c r="E275" s="347"/>
      <c r="F275" s="347"/>
      <c r="G275" s="347"/>
      <c r="H275" s="348"/>
      <c r="I275" s="255"/>
      <c r="J275" s="258"/>
    </row>
    <row r="276" spans="2:12" ht="15.75" x14ac:dyDescent="0.25">
      <c r="B276" s="346" t="s">
        <v>264</v>
      </c>
      <c r="C276" s="347"/>
      <c r="D276" s="347"/>
      <c r="E276" s="347"/>
      <c r="F276" s="347"/>
      <c r="G276" s="347"/>
      <c r="H276" s="348"/>
      <c r="I276" s="255"/>
      <c r="J276" s="258"/>
    </row>
    <row r="277" spans="2:12" ht="63" x14ac:dyDescent="0.25">
      <c r="B277" s="259" t="s">
        <v>258</v>
      </c>
      <c r="C277" s="260" t="s">
        <v>266</v>
      </c>
      <c r="D277" s="260" t="s">
        <v>267</v>
      </c>
      <c r="E277" s="332" t="s">
        <v>259</v>
      </c>
      <c r="F277" s="333"/>
      <c r="G277" s="260" t="s">
        <v>260</v>
      </c>
      <c r="H277" s="260" t="s">
        <v>261</v>
      </c>
      <c r="I277" s="260" t="s">
        <v>262</v>
      </c>
      <c r="J277" s="287" t="s">
        <v>95</v>
      </c>
    </row>
    <row r="278" spans="2:12" ht="15.75" x14ac:dyDescent="0.25">
      <c r="B278" s="334" t="s">
        <v>265</v>
      </c>
      <c r="C278" s="337">
        <v>42748.98</v>
      </c>
      <c r="D278" s="340">
        <v>38047.08</v>
      </c>
      <c r="E278" s="279" t="s">
        <v>353</v>
      </c>
      <c r="F278" s="267">
        <v>0.87847222222222221</v>
      </c>
      <c r="G278" s="267">
        <v>4.1666666666666664E-2</v>
      </c>
      <c r="H278" s="267">
        <v>0</v>
      </c>
      <c r="I278" s="286">
        <v>7.9861111111111105E-2</v>
      </c>
      <c r="J278" s="288" t="s">
        <v>446</v>
      </c>
    </row>
    <row r="279" spans="2:12" ht="15.75" x14ac:dyDescent="0.25">
      <c r="B279" s="335"/>
      <c r="C279" s="338"/>
      <c r="D279" s="341"/>
      <c r="E279" s="279" t="s">
        <v>354</v>
      </c>
      <c r="F279" s="267">
        <v>0.87847222222222221</v>
      </c>
      <c r="G279" s="267">
        <v>4.1666666666666664E-2</v>
      </c>
      <c r="H279" s="267">
        <v>0</v>
      </c>
      <c r="I279" s="286">
        <v>7.9861111111111105E-2</v>
      </c>
      <c r="J279" s="260" t="s">
        <v>446</v>
      </c>
    </row>
    <row r="280" spans="2:12" ht="15.75" x14ac:dyDescent="0.25">
      <c r="B280" s="336"/>
      <c r="C280" s="339"/>
      <c r="D280" s="342"/>
      <c r="E280" s="279" t="s">
        <v>408</v>
      </c>
      <c r="F280" s="267">
        <v>0.82638888888888884</v>
      </c>
      <c r="G280" s="267">
        <v>6.9444444444444434E-2</v>
      </c>
      <c r="H280" s="267">
        <v>0</v>
      </c>
      <c r="I280" s="286">
        <v>0.10416666666666667</v>
      </c>
      <c r="J280" s="290" t="s">
        <v>446</v>
      </c>
    </row>
    <row r="281" spans="2:12" ht="15.75" x14ac:dyDescent="0.25">
      <c r="B281" s="266"/>
      <c r="C281" s="266"/>
      <c r="D281" s="255" t="s">
        <v>11</v>
      </c>
      <c r="E281" s="255"/>
      <c r="F281" s="268">
        <f>SUM(F278:F280)</f>
        <v>2.583333333333333</v>
      </c>
      <c r="G281" s="268">
        <f>SUM(G278:G280)</f>
        <v>0.15277777777777776</v>
      </c>
      <c r="H281" s="268">
        <f>SUM(H278:H280)</f>
        <v>0</v>
      </c>
      <c r="I281" s="268">
        <f>SUM(I278:I280)</f>
        <v>0.2638888888888889</v>
      </c>
      <c r="J281" s="266"/>
      <c r="L281" s="254">
        <f>F281+G281+H281+I281</f>
        <v>2.9999999999999996</v>
      </c>
    </row>
    <row r="285" spans="2:12" ht="15.75" x14ac:dyDescent="0.25">
      <c r="D285" s="269"/>
      <c r="E285" s="158"/>
      <c r="F285" s="158"/>
      <c r="G285" s="158"/>
      <c r="H285" s="158"/>
      <c r="I285" s="158" t="s">
        <v>52</v>
      </c>
      <c r="J285" s="158"/>
    </row>
    <row r="286" spans="2:12" ht="15.75" x14ac:dyDescent="0.25">
      <c r="D286" s="269"/>
      <c r="E286" s="158"/>
      <c r="F286" s="158"/>
      <c r="G286" s="158"/>
      <c r="H286" s="158"/>
      <c r="I286" s="158" t="s">
        <v>105</v>
      </c>
      <c r="J286" s="158"/>
    </row>
    <row r="288" spans="2:12" ht="15.75" thickBot="1" x14ac:dyDescent="0.3"/>
    <row r="289" spans="2:12" ht="16.5" thickBot="1" x14ac:dyDescent="0.3">
      <c r="B289" s="263"/>
      <c r="C289" s="264"/>
      <c r="D289" s="349" t="s">
        <v>297</v>
      </c>
      <c r="E289" s="349"/>
      <c r="F289" s="349"/>
      <c r="G289" s="349"/>
      <c r="H289" s="264"/>
      <c r="I289" s="264"/>
      <c r="J289" s="265"/>
    </row>
    <row r="290" spans="2:12" ht="15.75" x14ac:dyDescent="0.25">
      <c r="B290" s="256"/>
      <c r="C290" s="257"/>
      <c r="D290" s="257"/>
      <c r="E290" s="257"/>
      <c r="F290" s="257"/>
      <c r="G290" s="257"/>
      <c r="H290" s="343" t="s">
        <v>465</v>
      </c>
      <c r="I290" s="344"/>
      <c r="J290" s="345"/>
    </row>
    <row r="291" spans="2:12" ht="15.75" x14ac:dyDescent="0.25">
      <c r="B291" s="346" t="s">
        <v>263</v>
      </c>
      <c r="C291" s="347"/>
      <c r="D291" s="347"/>
      <c r="E291" s="347"/>
      <c r="F291" s="347"/>
      <c r="G291" s="347"/>
      <c r="H291" s="348"/>
      <c r="I291" s="255"/>
      <c r="J291" s="258"/>
    </row>
    <row r="292" spans="2:12" ht="15.75" x14ac:dyDescent="0.25">
      <c r="B292" s="346" t="s">
        <v>264</v>
      </c>
      <c r="C292" s="347"/>
      <c r="D292" s="347"/>
      <c r="E292" s="347"/>
      <c r="F292" s="347"/>
      <c r="G292" s="347"/>
      <c r="H292" s="348"/>
      <c r="I292" s="255"/>
      <c r="J292" s="258"/>
    </row>
    <row r="293" spans="2:12" ht="63" x14ac:dyDescent="0.25">
      <c r="B293" s="259" t="s">
        <v>258</v>
      </c>
      <c r="C293" s="260" t="s">
        <v>266</v>
      </c>
      <c r="D293" s="260" t="s">
        <v>267</v>
      </c>
      <c r="E293" s="332" t="s">
        <v>259</v>
      </c>
      <c r="F293" s="333"/>
      <c r="G293" s="260" t="s">
        <v>260</v>
      </c>
      <c r="H293" s="260" t="s">
        <v>261</v>
      </c>
      <c r="I293" s="260" t="s">
        <v>262</v>
      </c>
      <c r="J293" s="287" t="s">
        <v>95</v>
      </c>
    </row>
    <row r="294" spans="2:12" ht="15.75" x14ac:dyDescent="0.25">
      <c r="B294" s="334" t="s">
        <v>265</v>
      </c>
      <c r="C294" s="337">
        <v>41762.300000000003</v>
      </c>
      <c r="D294" s="340">
        <v>37674.26</v>
      </c>
      <c r="E294" s="279" t="s">
        <v>353</v>
      </c>
      <c r="F294" s="267">
        <v>0.87152777777777779</v>
      </c>
      <c r="G294" s="267">
        <v>4.1666666666666664E-2</v>
      </c>
      <c r="H294" s="267">
        <v>0</v>
      </c>
      <c r="I294" s="286">
        <v>8.6805555555555566E-2</v>
      </c>
      <c r="J294" s="288" t="s">
        <v>446</v>
      </c>
    </row>
    <row r="295" spans="2:12" ht="15.75" x14ac:dyDescent="0.25">
      <c r="B295" s="335"/>
      <c r="C295" s="338"/>
      <c r="D295" s="341"/>
      <c r="E295" s="279" t="s">
        <v>354</v>
      </c>
      <c r="F295" s="267">
        <v>0.84027777777777779</v>
      </c>
      <c r="G295" s="267">
        <v>4.1666666666666664E-2</v>
      </c>
      <c r="H295" s="267">
        <v>0</v>
      </c>
      <c r="I295" s="286">
        <v>0.11805555555555557</v>
      </c>
      <c r="J295" s="260" t="s">
        <v>446</v>
      </c>
    </row>
    <row r="296" spans="2:12" ht="15.75" x14ac:dyDescent="0.25">
      <c r="B296" s="336"/>
      <c r="C296" s="339"/>
      <c r="D296" s="342"/>
      <c r="E296" s="279" t="s">
        <v>408</v>
      </c>
      <c r="F296" s="267">
        <v>0.87152777777777779</v>
      </c>
      <c r="G296" s="267">
        <v>4.1666666666666664E-2</v>
      </c>
      <c r="H296" s="267">
        <v>0</v>
      </c>
      <c r="I296" s="286">
        <v>8.6805555555555566E-2</v>
      </c>
      <c r="J296" s="290" t="s">
        <v>446</v>
      </c>
    </row>
    <row r="297" spans="2:12" ht="15.75" x14ac:dyDescent="0.25">
      <c r="B297" s="266"/>
      <c r="C297" s="266"/>
      <c r="D297" s="255" t="s">
        <v>11</v>
      </c>
      <c r="E297" s="255"/>
      <c r="F297" s="268">
        <f>SUM(F294:F296)</f>
        <v>2.5833333333333335</v>
      </c>
      <c r="G297" s="268">
        <f>SUM(G294:G296)</f>
        <v>0.125</v>
      </c>
      <c r="H297" s="268">
        <f>SUM(H294:H296)</f>
        <v>0</v>
      </c>
      <c r="I297" s="268">
        <f>SUM(I294:I296)</f>
        <v>0.29166666666666669</v>
      </c>
      <c r="J297" s="266"/>
      <c r="L297" s="254">
        <f>F297+G297+H297+I297</f>
        <v>3</v>
      </c>
    </row>
    <row r="301" spans="2:12" ht="15.75" x14ac:dyDescent="0.25">
      <c r="D301" s="269"/>
      <c r="E301" s="158"/>
      <c r="F301" s="158"/>
      <c r="G301" s="158"/>
      <c r="H301" s="158"/>
      <c r="I301" s="158" t="s">
        <v>52</v>
      </c>
      <c r="J301" s="158"/>
    </row>
    <row r="302" spans="2:12" ht="15.75" x14ac:dyDescent="0.25">
      <c r="D302" s="269"/>
      <c r="E302" s="158"/>
      <c r="F302" s="158"/>
      <c r="G302" s="158"/>
      <c r="H302" s="158"/>
      <c r="I302" s="158" t="s">
        <v>105</v>
      </c>
      <c r="J302" s="158"/>
    </row>
    <row r="305" spans="2:12" ht="15.75" thickBot="1" x14ac:dyDescent="0.3"/>
    <row r="306" spans="2:12" ht="16.5" thickBot="1" x14ac:dyDescent="0.3">
      <c r="B306" s="263"/>
      <c r="C306" s="264"/>
      <c r="D306" s="349" t="s">
        <v>297</v>
      </c>
      <c r="E306" s="349"/>
      <c r="F306" s="349"/>
      <c r="G306" s="349"/>
      <c r="H306" s="264"/>
      <c r="I306" s="264"/>
      <c r="J306" s="265"/>
    </row>
    <row r="307" spans="2:12" ht="15.75" x14ac:dyDescent="0.25">
      <c r="B307" s="256"/>
      <c r="C307" s="257"/>
      <c r="D307" s="257"/>
      <c r="E307" s="257"/>
      <c r="F307" s="257"/>
      <c r="G307" s="257"/>
      <c r="H307" s="343" t="s">
        <v>466</v>
      </c>
      <c r="I307" s="344"/>
      <c r="J307" s="345"/>
    </row>
    <row r="308" spans="2:12" ht="15.75" x14ac:dyDescent="0.25">
      <c r="B308" s="346" t="s">
        <v>263</v>
      </c>
      <c r="C308" s="347"/>
      <c r="D308" s="347"/>
      <c r="E308" s="347"/>
      <c r="F308" s="347"/>
      <c r="G308" s="347"/>
      <c r="H308" s="348"/>
      <c r="I308" s="255"/>
      <c r="J308" s="258"/>
    </row>
    <row r="309" spans="2:12" ht="15.75" x14ac:dyDescent="0.25">
      <c r="B309" s="346" t="s">
        <v>264</v>
      </c>
      <c r="C309" s="347"/>
      <c r="D309" s="347"/>
      <c r="E309" s="347"/>
      <c r="F309" s="347"/>
      <c r="G309" s="347"/>
      <c r="H309" s="348"/>
      <c r="I309" s="255"/>
      <c r="J309" s="258"/>
    </row>
    <row r="310" spans="2:12" ht="63" x14ac:dyDescent="0.25">
      <c r="B310" s="259" t="s">
        <v>258</v>
      </c>
      <c r="C310" s="260" t="s">
        <v>266</v>
      </c>
      <c r="D310" s="291" t="s">
        <v>267</v>
      </c>
      <c r="E310" s="332" t="s">
        <v>259</v>
      </c>
      <c r="F310" s="333"/>
      <c r="G310" s="260" t="s">
        <v>260</v>
      </c>
      <c r="H310" s="260" t="s">
        <v>261</v>
      </c>
      <c r="I310" s="260" t="s">
        <v>262</v>
      </c>
      <c r="J310" s="287" t="s">
        <v>95</v>
      </c>
    </row>
    <row r="311" spans="2:12" ht="47.25" x14ac:dyDescent="0.25">
      <c r="B311" s="334" t="s">
        <v>265</v>
      </c>
      <c r="C311" s="337">
        <v>35186.370000000003</v>
      </c>
      <c r="D311" s="340">
        <v>33941.96</v>
      </c>
      <c r="E311" s="279" t="s">
        <v>353</v>
      </c>
      <c r="F311" s="267">
        <v>0.77083333333333337</v>
      </c>
      <c r="G311" s="267">
        <v>0</v>
      </c>
      <c r="H311" s="267">
        <v>0</v>
      </c>
      <c r="I311" s="286" t="s">
        <v>475</v>
      </c>
      <c r="J311" s="288" t="s">
        <v>474</v>
      </c>
    </row>
    <row r="312" spans="2:12" ht="47.25" x14ac:dyDescent="0.25">
      <c r="B312" s="335"/>
      <c r="C312" s="338"/>
      <c r="D312" s="341"/>
      <c r="E312" s="279" t="s">
        <v>354</v>
      </c>
      <c r="F312" s="267">
        <v>0.72222222222222221</v>
      </c>
      <c r="G312" s="267">
        <f>' stream II  '!O102</f>
        <v>0</v>
      </c>
      <c r="H312" s="267">
        <v>0</v>
      </c>
      <c r="I312" s="286" t="s">
        <v>476</v>
      </c>
      <c r="J312" s="260" t="s">
        <v>474</v>
      </c>
    </row>
    <row r="313" spans="2:12" ht="47.25" x14ac:dyDescent="0.25">
      <c r="B313" s="336"/>
      <c r="C313" s="339"/>
      <c r="D313" s="342"/>
      <c r="E313" s="279" t="s">
        <v>408</v>
      </c>
      <c r="F313" s="267">
        <v>0.71180555555555547</v>
      </c>
      <c r="G313" s="267">
        <v>0</v>
      </c>
      <c r="H313" s="267">
        <v>0</v>
      </c>
      <c r="I313" s="286" t="s">
        <v>477</v>
      </c>
      <c r="J313" s="290" t="s">
        <v>474</v>
      </c>
    </row>
    <row r="314" spans="2:12" ht="15.75" x14ac:dyDescent="0.25">
      <c r="B314" s="266"/>
      <c r="C314" s="266"/>
      <c r="D314" s="255" t="s">
        <v>11</v>
      </c>
      <c r="E314" s="255"/>
      <c r="F314" s="268">
        <f>SUM(F311:F313)</f>
        <v>2.2048611111111112</v>
      </c>
      <c r="G314" s="268">
        <f>SUM(G311:G313)</f>
        <v>0</v>
      </c>
      <c r="H314" s="268">
        <f>SUM(H311:H313)</f>
        <v>0</v>
      </c>
      <c r="I314" s="268">
        <v>0.79513888888888884</v>
      </c>
      <c r="J314" s="266"/>
      <c r="L314" s="254">
        <f>F314+G314+H314+I314</f>
        <v>3</v>
      </c>
    </row>
    <row r="318" spans="2:12" ht="15.75" x14ac:dyDescent="0.25">
      <c r="D318" s="269"/>
      <c r="E318" s="158"/>
      <c r="F318" s="158"/>
      <c r="G318" s="158"/>
      <c r="H318" s="158"/>
      <c r="I318" s="158" t="s">
        <v>52</v>
      </c>
      <c r="J318" s="158"/>
    </row>
    <row r="319" spans="2:12" ht="15.75" x14ac:dyDescent="0.25">
      <c r="D319" s="269"/>
      <c r="E319" s="158"/>
      <c r="F319" s="158"/>
      <c r="G319" s="158"/>
      <c r="H319" s="158"/>
      <c r="I319" s="158" t="s">
        <v>105</v>
      </c>
      <c r="J319" s="158"/>
    </row>
    <row r="323" spans="2:12" ht="15.75" thickBot="1" x14ac:dyDescent="0.3"/>
    <row r="324" spans="2:12" ht="16.5" thickBot="1" x14ac:dyDescent="0.3">
      <c r="B324" s="263"/>
      <c r="C324" s="264"/>
      <c r="D324" s="349" t="s">
        <v>297</v>
      </c>
      <c r="E324" s="349"/>
      <c r="F324" s="349"/>
      <c r="G324" s="349"/>
      <c r="H324" s="264"/>
      <c r="I324" s="264"/>
      <c r="J324" s="265"/>
    </row>
    <row r="325" spans="2:12" ht="15.75" x14ac:dyDescent="0.25">
      <c r="B325" s="256"/>
      <c r="C325" s="257"/>
      <c r="D325" s="257"/>
      <c r="E325" s="257"/>
      <c r="F325" s="257"/>
      <c r="G325" s="257"/>
      <c r="H325" s="343" t="s">
        <v>467</v>
      </c>
      <c r="I325" s="344"/>
      <c r="J325" s="345"/>
    </row>
    <row r="326" spans="2:12" ht="15.75" x14ac:dyDescent="0.25">
      <c r="B326" s="346" t="s">
        <v>263</v>
      </c>
      <c r="C326" s="347"/>
      <c r="D326" s="347"/>
      <c r="E326" s="347"/>
      <c r="F326" s="347"/>
      <c r="G326" s="347"/>
      <c r="H326" s="348"/>
      <c r="I326" s="255"/>
      <c r="J326" s="258"/>
    </row>
    <row r="327" spans="2:12" ht="15.75" x14ac:dyDescent="0.25">
      <c r="B327" s="346" t="s">
        <v>264</v>
      </c>
      <c r="C327" s="347"/>
      <c r="D327" s="347"/>
      <c r="E327" s="347"/>
      <c r="F327" s="347"/>
      <c r="G327" s="347"/>
      <c r="H327" s="348"/>
      <c r="I327" s="255"/>
      <c r="J327" s="258"/>
    </row>
    <row r="328" spans="2:12" ht="63" x14ac:dyDescent="0.25">
      <c r="B328" s="259" t="s">
        <v>258</v>
      </c>
      <c r="C328" s="260" t="s">
        <v>266</v>
      </c>
      <c r="D328" s="260" t="s">
        <v>267</v>
      </c>
      <c r="E328" s="332" t="s">
        <v>259</v>
      </c>
      <c r="F328" s="333"/>
      <c r="G328" s="260" t="s">
        <v>260</v>
      </c>
      <c r="H328" s="260" t="s">
        <v>261</v>
      </c>
      <c r="I328" s="260" t="s">
        <v>262</v>
      </c>
      <c r="J328" s="287" t="s">
        <v>95</v>
      </c>
    </row>
    <row r="329" spans="2:12" ht="78.75" x14ac:dyDescent="0.25">
      <c r="B329" s="334" t="s">
        <v>265</v>
      </c>
      <c r="C329" s="337">
        <v>36135.47</v>
      </c>
      <c r="D329" s="340">
        <v>34069.86</v>
      </c>
      <c r="E329" s="279" t="s">
        <v>353</v>
      </c>
      <c r="F329" s="267">
        <v>0.66666666666666663</v>
      </c>
      <c r="G329" s="267">
        <f>'stream I '!O120</f>
        <v>0</v>
      </c>
      <c r="H329" s="267">
        <v>0.20833333333333334</v>
      </c>
      <c r="I329" s="286">
        <v>0.125</v>
      </c>
      <c r="J329" s="288" t="s">
        <v>478</v>
      </c>
    </row>
    <row r="330" spans="2:12" ht="15.75" x14ac:dyDescent="0.25">
      <c r="B330" s="335"/>
      <c r="C330" s="338"/>
      <c r="D330" s="341"/>
      <c r="E330" s="279" t="s">
        <v>354</v>
      </c>
      <c r="F330" s="267">
        <v>0.86111111111111116</v>
      </c>
      <c r="G330" s="267">
        <v>4.1666666666666664E-2</v>
      </c>
      <c r="H330" s="267">
        <v>0</v>
      </c>
      <c r="I330" s="286">
        <v>9.7222222222222224E-2</v>
      </c>
      <c r="J330" s="260" t="s">
        <v>446</v>
      </c>
    </row>
    <row r="331" spans="2:12" ht="15.75" x14ac:dyDescent="0.25">
      <c r="B331" s="336"/>
      <c r="C331" s="339"/>
      <c r="D331" s="342"/>
      <c r="E331" s="279" t="s">
        <v>408</v>
      </c>
      <c r="F331" s="267">
        <v>0.79861111111111116</v>
      </c>
      <c r="G331" s="267">
        <v>9.7222222222222224E-2</v>
      </c>
      <c r="H331" s="267">
        <v>0</v>
      </c>
      <c r="I331" s="286">
        <v>0.10416666666666667</v>
      </c>
      <c r="J331" s="290" t="s">
        <v>446</v>
      </c>
    </row>
    <row r="332" spans="2:12" ht="15.75" x14ac:dyDescent="0.25">
      <c r="B332" s="266"/>
      <c r="C332" s="266"/>
      <c r="D332" s="255" t="s">
        <v>11</v>
      </c>
      <c r="E332" s="255"/>
      <c r="F332" s="268">
        <f>SUM(F329:F331)</f>
        <v>2.3263888888888888</v>
      </c>
      <c r="G332" s="268">
        <f>SUM(G329:G331)</f>
        <v>0.1388888888888889</v>
      </c>
      <c r="H332" s="268">
        <f>SUM(H329:H331)</f>
        <v>0.20833333333333334</v>
      </c>
      <c r="I332" s="268">
        <f>SUM(I329:I331)</f>
        <v>0.3263888888888889</v>
      </c>
      <c r="J332" s="266"/>
      <c r="L332" s="254">
        <f>F332+G332+H332+I332</f>
        <v>3</v>
      </c>
    </row>
    <row r="336" spans="2:12" ht="15.75" x14ac:dyDescent="0.25">
      <c r="D336" s="269"/>
      <c r="E336" s="158"/>
      <c r="F336" s="158"/>
      <c r="G336" s="158"/>
      <c r="H336" s="158"/>
      <c r="I336" s="158" t="s">
        <v>52</v>
      </c>
      <c r="J336" s="158"/>
    </row>
    <row r="337" spans="2:12" ht="15.75" x14ac:dyDescent="0.25">
      <c r="D337" s="269"/>
      <c r="E337" s="158"/>
      <c r="F337" s="158"/>
      <c r="G337" s="158"/>
      <c r="H337" s="158"/>
      <c r="I337" s="158" t="s">
        <v>105</v>
      </c>
      <c r="J337" s="158"/>
    </row>
    <row r="341" spans="2:12" ht="15.75" thickBot="1" x14ac:dyDescent="0.3"/>
    <row r="342" spans="2:12" ht="16.5" thickBot="1" x14ac:dyDescent="0.3">
      <c r="B342" s="263"/>
      <c r="C342" s="264"/>
      <c r="D342" s="349" t="s">
        <v>297</v>
      </c>
      <c r="E342" s="349"/>
      <c r="F342" s="349"/>
      <c r="G342" s="349"/>
      <c r="H342" s="264"/>
      <c r="I342" s="264"/>
      <c r="J342" s="265"/>
    </row>
    <row r="343" spans="2:12" ht="15.75" x14ac:dyDescent="0.25">
      <c r="B343" s="256"/>
      <c r="C343" s="257"/>
      <c r="D343" s="257"/>
      <c r="E343" s="257"/>
      <c r="F343" s="257"/>
      <c r="G343" s="257"/>
      <c r="H343" s="343" t="s">
        <v>469</v>
      </c>
      <c r="I343" s="344"/>
      <c r="J343" s="345"/>
    </row>
    <row r="344" spans="2:12" ht="15.75" x14ac:dyDescent="0.25">
      <c r="B344" s="346" t="s">
        <v>263</v>
      </c>
      <c r="C344" s="347"/>
      <c r="D344" s="347"/>
      <c r="E344" s="347"/>
      <c r="F344" s="347"/>
      <c r="G344" s="347"/>
      <c r="H344" s="348"/>
      <c r="I344" s="255"/>
      <c r="J344" s="258"/>
    </row>
    <row r="345" spans="2:12" ht="15.75" x14ac:dyDescent="0.25">
      <c r="B345" s="346" t="s">
        <v>264</v>
      </c>
      <c r="C345" s="347"/>
      <c r="D345" s="347"/>
      <c r="E345" s="347"/>
      <c r="F345" s="347"/>
      <c r="G345" s="347"/>
      <c r="H345" s="348"/>
      <c r="I345" s="255"/>
      <c r="J345" s="258"/>
    </row>
    <row r="346" spans="2:12" ht="63" x14ac:dyDescent="0.25">
      <c r="B346" s="259" t="s">
        <v>258</v>
      </c>
      <c r="C346" s="260" t="s">
        <v>266</v>
      </c>
      <c r="D346" s="260" t="s">
        <v>267</v>
      </c>
      <c r="E346" s="332" t="s">
        <v>259</v>
      </c>
      <c r="F346" s="333"/>
      <c r="G346" s="260" t="s">
        <v>260</v>
      </c>
      <c r="H346" s="260" t="s">
        <v>261</v>
      </c>
      <c r="I346" s="260" t="s">
        <v>262</v>
      </c>
      <c r="J346" s="287" t="s">
        <v>95</v>
      </c>
    </row>
    <row r="347" spans="2:12" ht="47.25" x14ac:dyDescent="0.25">
      <c r="B347" s="334" t="s">
        <v>265</v>
      </c>
      <c r="C347" s="337">
        <v>43050.31</v>
      </c>
      <c r="D347" s="340">
        <v>37340.5</v>
      </c>
      <c r="E347" s="279" t="s">
        <v>353</v>
      </c>
      <c r="F347" s="267">
        <v>0.75</v>
      </c>
      <c r="G347" s="267">
        <v>0.125</v>
      </c>
      <c r="H347" s="267">
        <v>0</v>
      </c>
      <c r="I347" s="286">
        <v>0.125</v>
      </c>
      <c r="J347" s="288" t="s">
        <v>479</v>
      </c>
    </row>
    <row r="348" spans="2:12" ht="15.75" x14ac:dyDescent="0.25">
      <c r="B348" s="335"/>
      <c r="C348" s="338"/>
      <c r="D348" s="341"/>
      <c r="E348" s="279" t="s">
        <v>354</v>
      </c>
      <c r="F348" s="267">
        <v>0.875</v>
      </c>
      <c r="G348" s="267">
        <v>4.1666666666666664E-2</v>
      </c>
      <c r="H348" s="267">
        <v>0</v>
      </c>
      <c r="I348" s="286">
        <v>8.3333333333333329E-2</v>
      </c>
      <c r="J348" s="260" t="s">
        <v>446</v>
      </c>
    </row>
    <row r="349" spans="2:12" ht="15.75" x14ac:dyDescent="0.25">
      <c r="B349" s="336"/>
      <c r="C349" s="339"/>
      <c r="D349" s="342"/>
      <c r="E349" s="279" t="s">
        <v>408</v>
      </c>
      <c r="F349" s="267">
        <v>0.80902777777777779</v>
      </c>
      <c r="G349" s="267">
        <v>0.1076388888888889</v>
      </c>
      <c r="H349" s="267">
        <v>0</v>
      </c>
      <c r="I349" s="286">
        <v>8.3333333333333329E-2</v>
      </c>
      <c r="J349" s="290" t="s">
        <v>446</v>
      </c>
    </row>
    <row r="350" spans="2:12" ht="15.75" x14ac:dyDescent="0.25">
      <c r="B350" s="266"/>
      <c r="C350" s="266"/>
      <c r="D350" s="255" t="s">
        <v>11</v>
      </c>
      <c r="E350" s="255"/>
      <c r="F350" s="268">
        <f>SUM(F347:F349)</f>
        <v>2.4340277777777777</v>
      </c>
      <c r="G350" s="268">
        <f>SUM(G347:G349)</f>
        <v>0.27430555555555558</v>
      </c>
      <c r="H350" s="268">
        <f>SUM(H347:H349)</f>
        <v>0</v>
      </c>
      <c r="I350" s="268">
        <f>SUM(I347:I349)</f>
        <v>0.29166666666666663</v>
      </c>
      <c r="J350" s="266"/>
      <c r="L350" s="254">
        <f>F350+G350+H350+I350</f>
        <v>2.9999999999999996</v>
      </c>
    </row>
    <row r="354" spans="2:12" ht="15.75" x14ac:dyDescent="0.25">
      <c r="D354" s="269"/>
      <c r="E354" s="158"/>
      <c r="F354" s="158"/>
      <c r="G354" s="158"/>
      <c r="H354" s="158"/>
      <c r="I354" s="158" t="s">
        <v>52</v>
      </c>
      <c r="J354" s="158"/>
    </row>
    <row r="355" spans="2:12" ht="15.75" x14ac:dyDescent="0.25">
      <c r="D355" s="269"/>
      <c r="E355" s="158"/>
      <c r="F355" s="158"/>
      <c r="G355" s="158"/>
      <c r="H355" s="158"/>
      <c r="I355" s="158" t="s">
        <v>105</v>
      </c>
      <c r="J355" s="158"/>
    </row>
    <row r="357" spans="2:12" ht="15.75" thickBot="1" x14ac:dyDescent="0.3"/>
    <row r="358" spans="2:12" ht="16.5" thickBot="1" x14ac:dyDescent="0.3">
      <c r="B358" s="263"/>
      <c r="C358" s="264"/>
      <c r="D358" s="349" t="s">
        <v>297</v>
      </c>
      <c r="E358" s="349"/>
      <c r="F358" s="349"/>
      <c r="G358" s="349"/>
      <c r="H358" s="264"/>
      <c r="I358" s="264"/>
      <c r="J358" s="265"/>
    </row>
    <row r="359" spans="2:12" ht="15.75" x14ac:dyDescent="0.25">
      <c r="B359" s="256"/>
      <c r="C359" s="257"/>
      <c r="D359" s="257"/>
      <c r="E359" s="257"/>
      <c r="F359" s="257"/>
      <c r="G359" s="257"/>
      <c r="H359" s="343" t="s">
        <v>470</v>
      </c>
      <c r="I359" s="344"/>
      <c r="J359" s="345"/>
    </row>
    <row r="360" spans="2:12" ht="15.75" x14ac:dyDescent="0.25">
      <c r="B360" s="346" t="s">
        <v>263</v>
      </c>
      <c r="C360" s="347"/>
      <c r="D360" s="347"/>
      <c r="E360" s="347"/>
      <c r="F360" s="347"/>
      <c r="G360" s="347"/>
      <c r="H360" s="348"/>
      <c r="I360" s="255"/>
      <c r="J360" s="258"/>
    </row>
    <row r="361" spans="2:12" ht="15.75" x14ac:dyDescent="0.25">
      <c r="B361" s="346" t="s">
        <v>264</v>
      </c>
      <c r="C361" s="347"/>
      <c r="D361" s="347"/>
      <c r="E361" s="347"/>
      <c r="F361" s="347"/>
      <c r="G361" s="347"/>
      <c r="H361" s="348"/>
      <c r="I361" s="255"/>
      <c r="J361" s="258"/>
    </row>
    <row r="362" spans="2:12" ht="63" x14ac:dyDescent="0.25">
      <c r="B362" s="259" t="s">
        <v>258</v>
      </c>
      <c r="C362" s="260" t="s">
        <v>266</v>
      </c>
      <c r="D362" s="260" t="s">
        <v>267</v>
      </c>
      <c r="E362" s="332" t="s">
        <v>259</v>
      </c>
      <c r="F362" s="333"/>
      <c r="G362" s="260" t="s">
        <v>260</v>
      </c>
      <c r="H362" s="260" t="s">
        <v>261</v>
      </c>
      <c r="I362" s="260" t="s">
        <v>262</v>
      </c>
      <c r="J362" s="287" t="s">
        <v>95</v>
      </c>
    </row>
    <row r="363" spans="2:12" ht="31.5" x14ac:dyDescent="0.25">
      <c r="B363" s="334" t="s">
        <v>265</v>
      </c>
      <c r="C363" s="337">
        <v>38363.78</v>
      </c>
      <c r="D363" s="340">
        <v>37663.879999999997</v>
      </c>
      <c r="E363" s="279" t="s">
        <v>353</v>
      </c>
      <c r="F363" s="267">
        <v>0.63888888888888895</v>
      </c>
      <c r="G363" s="267">
        <v>0.25694444444444448</v>
      </c>
      <c r="H363" s="267">
        <v>0</v>
      </c>
      <c r="I363" s="286">
        <v>0.10416666666666667</v>
      </c>
      <c r="J363" s="288" t="s">
        <v>480</v>
      </c>
    </row>
    <row r="364" spans="2:12" ht="15.75" x14ac:dyDescent="0.25">
      <c r="B364" s="335"/>
      <c r="C364" s="338"/>
      <c r="D364" s="341"/>
      <c r="E364" s="279" t="s">
        <v>354</v>
      </c>
      <c r="F364" s="267">
        <v>0.82291666666666663</v>
      </c>
      <c r="G364" s="267">
        <v>8.3333333333333329E-2</v>
      </c>
      <c r="H364" s="267">
        <v>0</v>
      </c>
      <c r="I364" s="286">
        <v>9.375E-2</v>
      </c>
      <c r="J364" s="260" t="s">
        <v>446</v>
      </c>
    </row>
    <row r="365" spans="2:12" ht="15.75" x14ac:dyDescent="0.25">
      <c r="B365" s="336"/>
      <c r="C365" s="339"/>
      <c r="D365" s="342"/>
      <c r="E365" s="279" t="s">
        <v>408</v>
      </c>
      <c r="F365" s="267">
        <v>0.85069444444444453</v>
      </c>
      <c r="G365" s="267">
        <v>4.1666666666666664E-2</v>
      </c>
      <c r="H365" s="267">
        <v>0</v>
      </c>
      <c r="I365" s="286">
        <v>0.1076388888888889</v>
      </c>
      <c r="J365" s="290" t="s">
        <v>446</v>
      </c>
    </row>
    <row r="366" spans="2:12" ht="15.75" x14ac:dyDescent="0.25">
      <c r="B366" s="266"/>
      <c r="C366" s="266"/>
      <c r="D366" s="255" t="s">
        <v>11</v>
      </c>
      <c r="E366" s="255"/>
      <c r="F366" s="268">
        <f>SUM(F363:F365)</f>
        <v>2.3125</v>
      </c>
      <c r="G366" s="268">
        <f>SUM(G363:G365)</f>
        <v>0.38194444444444448</v>
      </c>
      <c r="H366" s="268">
        <f>SUM(H363:H365)</f>
        <v>0</v>
      </c>
      <c r="I366" s="268">
        <f>SUM(I363:I365)</f>
        <v>0.30555555555555558</v>
      </c>
      <c r="J366" s="266"/>
      <c r="L366" s="254">
        <f>F366+G366+H366+I366</f>
        <v>3</v>
      </c>
    </row>
    <row r="370" spans="2:12" ht="15.75" x14ac:dyDescent="0.25">
      <c r="D370" s="269"/>
      <c r="E370" s="158"/>
      <c r="F370" s="158"/>
      <c r="G370" s="158"/>
      <c r="H370" s="158"/>
      <c r="I370" s="158" t="s">
        <v>52</v>
      </c>
      <c r="J370" s="158"/>
    </row>
    <row r="371" spans="2:12" ht="15.75" x14ac:dyDescent="0.25">
      <c r="D371" s="269"/>
      <c r="E371" s="158"/>
      <c r="F371" s="158"/>
      <c r="G371" s="158"/>
      <c r="H371" s="158"/>
      <c r="I371" s="158" t="s">
        <v>105</v>
      </c>
      <c r="J371" s="158"/>
    </row>
    <row r="374" spans="2:12" ht="15.75" thickBot="1" x14ac:dyDescent="0.3"/>
    <row r="375" spans="2:12" ht="16.5" thickBot="1" x14ac:dyDescent="0.3">
      <c r="B375" s="263"/>
      <c r="C375" s="264"/>
      <c r="D375" s="349" t="s">
        <v>297</v>
      </c>
      <c r="E375" s="349"/>
      <c r="F375" s="349"/>
      <c r="G375" s="349"/>
      <c r="H375" s="264"/>
      <c r="I375" s="264"/>
      <c r="J375" s="265"/>
    </row>
    <row r="376" spans="2:12" ht="15.75" x14ac:dyDescent="0.25">
      <c r="B376" s="256"/>
      <c r="C376" s="257"/>
      <c r="D376" s="257"/>
      <c r="E376" s="257"/>
      <c r="F376" s="257"/>
      <c r="G376" s="257"/>
      <c r="H376" s="343" t="s">
        <v>471</v>
      </c>
      <c r="I376" s="344"/>
      <c r="J376" s="345"/>
    </row>
    <row r="377" spans="2:12" ht="15.75" x14ac:dyDescent="0.25">
      <c r="B377" s="346" t="s">
        <v>263</v>
      </c>
      <c r="C377" s="347"/>
      <c r="D377" s="347"/>
      <c r="E377" s="347"/>
      <c r="F377" s="347"/>
      <c r="G377" s="347"/>
      <c r="H377" s="348"/>
      <c r="I377" s="255"/>
      <c r="J377" s="258"/>
    </row>
    <row r="378" spans="2:12" ht="15.75" x14ac:dyDescent="0.25">
      <c r="B378" s="346" t="s">
        <v>264</v>
      </c>
      <c r="C378" s="347"/>
      <c r="D378" s="347"/>
      <c r="E378" s="347"/>
      <c r="F378" s="347"/>
      <c r="G378" s="347"/>
      <c r="H378" s="348"/>
      <c r="I378" s="255"/>
      <c r="J378" s="258"/>
    </row>
    <row r="379" spans="2:12" ht="63" x14ac:dyDescent="0.25">
      <c r="B379" s="259" t="s">
        <v>258</v>
      </c>
      <c r="C379" s="260" t="s">
        <v>266</v>
      </c>
      <c r="D379" s="260" t="s">
        <v>267</v>
      </c>
      <c r="E379" s="332" t="s">
        <v>259</v>
      </c>
      <c r="F379" s="333"/>
      <c r="G379" s="260" t="s">
        <v>260</v>
      </c>
      <c r="H379" s="260" t="s">
        <v>261</v>
      </c>
      <c r="I379" s="260" t="s">
        <v>262</v>
      </c>
      <c r="J379" s="287" t="s">
        <v>95</v>
      </c>
    </row>
    <row r="380" spans="2:12" ht="15.75" x14ac:dyDescent="0.25">
      <c r="B380" s="334" t="s">
        <v>265</v>
      </c>
      <c r="C380" s="337">
        <v>43600</v>
      </c>
      <c r="D380" s="340">
        <v>42423</v>
      </c>
      <c r="E380" s="279" t="s">
        <v>353</v>
      </c>
      <c r="F380" s="267">
        <v>0.88194444444444453</v>
      </c>
      <c r="G380" s="267">
        <v>4.1666666666666664E-2</v>
      </c>
      <c r="H380" s="267">
        <v>0</v>
      </c>
      <c r="I380" s="286">
        <v>7.6388888888888895E-2</v>
      </c>
      <c r="J380" s="288" t="s">
        <v>446</v>
      </c>
    </row>
    <row r="381" spans="2:12" ht="15.75" x14ac:dyDescent="0.25">
      <c r="B381" s="335"/>
      <c r="C381" s="338"/>
      <c r="D381" s="341"/>
      <c r="E381" s="279" t="s">
        <v>354</v>
      </c>
      <c r="F381" s="267">
        <v>0.86111111111111116</v>
      </c>
      <c r="G381" s="267">
        <v>4.1666666666666664E-2</v>
      </c>
      <c r="H381" s="267">
        <v>0</v>
      </c>
      <c r="I381" s="286">
        <v>9.7222222222222224E-2</v>
      </c>
      <c r="J381" s="260" t="s">
        <v>446</v>
      </c>
    </row>
    <row r="382" spans="2:12" ht="47.25" x14ac:dyDescent="0.25">
      <c r="B382" s="336"/>
      <c r="C382" s="339"/>
      <c r="D382" s="342"/>
      <c r="E382" s="279" t="s">
        <v>408</v>
      </c>
      <c r="F382" s="267">
        <v>0.78472222222222221</v>
      </c>
      <c r="G382" s="267">
        <v>0</v>
      </c>
      <c r="H382" s="267">
        <v>0.16666666666666666</v>
      </c>
      <c r="I382" s="286">
        <v>4.8611111111111112E-2</v>
      </c>
      <c r="J382" s="290" t="s">
        <v>481</v>
      </c>
    </row>
    <row r="383" spans="2:12" ht="15.75" x14ac:dyDescent="0.25">
      <c r="B383" s="266"/>
      <c r="C383" s="266"/>
      <c r="D383" s="255" t="s">
        <v>11</v>
      </c>
      <c r="E383" s="255"/>
      <c r="F383" s="268">
        <f>SUM(F380:F382)</f>
        <v>2.5277777777777781</v>
      </c>
      <c r="G383" s="268">
        <f>SUM(G380:G382)</f>
        <v>8.3333333333333329E-2</v>
      </c>
      <c r="H383" s="268">
        <f>SUM(H380:H382)</f>
        <v>0.16666666666666666</v>
      </c>
      <c r="I383" s="268">
        <f>SUM(I380:I382)</f>
        <v>0.22222222222222221</v>
      </c>
      <c r="J383" s="266"/>
      <c r="L383" s="254">
        <f>F383+G383+H383+I383</f>
        <v>3.0000000000000004</v>
      </c>
    </row>
    <row r="387" spans="2:12" ht="15.75" x14ac:dyDescent="0.25">
      <c r="D387" s="269"/>
      <c r="E387" s="158"/>
      <c r="F387" s="158"/>
      <c r="G387" s="158"/>
      <c r="H387" s="158"/>
      <c r="I387" s="158" t="s">
        <v>52</v>
      </c>
      <c r="J387" s="158"/>
    </row>
    <row r="388" spans="2:12" ht="15.75" x14ac:dyDescent="0.25">
      <c r="D388" s="269"/>
      <c r="E388" s="158"/>
      <c r="F388" s="158"/>
      <c r="G388" s="158"/>
      <c r="H388" s="158"/>
      <c r="I388" s="158" t="s">
        <v>105</v>
      </c>
      <c r="J388" s="158"/>
    </row>
    <row r="391" spans="2:12" ht="15.75" thickBot="1" x14ac:dyDescent="0.3"/>
    <row r="392" spans="2:12" ht="16.5" thickBot="1" x14ac:dyDescent="0.3">
      <c r="B392" s="263"/>
      <c r="C392" s="264"/>
      <c r="D392" s="349" t="s">
        <v>297</v>
      </c>
      <c r="E392" s="349"/>
      <c r="F392" s="349"/>
      <c r="G392" s="349"/>
      <c r="H392" s="264"/>
      <c r="I392" s="264"/>
      <c r="J392" s="265"/>
    </row>
    <row r="393" spans="2:12" ht="15.75" x14ac:dyDescent="0.25">
      <c r="B393" s="256"/>
      <c r="C393" s="257"/>
      <c r="D393" s="257"/>
      <c r="E393" s="257"/>
      <c r="F393" s="257"/>
      <c r="G393" s="257"/>
      <c r="H393" s="343" t="s">
        <v>472</v>
      </c>
      <c r="I393" s="344"/>
      <c r="J393" s="345"/>
    </row>
    <row r="394" spans="2:12" ht="15.75" x14ac:dyDescent="0.25">
      <c r="B394" s="346" t="s">
        <v>263</v>
      </c>
      <c r="C394" s="347"/>
      <c r="D394" s="347"/>
      <c r="E394" s="347"/>
      <c r="F394" s="347"/>
      <c r="G394" s="347"/>
      <c r="H394" s="348"/>
      <c r="I394" s="255"/>
      <c r="J394" s="258"/>
    </row>
    <row r="395" spans="2:12" ht="15.75" x14ac:dyDescent="0.25">
      <c r="B395" s="346" t="s">
        <v>264</v>
      </c>
      <c r="C395" s="347"/>
      <c r="D395" s="347"/>
      <c r="E395" s="347"/>
      <c r="F395" s="347"/>
      <c r="G395" s="347"/>
      <c r="H395" s="348"/>
      <c r="I395" s="255"/>
      <c r="J395" s="258"/>
    </row>
    <row r="396" spans="2:12" ht="63" x14ac:dyDescent="0.25">
      <c r="B396" s="259" t="s">
        <v>258</v>
      </c>
      <c r="C396" s="260" t="s">
        <v>266</v>
      </c>
      <c r="D396" s="260" t="s">
        <v>267</v>
      </c>
      <c r="E396" s="332" t="s">
        <v>259</v>
      </c>
      <c r="F396" s="333"/>
      <c r="G396" s="260" t="s">
        <v>260</v>
      </c>
      <c r="H396" s="260" t="s">
        <v>261</v>
      </c>
      <c r="I396" s="260" t="s">
        <v>262</v>
      </c>
      <c r="J396" s="287" t="s">
        <v>95</v>
      </c>
    </row>
    <row r="397" spans="2:12" ht="15.75" x14ac:dyDescent="0.25">
      <c r="B397" s="334" t="s">
        <v>265</v>
      </c>
      <c r="C397" s="337">
        <v>39100</v>
      </c>
      <c r="D397" s="340">
        <v>38231.97</v>
      </c>
      <c r="E397" s="279" t="s">
        <v>353</v>
      </c>
      <c r="F397" s="267">
        <v>0.85763888888888884</v>
      </c>
      <c r="G397" s="267">
        <v>4.1666666666666664E-2</v>
      </c>
      <c r="H397" s="267">
        <v>0</v>
      </c>
      <c r="I397" s="286">
        <v>0.10069444444444443</v>
      </c>
      <c r="J397" s="288" t="s">
        <v>446</v>
      </c>
    </row>
    <row r="398" spans="2:12" ht="31.5" x14ac:dyDescent="0.25">
      <c r="B398" s="335"/>
      <c r="C398" s="338"/>
      <c r="D398" s="341"/>
      <c r="E398" s="279" t="s">
        <v>354</v>
      </c>
      <c r="F398" s="267">
        <v>0.70833333333333337</v>
      </c>
      <c r="G398" s="267">
        <v>0</v>
      </c>
      <c r="H398" s="267">
        <v>0.16666666666666666</v>
      </c>
      <c r="I398" s="286">
        <v>0.125</v>
      </c>
      <c r="J398" s="260" t="s">
        <v>482</v>
      </c>
    </row>
    <row r="399" spans="2:12" ht="15.75" x14ac:dyDescent="0.25">
      <c r="B399" s="336"/>
      <c r="C399" s="339"/>
      <c r="D399" s="342"/>
      <c r="E399" s="279" t="s">
        <v>408</v>
      </c>
      <c r="F399" s="267">
        <v>0.84375</v>
      </c>
      <c r="G399" s="267">
        <v>4.5138888888888888E-2</v>
      </c>
      <c r="H399" s="267">
        <v>0</v>
      </c>
      <c r="I399" s="286">
        <v>0.1111111111111111</v>
      </c>
      <c r="J399" s="290" t="s">
        <v>446</v>
      </c>
    </row>
    <row r="400" spans="2:12" ht="15.75" x14ac:dyDescent="0.25">
      <c r="B400" s="266"/>
      <c r="C400" s="266"/>
      <c r="D400" s="255" t="s">
        <v>11</v>
      </c>
      <c r="E400" s="255"/>
      <c r="F400" s="268">
        <f>SUM(F397:F399)</f>
        <v>2.4097222222222223</v>
      </c>
      <c r="G400" s="268">
        <f>SUM(G397:G399)</f>
        <v>8.6805555555555552E-2</v>
      </c>
      <c r="H400" s="268">
        <f>SUM(H397:H399)</f>
        <v>0.16666666666666666</v>
      </c>
      <c r="I400" s="268">
        <f>SUM(I397:I399)</f>
        <v>0.33680555555555552</v>
      </c>
      <c r="J400" s="266"/>
      <c r="L400" s="254">
        <f>F400+G400+H400+I400</f>
        <v>2.9999999999999996</v>
      </c>
    </row>
    <row r="404" spans="2:12" ht="15.75" x14ac:dyDescent="0.25">
      <c r="D404" s="269"/>
      <c r="E404" s="158"/>
      <c r="F404" s="158"/>
      <c r="G404" s="158"/>
      <c r="H404" s="158"/>
      <c r="I404" s="158" t="s">
        <v>52</v>
      </c>
      <c r="J404" s="158"/>
    </row>
    <row r="405" spans="2:12" ht="15.75" x14ac:dyDescent="0.25">
      <c r="D405" s="269"/>
      <c r="E405" s="158"/>
      <c r="F405" s="158"/>
      <c r="G405" s="158"/>
      <c r="H405" s="158"/>
      <c r="I405" s="158" t="s">
        <v>105</v>
      </c>
      <c r="J405" s="158"/>
    </row>
    <row r="406" spans="2:12" ht="15.75" thickBot="1" x14ac:dyDescent="0.3"/>
    <row r="407" spans="2:12" ht="16.5" thickBot="1" x14ac:dyDescent="0.3">
      <c r="B407" s="263"/>
      <c r="C407" s="264"/>
      <c r="D407" s="349" t="s">
        <v>297</v>
      </c>
      <c r="E407" s="349"/>
      <c r="F407" s="349"/>
      <c r="G407" s="349"/>
      <c r="H407" s="264"/>
      <c r="I407" s="264"/>
      <c r="J407" s="265"/>
    </row>
    <row r="408" spans="2:12" ht="15.75" x14ac:dyDescent="0.25">
      <c r="B408" s="256"/>
      <c r="C408" s="257"/>
      <c r="D408" s="257"/>
      <c r="E408" s="257"/>
      <c r="F408" s="257"/>
      <c r="G408" s="257"/>
      <c r="H408" s="343" t="s">
        <v>462</v>
      </c>
      <c r="I408" s="344"/>
      <c r="J408" s="345"/>
    </row>
    <row r="409" spans="2:12" ht="15.75" x14ac:dyDescent="0.25">
      <c r="B409" s="346" t="s">
        <v>263</v>
      </c>
      <c r="C409" s="347"/>
      <c r="D409" s="347"/>
      <c r="E409" s="347"/>
      <c r="F409" s="347"/>
      <c r="G409" s="347"/>
      <c r="H409" s="348"/>
      <c r="I409" s="255"/>
      <c r="J409" s="258"/>
    </row>
    <row r="410" spans="2:12" ht="15.75" x14ac:dyDescent="0.25">
      <c r="B410" s="346" t="s">
        <v>264</v>
      </c>
      <c r="C410" s="347"/>
      <c r="D410" s="347"/>
      <c r="E410" s="347"/>
      <c r="F410" s="347"/>
      <c r="G410" s="347"/>
      <c r="H410" s="348"/>
      <c r="I410" s="255"/>
      <c r="J410" s="258"/>
    </row>
    <row r="411" spans="2:12" ht="63" x14ac:dyDescent="0.25">
      <c r="B411" s="259" t="s">
        <v>258</v>
      </c>
      <c r="C411" s="260" t="s">
        <v>266</v>
      </c>
      <c r="D411" s="260" t="s">
        <v>267</v>
      </c>
      <c r="E411" s="332" t="s">
        <v>259</v>
      </c>
      <c r="F411" s="333"/>
      <c r="G411" s="260" t="s">
        <v>260</v>
      </c>
      <c r="H411" s="260" t="s">
        <v>261</v>
      </c>
      <c r="I411" s="260" t="s">
        <v>262</v>
      </c>
      <c r="J411" s="287" t="s">
        <v>95</v>
      </c>
    </row>
    <row r="412" spans="2:12" ht="15.75" x14ac:dyDescent="0.25">
      <c r="B412" s="334" t="s">
        <v>265</v>
      </c>
      <c r="C412" s="337">
        <v>41900</v>
      </c>
      <c r="D412" s="340">
        <v>37663.22</v>
      </c>
      <c r="E412" s="279" t="s">
        <v>353</v>
      </c>
      <c r="F412" s="267">
        <v>0.86111111111111116</v>
      </c>
      <c r="G412" s="267">
        <v>4.1666666666666664E-2</v>
      </c>
      <c r="H412" s="267">
        <v>0</v>
      </c>
      <c r="I412" s="286">
        <v>9.7222222222222224E-2</v>
      </c>
      <c r="J412" s="288" t="s">
        <v>446</v>
      </c>
    </row>
    <row r="413" spans="2:12" ht="15.75" x14ac:dyDescent="0.25">
      <c r="B413" s="335"/>
      <c r="C413" s="338"/>
      <c r="D413" s="341"/>
      <c r="E413" s="279" t="s">
        <v>354</v>
      </c>
      <c r="F413" s="267">
        <v>0.91319444444444453</v>
      </c>
      <c r="G413" s="267">
        <v>4.1666666666666664E-2</v>
      </c>
      <c r="H413" s="267">
        <v>0</v>
      </c>
      <c r="I413" s="286">
        <v>4.5138888888888888E-2</v>
      </c>
      <c r="J413" s="260" t="s">
        <v>446</v>
      </c>
    </row>
    <row r="414" spans="2:12" ht="31.5" x14ac:dyDescent="0.25">
      <c r="B414" s="336"/>
      <c r="C414" s="339"/>
      <c r="D414" s="342"/>
      <c r="E414" s="279" t="s">
        <v>408</v>
      </c>
      <c r="F414" s="267">
        <v>0.72916666666666663</v>
      </c>
      <c r="G414" s="267">
        <v>4.1666666666666664E-2</v>
      </c>
      <c r="H414" s="267">
        <v>8.3333333333333329E-2</v>
      </c>
      <c r="I414" s="286">
        <v>0.14583333333333334</v>
      </c>
      <c r="J414" s="290" t="s">
        <v>473</v>
      </c>
    </row>
    <row r="415" spans="2:12" ht="15.75" x14ac:dyDescent="0.25">
      <c r="B415" s="266"/>
      <c r="C415" s="266"/>
      <c r="D415" s="255" t="s">
        <v>11</v>
      </c>
      <c r="E415" s="255"/>
      <c r="F415" s="268">
        <f>SUM(F412:F414)</f>
        <v>2.5034722222222223</v>
      </c>
      <c r="G415" s="268">
        <f>SUM(G412:G414)</f>
        <v>0.125</v>
      </c>
      <c r="H415" s="268">
        <f>SUM(H412:H414)</f>
        <v>8.3333333333333329E-2</v>
      </c>
      <c r="I415" s="268">
        <f>SUM(I412:I414)</f>
        <v>0.28819444444444442</v>
      </c>
      <c r="J415" s="266"/>
      <c r="L415" s="254">
        <f>F415+G415+H415+I415</f>
        <v>3</v>
      </c>
    </row>
    <row r="419" spans="2:12" ht="15.75" x14ac:dyDescent="0.25">
      <c r="D419" s="269"/>
      <c r="E419" s="158"/>
      <c r="F419" s="158"/>
      <c r="G419" s="158"/>
      <c r="H419" s="158"/>
      <c r="I419" s="158" t="s">
        <v>52</v>
      </c>
      <c r="J419" s="158"/>
    </row>
    <row r="420" spans="2:12" ht="15.75" x14ac:dyDescent="0.25">
      <c r="D420" s="269"/>
      <c r="E420" s="158"/>
      <c r="F420" s="158"/>
      <c r="G420" s="158"/>
      <c r="H420" s="158"/>
      <c r="I420" s="158" t="s">
        <v>105</v>
      </c>
      <c r="J420" s="158"/>
    </row>
    <row r="422" spans="2:12" ht="15.75" thickBot="1" x14ac:dyDescent="0.3"/>
    <row r="423" spans="2:12" ht="16.5" thickBot="1" x14ac:dyDescent="0.3">
      <c r="B423" s="263"/>
      <c r="C423" s="264"/>
      <c r="D423" s="349" t="s">
        <v>297</v>
      </c>
      <c r="E423" s="349"/>
      <c r="F423" s="349"/>
      <c r="G423" s="349"/>
      <c r="H423" s="264"/>
      <c r="I423" s="264"/>
      <c r="J423" s="265"/>
    </row>
    <row r="424" spans="2:12" ht="15.75" x14ac:dyDescent="0.25">
      <c r="B424" s="256"/>
      <c r="C424" s="257"/>
      <c r="D424" s="257"/>
      <c r="E424" s="257"/>
      <c r="F424" s="257"/>
      <c r="G424" s="257"/>
      <c r="H424" s="343" t="s">
        <v>484</v>
      </c>
      <c r="I424" s="344"/>
      <c r="J424" s="345"/>
    </row>
    <row r="425" spans="2:12" ht="15.75" x14ac:dyDescent="0.25">
      <c r="B425" s="346" t="s">
        <v>263</v>
      </c>
      <c r="C425" s="347"/>
      <c r="D425" s="347"/>
      <c r="E425" s="347"/>
      <c r="F425" s="347"/>
      <c r="G425" s="347"/>
      <c r="H425" s="348"/>
      <c r="I425" s="255"/>
      <c r="J425" s="258"/>
    </row>
    <row r="426" spans="2:12" ht="15.75" x14ac:dyDescent="0.25">
      <c r="B426" s="346" t="s">
        <v>264</v>
      </c>
      <c r="C426" s="347"/>
      <c r="D426" s="347"/>
      <c r="E426" s="347"/>
      <c r="F426" s="347"/>
      <c r="G426" s="347"/>
      <c r="H426" s="348"/>
      <c r="I426" s="255"/>
      <c r="J426" s="258"/>
    </row>
    <row r="427" spans="2:12" ht="63" x14ac:dyDescent="0.25">
      <c r="B427" s="259" t="s">
        <v>258</v>
      </c>
      <c r="C427" s="260" t="s">
        <v>266</v>
      </c>
      <c r="D427" s="260" t="s">
        <v>267</v>
      </c>
      <c r="E427" s="332" t="s">
        <v>259</v>
      </c>
      <c r="F427" s="333"/>
      <c r="G427" s="260" t="s">
        <v>260</v>
      </c>
      <c r="H427" s="260" t="s">
        <v>261</v>
      </c>
      <c r="I427" s="260" t="s">
        <v>262</v>
      </c>
      <c r="J427" s="287" t="s">
        <v>95</v>
      </c>
    </row>
    <row r="428" spans="2:12" ht="15.75" x14ac:dyDescent="0.25">
      <c r="B428" s="334" t="s">
        <v>265</v>
      </c>
      <c r="C428" s="337">
        <v>41541</v>
      </c>
      <c r="D428" s="340">
        <v>38221.94</v>
      </c>
      <c r="E428" s="279" t="s">
        <v>353</v>
      </c>
      <c r="F428" s="267">
        <v>0.83680555555555547</v>
      </c>
      <c r="G428" s="267">
        <v>4.1666666666666664E-2</v>
      </c>
      <c r="H428" s="267">
        <v>0</v>
      </c>
      <c r="I428" s="286">
        <v>0.12152777777777778</v>
      </c>
      <c r="J428" s="288" t="s">
        <v>446</v>
      </c>
    </row>
    <row r="429" spans="2:12" ht="15.75" x14ac:dyDescent="0.25">
      <c r="B429" s="335"/>
      <c r="C429" s="338"/>
      <c r="D429" s="341"/>
      <c r="E429" s="279" t="s">
        <v>354</v>
      </c>
      <c r="F429" s="267">
        <v>0.83333333333333337</v>
      </c>
      <c r="G429" s="267">
        <v>4.8611111111111112E-2</v>
      </c>
      <c r="H429" s="267">
        <v>0</v>
      </c>
      <c r="I429" s="286">
        <v>0.11805555555555557</v>
      </c>
      <c r="J429" s="260" t="s">
        <v>446</v>
      </c>
    </row>
    <row r="430" spans="2:12" ht="15.75" x14ac:dyDescent="0.25">
      <c r="B430" s="336"/>
      <c r="C430" s="339"/>
      <c r="D430" s="342"/>
      <c r="E430" s="279" t="s">
        <v>408</v>
      </c>
      <c r="F430" s="267">
        <v>0.81597222222222221</v>
      </c>
      <c r="G430" s="267">
        <v>6.25E-2</v>
      </c>
      <c r="H430" s="267">
        <v>0</v>
      </c>
      <c r="I430" s="286">
        <v>0.12152777777777778</v>
      </c>
      <c r="J430" s="290" t="s">
        <v>446</v>
      </c>
    </row>
    <row r="431" spans="2:12" ht="15.75" x14ac:dyDescent="0.25">
      <c r="B431" s="266"/>
      <c r="C431" s="266"/>
      <c r="D431" s="255" t="s">
        <v>11</v>
      </c>
      <c r="E431" s="255"/>
      <c r="F431" s="268">
        <f>SUM(F428:F430)</f>
        <v>2.4861111111111112</v>
      </c>
      <c r="G431" s="268">
        <f>SUM(G428:G430)</f>
        <v>0.15277777777777779</v>
      </c>
      <c r="H431" s="268">
        <f>SUM(H428:H430)</f>
        <v>0</v>
      </c>
      <c r="I431" s="268">
        <f>SUM(I428:I430)</f>
        <v>0.3611111111111111</v>
      </c>
      <c r="J431" s="266"/>
      <c r="L431" s="254">
        <f>F431+G431+H431+I431</f>
        <v>3</v>
      </c>
    </row>
    <row r="435" spans="2:12" ht="15.75" x14ac:dyDescent="0.25">
      <c r="D435" s="269"/>
      <c r="E435" s="158"/>
      <c r="F435" s="158"/>
      <c r="G435" s="158"/>
      <c r="H435" s="158"/>
      <c r="I435" s="158" t="s">
        <v>52</v>
      </c>
      <c r="J435" s="158"/>
    </row>
    <row r="436" spans="2:12" ht="15.75" x14ac:dyDescent="0.25">
      <c r="D436" s="269"/>
      <c r="E436" s="158"/>
      <c r="F436" s="158"/>
      <c r="G436" s="158"/>
      <c r="H436" s="158"/>
      <c r="I436" s="158" t="s">
        <v>105</v>
      </c>
      <c r="J436" s="158"/>
    </row>
    <row r="439" spans="2:12" ht="15.75" thickBot="1" x14ac:dyDescent="0.3"/>
    <row r="440" spans="2:12" ht="16.5" thickBot="1" x14ac:dyDescent="0.3">
      <c r="B440" s="263"/>
      <c r="C440" s="264"/>
      <c r="D440" s="349" t="s">
        <v>297</v>
      </c>
      <c r="E440" s="349"/>
      <c r="F440" s="349"/>
      <c r="G440" s="349"/>
      <c r="H440" s="264"/>
      <c r="I440" s="264"/>
      <c r="J440" s="265"/>
    </row>
    <row r="441" spans="2:12" ht="15.75" x14ac:dyDescent="0.25">
      <c r="B441" s="256"/>
      <c r="C441" s="257"/>
      <c r="D441" s="257"/>
      <c r="E441" s="257"/>
      <c r="F441" s="257"/>
      <c r="G441" s="257"/>
      <c r="H441" s="343" t="s">
        <v>512</v>
      </c>
      <c r="I441" s="344"/>
      <c r="J441" s="345"/>
    </row>
    <row r="442" spans="2:12" ht="15.75" x14ac:dyDescent="0.25">
      <c r="B442" s="346" t="s">
        <v>263</v>
      </c>
      <c r="C442" s="347"/>
      <c r="D442" s="347"/>
      <c r="E442" s="347"/>
      <c r="F442" s="347"/>
      <c r="G442" s="347"/>
      <c r="H442" s="348"/>
      <c r="I442" s="255"/>
      <c r="J442" s="258"/>
    </row>
    <row r="443" spans="2:12" ht="15.75" x14ac:dyDescent="0.25">
      <c r="B443" s="346" t="s">
        <v>264</v>
      </c>
      <c r="C443" s="347"/>
      <c r="D443" s="347"/>
      <c r="E443" s="347"/>
      <c r="F443" s="347"/>
      <c r="G443" s="347"/>
      <c r="H443" s="348"/>
      <c r="I443" s="255"/>
      <c r="J443" s="258"/>
    </row>
    <row r="444" spans="2:12" ht="63" x14ac:dyDescent="0.25">
      <c r="B444" s="259" t="s">
        <v>258</v>
      </c>
      <c r="C444" s="260" t="s">
        <v>266</v>
      </c>
      <c r="D444" s="260" t="s">
        <v>267</v>
      </c>
      <c r="E444" s="332" t="s">
        <v>259</v>
      </c>
      <c r="F444" s="333"/>
      <c r="G444" s="260" t="s">
        <v>260</v>
      </c>
      <c r="H444" s="260" t="s">
        <v>261</v>
      </c>
      <c r="I444" s="260" t="s">
        <v>262</v>
      </c>
      <c r="J444" s="287" t="s">
        <v>95</v>
      </c>
    </row>
    <row r="445" spans="2:12" ht="15.75" x14ac:dyDescent="0.25">
      <c r="B445" s="334" t="s">
        <v>265</v>
      </c>
      <c r="C445" s="337">
        <v>42897.1</v>
      </c>
      <c r="D445" s="340">
        <v>38415.919999999998</v>
      </c>
      <c r="E445" s="279" t="s">
        <v>353</v>
      </c>
      <c r="F445" s="267">
        <v>0.86805555555555547</v>
      </c>
      <c r="G445" s="267">
        <v>4.1666666666666664E-2</v>
      </c>
      <c r="H445" s="267">
        <v>0</v>
      </c>
      <c r="I445" s="286">
        <v>9.0277777777777776E-2</v>
      </c>
      <c r="J445" s="288" t="s">
        <v>446</v>
      </c>
    </row>
    <row r="446" spans="2:12" ht="157.5" x14ac:dyDescent="0.25">
      <c r="B446" s="335"/>
      <c r="C446" s="338"/>
      <c r="D446" s="341"/>
      <c r="E446" s="279" t="s">
        <v>354</v>
      </c>
      <c r="F446" s="267">
        <v>0.71180555555555547</v>
      </c>
      <c r="G446" s="267">
        <v>5.5555555555555552E-2</v>
      </c>
      <c r="H446" s="267">
        <v>0.13541666666666666</v>
      </c>
      <c r="I446" s="286">
        <v>9.7222222222222224E-2</v>
      </c>
      <c r="J446" s="260" t="s">
        <v>503</v>
      </c>
    </row>
    <row r="447" spans="2:12" ht="63" x14ac:dyDescent="0.25">
      <c r="B447" s="336"/>
      <c r="C447" s="339"/>
      <c r="D447" s="342"/>
      <c r="E447" s="279" t="s">
        <v>408</v>
      </c>
      <c r="F447" s="267">
        <v>0.73611111111111116</v>
      </c>
      <c r="G447" s="267">
        <v>0.11805555555555557</v>
      </c>
      <c r="H447" s="267">
        <v>0</v>
      </c>
      <c r="I447" s="286">
        <v>0.14583333333333334</v>
      </c>
      <c r="J447" s="290" t="s">
        <v>504</v>
      </c>
    </row>
    <row r="448" spans="2:12" ht="15.75" x14ac:dyDescent="0.25">
      <c r="B448" s="266"/>
      <c r="C448" s="266"/>
      <c r="D448" s="255" t="s">
        <v>11</v>
      </c>
      <c r="E448" s="255"/>
      <c r="F448" s="268">
        <f>SUM(F445:F447)</f>
        <v>2.3159722222222223</v>
      </c>
      <c r="G448" s="268">
        <f>SUM(G445:G447)</f>
        <v>0.21527777777777779</v>
      </c>
      <c r="H448" s="268">
        <f>SUM(H445:H447)</f>
        <v>0.13541666666666666</v>
      </c>
      <c r="I448" s="268">
        <f>SUM(I445:I447)</f>
        <v>0.33333333333333337</v>
      </c>
      <c r="J448" s="266"/>
      <c r="L448" s="254">
        <f>F448+G448+H448+I448</f>
        <v>3</v>
      </c>
    </row>
    <row r="452" spans="2:10" ht="15.75" x14ac:dyDescent="0.25">
      <c r="D452" s="269"/>
      <c r="E452" s="158"/>
      <c r="F452" s="158"/>
      <c r="G452" s="158"/>
      <c r="H452" s="158"/>
      <c r="I452" s="158" t="s">
        <v>52</v>
      </c>
      <c r="J452" s="158"/>
    </row>
    <row r="453" spans="2:10" ht="15.75" x14ac:dyDescent="0.25">
      <c r="D453" s="269"/>
      <c r="E453" s="158"/>
      <c r="F453" s="158"/>
      <c r="G453" s="158"/>
      <c r="H453" s="158"/>
      <c r="I453" s="158" t="s">
        <v>105</v>
      </c>
      <c r="J453" s="158"/>
    </row>
    <row r="456" spans="2:10" ht="15.75" thickBot="1" x14ac:dyDescent="0.3"/>
    <row r="457" spans="2:10" ht="16.5" thickBot="1" x14ac:dyDescent="0.3">
      <c r="B457" s="263"/>
      <c r="C457" s="264"/>
      <c r="D457" s="349" t="s">
        <v>297</v>
      </c>
      <c r="E457" s="349"/>
      <c r="F457" s="349"/>
      <c r="G457" s="349"/>
      <c r="H457" s="264"/>
      <c r="I457" s="264"/>
      <c r="J457" s="265"/>
    </row>
    <row r="458" spans="2:10" ht="15.75" x14ac:dyDescent="0.25">
      <c r="B458" s="256"/>
      <c r="C458" s="257"/>
      <c r="D458" s="257"/>
      <c r="E458" s="257"/>
      <c r="F458" s="257"/>
      <c r="G458" s="257"/>
      <c r="H458" s="343" t="s">
        <v>513</v>
      </c>
      <c r="I458" s="344"/>
      <c r="J458" s="345"/>
    </row>
    <row r="459" spans="2:10" ht="15.75" x14ac:dyDescent="0.25">
      <c r="B459" s="346" t="s">
        <v>263</v>
      </c>
      <c r="C459" s="347"/>
      <c r="D459" s="347"/>
      <c r="E459" s="347"/>
      <c r="F459" s="347"/>
      <c r="G459" s="347"/>
      <c r="H459" s="348"/>
      <c r="I459" s="255"/>
      <c r="J459" s="258"/>
    </row>
    <row r="460" spans="2:10" ht="15.75" x14ac:dyDescent="0.25">
      <c r="B460" s="346" t="s">
        <v>264</v>
      </c>
      <c r="C460" s="347"/>
      <c r="D460" s="347"/>
      <c r="E460" s="347"/>
      <c r="F460" s="347"/>
      <c r="G460" s="347"/>
      <c r="H460" s="348"/>
      <c r="I460" s="255"/>
      <c r="J460" s="258"/>
    </row>
    <row r="461" spans="2:10" ht="63" x14ac:dyDescent="0.25">
      <c r="B461" s="259" t="s">
        <v>258</v>
      </c>
      <c r="C461" s="260" t="s">
        <v>266</v>
      </c>
      <c r="D461" s="260" t="s">
        <v>267</v>
      </c>
      <c r="E461" s="332" t="s">
        <v>259</v>
      </c>
      <c r="F461" s="333"/>
      <c r="G461" s="260" t="s">
        <v>260</v>
      </c>
      <c r="H461" s="260" t="s">
        <v>261</v>
      </c>
      <c r="I461" s="260" t="s">
        <v>262</v>
      </c>
      <c r="J461" s="287" t="s">
        <v>95</v>
      </c>
    </row>
    <row r="462" spans="2:10" ht="15.75" x14ac:dyDescent="0.25">
      <c r="B462" s="334" t="s">
        <v>265</v>
      </c>
      <c r="C462" s="337">
        <v>41398.32</v>
      </c>
      <c r="D462" s="340">
        <v>37965.019999999997</v>
      </c>
      <c r="E462" s="279" t="s">
        <v>353</v>
      </c>
      <c r="F462" s="267">
        <v>0.85763888888888884</v>
      </c>
      <c r="G462" s="267">
        <v>4.1666666666666664E-2</v>
      </c>
      <c r="H462" s="267">
        <v>0</v>
      </c>
      <c r="I462" s="286">
        <v>0.10069444444444443</v>
      </c>
      <c r="J462" s="288" t="s">
        <v>446</v>
      </c>
    </row>
    <row r="463" spans="2:10" ht="15.75" x14ac:dyDescent="0.25">
      <c r="B463" s="335"/>
      <c r="C463" s="338"/>
      <c r="D463" s="341"/>
      <c r="E463" s="279" t="s">
        <v>354</v>
      </c>
      <c r="F463" s="267">
        <v>0.90625</v>
      </c>
      <c r="G463" s="267">
        <v>0</v>
      </c>
      <c r="H463" s="267">
        <v>0</v>
      </c>
      <c r="I463" s="286">
        <v>9.375E-2</v>
      </c>
      <c r="J463" s="260" t="s">
        <v>446</v>
      </c>
    </row>
    <row r="464" spans="2:10" ht="78.75" x14ac:dyDescent="0.25">
      <c r="B464" s="336"/>
      <c r="C464" s="339"/>
      <c r="D464" s="342"/>
      <c r="E464" s="279" t="s">
        <v>408</v>
      </c>
      <c r="F464" s="267">
        <v>0.13194444444444445</v>
      </c>
      <c r="G464" s="267">
        <v>0</v>
      </c>
      <c r="H464" s="267">
        <v>0.82291666666666663</v>
      </c>
      <c r="I464" s="286">
        <v>4.5138888888888888E-2</v>
      </c>
      <c r="J464" s="290" t="s">
        <v>514</v>
      </c>
    </row>
    <row r="465" spans="2:12" ht="15.75" x14ac:dyDescent="0.25">
      <c r="B465" s="266"/>
      <c r="C465" s="266"/>
      <c r="D465" s="255" t="s">
        <v>11</v>
      </c>
      <c r="E465" s="255"/>
      <c r="F465" s="268">
        <f>SUM(F462:F464)</f>
        <v>1.8958333333333333</v>
      </c>
      <c r="G465" s="268">
        <f>SUM(G462:G464)</f>
        <v>4.1666666666666664E-2</v>
      </c>
      <c r="H465" s="268">
        <f>SUM(H462:H464)</f>
        <v>0.82291666666666663</v>
      </c>
      <c r="I465" s="268">
        <f>SUM(I462:I464)</f>
        <v>0.23958333333333331</v>
      </c>
      <c r="J465" s="266"/>
      <c r="L465" s="254">
        <f>F465+G465+H465+I465</f>
        <v>3</v>
      </c>
    </row>
    <row r="469" spans="2:12" ht="15.75" x14ac:dyDescent="0.25">
      <c r="D469" s="269"/>
      <c r="E469" s="158"/>
      <c r="F469" s="158"/>
      <c r="G469" s="158"/>
      <c r="H469" s="158"/>
      <c r="I469" s="158" t="s">
        <v>52</v>
      </c>
      <c r="J469" s="158"/>
    </row>
    <row r="470" spans="2:12" ht="15.75" x14ac:dyDescent="0.25">
      <c r="D470" s="269"/>
      <c r="E470" s="158"/>
      <c r="F470" s="158"/>
      <c r="G470" s="158"/>
      <c r="H470" s="158"/>
      <c r="I470" s="158" t="s">
        <v>105</v>
      </c>
      <c r="J470" s="158"/>
    </row>
    <row r="473" spans="2:12" ht="15.75" thickBot="1" x14ac:dyDescent="0.3"/>
    <row r="474" spans="2:12" ht="16.5" thickBot="1" x14ac:dyDescent="0.3">
      <c r="B474" s="263"/>
      <c r="C474" s="264"/>
      <c r="D474" s="349" t="s">
        <v>297</v>
      </c>
      <c r="E474" s="349"/>
      <c r="F474" s="349"/>
      <c r="G474" s="349"/>
      <c r="H474" s="264"/>
      <c r="I474" s="264"/>
      <c r="J474" s="265"/>
    </row>
    <row r="475" spans="2:12" ht="15.75" x14ac:dyDescent="0.25">
      <c r="B475" s="256"/>
      <c r="C475" s="257"/>
      <c r="D475" s="257"/>
      <c r="E475" s="257"/>
      <c r="F475" s="257"/>
      <c r="G475" s="257"/>
      <c r="H475" s="343" t="s">
        <v>518</v>
      </c>
      <c r="I475" s="344"/>
      <c r="J475" s="345"/>
    </row>
    <row r="476" spans="2:12" ht="15.75" x14ac:dyDescent="0.25">
      <c r="B476" s="346" t="s">
        <v>263</v>
      </c>
      <c r="C476" s="347"/>
      <c r="D476" s="347"/>
      <c r="E476" s="347"/>
      <c r="F476" s="347"/>
      <c r="G476" s="347"/>
      <c r="H476" s="348"/>
      <c r="I476" s="255"/>
      <c r="J476" s="258"/>
    </row>
    <row r="477" spans="2:12" ht="15.75" x14ac:dyDescent="0.25">
      <c r="B477" s="346" t="s">
        <v>264</v>
      </c>
      <c r="C477" s="347"/>
      <c r="D477" s="347"/>
      <c r="E477" s="347"/>
      <c r="F477" s="347"/>
      <c r="G477" s="347"/>
      <c r="H477" s="348"/>
      <c r="I477" s="255"/>
      <c r="J477" s="258"/>
    </row>
    <row r="478" spans="2:12" ht="63" x14ac:dyDescent="0.25">
      <c r="B478" s="259" t="s">
        <v>258</v>
      </c>
      <c r="C478" s="260" t="s">
        <v>266</v>
      </c>
      <c r="D478" s="260" t="s">
        <v>267</v>
      </c>
      <c r="E478" s="332" t="s">
        <v>259</v>
      </c>
      <c r="F478" s="333"/>
      <c r="G478" s="260" t="s">
        <v>260</v>
      </c>
      <c r="H478" s="260" t="s">
        <v>261</v>
      </c>
      <c r="I478" s="260" t="s">
        <v>262</v>
      </c>
      <c r="J478" s="287" t="s">
        <v>95</v>
      </c>
    </row>
    <row r="479" spans="2:12" ht="15.75" x14ac:dyDescent="0.25">
      <c r="B479" s="334" t="s">
        <v>265</v>
      </c>
      <c r="C479" s="337">
        <v>33888.1</v>
      </c>
      <c r="D479" s="340">
        <v>34132.68</v>
      </c>
      <c r="E479" s="279" t="s">
        <v>353</v>
      </c>
      <c r="F479" s="267">
        <v>0.85763888888888884</v>
      </c>
      <c r="G479" s="267">
        <v>4.1666666666666664E-2</v>
      </c>
      <c r="H479" s="267">
        <v>0</v>
      </c>
      <c r="I479" s="286">
        <v>0.10069444444444443</v>
      </c>
      <c r="J479" s="288" t="s">
        <v>446</v>
      </c>
    </row>
    <row r="480" spans="2:12" ht="15.75" x14ac:dyDescent="0.25">
      <c r="B480" s="335"/>
      <c r="C480" s="338"/>
      <c r="D480" s="341"/>
      <c r="E480" s="279" t="s">
        <v>354</v>
      </c>
      <c r="F480" s="267">
        <v>0.90972222222222221</v>
      </c>
      <c r="G480" s="267">
        <v>4.1666666666666664E-2</v>
      </c>
      <c r="H480" s="267">
        <v>0</v>
      </c>
      <c r="I480" s="286">
        <v>4.8611111111111112E-2</v>
      </c>
      <c r="J480" s="260" t="s">
        <v>446</v>
      </c>
    </row>
    <row r="481" spans="2:12" ht="126" x14ac:dyDescent="0.25">
      <c r="B481" s="336"/>
      <c r="C481" s="339"/>
      <c r="D481" s="342"/>
      <c r="E481" s="279" t="s">
        <v>408</v>
      </c>
      <c r="F481" s="267">
        <v>0.13194444444444445</v>
      </c>
      <c r="G481" s="267">
        <v>0</v>
      </c>
      <c r="H481" s="267">
        <v>0.86805555555555547</v>
      </c>
      <c r="I481" s="286">
        <v>0</v>
      </c>
      <c r="J481" s="290" t="s">
        <v>520</v>
      </c>
      <c r="K481" s="293">
        <v>72</v>
      </c>
    </row>
    <row r="482" spans="2:12" ht="15.75" x14ac:dyDescent="0.25">
      <c r="B482" s="266"/>
      <c r="C482" s="266"/>
      <c r="D482" s="255" t="s">
        <v>11</v>
      </c>
      <c r="E482" s="255"/>
      <c r="F482" s="268">
        <f>SUM(F479:F481)</f>
        <v>1.8993055555555556</v>
      </c>
      <c r="G482" s="268">
        <f>SUM(G479:G481)</f>
        <v>8.3333333333333329E-2</v>
      </c>
      <c r="H482" s="268">
        <f>SUM(H479:H481)</f>
        <v>0.86805555555555547</v>
      </c>
      <c r="I482" s="268">
        <f>SUM(I479:I481)</f>
        <v>0.14930555555555555</v>
      </c>
      <c r="J482" s="266"/>
      <c r="L482" s="254">
        <f>F482+G482+H482+I482</f>
        <v>2.9999999999999996</v>
      </c>
    </row>
    <row r="486" spans="2:12" ht="15.75" x14ac:dyDescent="0.25">
      <c r="D486" s="269"/>
      <c r="E486" s="158"/>
      <c r="F486" s="158"/>
      <c r="G486" s="158"/>
      <c r="H486" s="158"/>
      <c r="I486" s="158" t="s">
        <v>52</v>
      </c>
      <c r="J486" s="158"/>
    </row>
    <row r="487" spans="2:12" ht="15.75" x14ac:dyDescent="0.25">
      <c r="D487" s="269"/>
      <c r="E487" s="158"/>
      <c r="F487" s="158"/>
      <c r="G487" s="158"/>
      <c r="H487" s="158"/>
      <c r="I487" s="158" t="s">
        <v>105</v>
      </c>
      <c r="J487" s="158"/>
    </row>
    <row r="490" spans="2:12" ht="15.75" thickBot="1" x14ac:dyDescent="0.3">
      <c r="D490" s="136"/>
    </row>
    <row r="491" spans="2:12" ht="16.5" thickBot="1" x14ac:dyDescent="0.3">
      <c r="B491" s="263"/>
      <c r="C491" s="264"/>
      <c r="D491" s="349" t="s">
        <v>297</v>
      </c>
      <c r="E491" s="349"/>
      <c r="F491" s="349"/>
      <c r="G491" s="349"/>
      <c r="H491" s="264"/>
      <c r="I491" s="264"/>
      <c r="J491" s="265"/>
    </row>
    <row r="492" spans="2:12" ht="15.75" x14ac:dyDescent="0.25">
      <c r="B492" s="256"/>
      <c r="C492" s="257"/>
      <c r="D492" s="257"/>
      <c r="E492" s="257"/>
      <c r="F492" s="257"/>
      <c r="G492" s="257"/>
      <c r="H492" s="343" t="s">
        <v>519</v>
      </c>
      <c r="I492" s="344"/>
      <c r="J492" s="345"/>
    </row>
    <row r="493" spans="2:12" ht="15.75" x14ac:dyDescent="0.25">
      <c r="B493" s="346" t="s">
        <v>263</v>
      </c>
      <c r="C493" s="347"/>
      <c r="D493" s="347"/>
      <c r="E493" s="347"/>
      <c r="F493" s="347"/>
      <c r="G493" s="347"/>
      <c r="H493" s="348"/>
      <c r="I493" s="255"/>
      <c r="J493" s="258"/>
    </row>
    <row r="494" spans="2:12" ht="15.75" x14ac:dyDescent="0.25">
      <c r="B494" s="346" t="s">
        <v>264</v>
      </c>
      <c r="C494" s="347"/>
      <c r="D494" s="347"/>
      <c r="E494" s="347"/>
      <c r="F494" s="347"/>
      <c r="G494" s="347"/>
      <c r="H494" s="348"/>
      <c r="I494" s="255"/>
      <c r="J494" s="258"/>
    </row>
    <row r="495" spans="2:12" ht="63" x14ac:dyDescent="0.25">
      <c r="B495" s="259" t="s">
        <v>258</v>
      </c>
      <c r="C495" s="260" t="s">
        <v>266</v>
      </c>
      <c r="D495" s="260" t="s">
        <v>267</v>
      </c>
      <c r="E495" s="332" t="s">
        <v>259</v>
      </c>
      <c r="F495" s="333"/>
      <c r="G495" s="260" t="s">
        <v>260</v>
      </c>
      <c r="H495" s="260" t="s">
        <v>261</v>
      </c>
      <c r="I495" s="260" t="s">
        <v>262</v>
      </c>
      <c r="J495" s="287" t="s">
        <v>95</v>
      </c>
    </row>
    <row r="496" spans="2:12" ht="15.75" x14ac:dyDescent="0.25">
      <c r="B496" s="334" t="s">
        <v>265</v>
      </c>
      <c r="C496" s="337">
        <v>42385</v>
      </c>
      <c r="D496" s="340">
        <v>37962</v>
      </c>
      <c r="E496" s="279" t="s">
        <v>353</v>
      </c>
      <c r="F496" s="267">
        <v>0.85416666666666663</v>
      </c>
      <c r="G496" s="267">
        <v>4.1666666666666664E-2</v>
      </c>
      <c r="H496" s="267">
        <v>0</v>
      </c>
      <c r="I496" s="286">
        <v>0.10416666666666667</v>
      </c>
      <c r="J496" s="288" t="s">
        <v>446</v>
      </c>
    </row>
    <row r="497" spans="2:10" ht="15.75" x14ac:dyDescent="0.25">
      <c r="B497" s="335"/>
      <c r="C497" s="338"/>
      <c r="D497" s="341"/>
      <c r="E497" s="279" t="s">
        <v>354</v>
      </c>
      <c r="F497" s="267">
        <v>0.82638888888888884</v>
      </c>
      <c r="G497" s="267">
        <v>6.25E-2</v>
      </c>
      <c r="H497" s="267">
        <v>0</v>
      </c>
      <c r="I497" s="286">
        <v>0.1111111111111111</v>
      </c>
      <c r="J497" s="260" t="s">
        <v>446</v>
      </c>
    </row>
    <row r="498" spans="2:10" ht="15.75" x14ac:dyDescent="0.25">
      <c r="B498" s="336"/>
      <c r="C498" s="339"/>
      <c r="D498" s="342"/>
      <c r="E498" s="279" t="s">
        <v>408</v>
      </c>
      <c r="F498" s="267">
        <v>0.82291666666666663</v>
      </c>
      <c r="G498" s="267">
        <v>6.25E-2</v>
      </c>
      <c r="H498" s="267">
        <v>0</v>
      </c>
      <c r="I498" s="286">
        <v>0.11458333333333333</v>
      </c>
      <c r="J498" s="290" t="s">
        <v>446</v>
      </c>
    </row>
    <row r="499" spans="2:10" ht="15.75" x14ac:dyDescent="0.25">
      <c r="B499" s="266"/>
      <c r="C499" s="266"/>
      <c r="D499" s="255" t="s">
        <v>11</v>
      </c>
      <c r="E499" s="255"/>
      <c r="F499" s="268">
        <f>SUM(F496:F498)</f>
        <v>2.5034722222222219</v>
      </c>
      <c r="G499" s="268">
        <f>SUM(G496:G498)</f>
        <v>0.16666666666666666</v>
      </c>
      <c r="H499" s="268">
        <f>SUM(H496:H498)</f>
        <v>0</v>
      </c>
      <c r="I499" s="268">
        <f>SUM(I496:I498)</f>
        <v>0.3298611111111111</v>
      </c>
      <c r="J499" s="266"/>
    </row>
    <row r="503" spans="2:10" ht="15.75" x14ac:dyDescent="0.25">
      <c r="D503" s="269"/>
      <c r="E503" s="158"/>
      <c r="F503" s="158"/>
      <c r="G503" s="158"/>
      <c r="H503" s="158"/>
      <c r="I503" s="158" t="s">
        <v>52</v>
      </c>
      <c r="J503" s="158"/>
    </row>
    <row r="504" spans="2:10" ht="15.75" x14ac:dyDescent="0.25">
      <c r="D504" s="269"/>
      <c r="E504" s="158"/>
      <c r="F504" s="158"/>
      <c r="G504" s="158"/>
      <c r="H504" s="158"/>
      <c r="I504" s="158" t="s">
        <v>105</v>
      </c>
      <c r="J504" s="158"/>
    </row>
  </sheetData>
  <mergeCells count="240">
    <mergeCell ref="H492:J492"/>
    <mergeCell ref="B493:H493"/>
    <mergeCell ref="B494:H494"/>
    <mergeCell ref="E495:F495"/>
    <mergeCell ref="B496:B498"/>
    <mergeCell ref="C496:C498"/>
    <mergeCell ref="D496:D498"/>
    <mergeCell ref="D474:G474"/>
    <mergeCell ref="H475:J475"/>
    <mergeCell ref="B476:H476"/>
    <mergeCell ref="B477:H477"/>
    <mergeCell ref="E478:F478"/>
    <mergeCell ref="B479:B481"/>
    <mergeCell ref="C479:C481"/>
    <mergeCell ref="D479:D481"/>
    <mergeCell ref="D491:G491"/>
    <mergeCell ref="D457:G457"/>
    <mergeCell ref="H458:J458"/>
    <mergeCell ref="B459:H459"/>
    <mergeCell ref="B460:H460"/>
    <mergeCell ref="E461:F461"/>
    <mergeCell ref="B462:B464"/>
    <mergeCell ref="C462:C464"/>
    <mergeCell ref="D462:D464"/>
    <mergeCell ref="D440:G440"/>
    <mergeCell ref="H441:J441"/>
    <mergeCell ref="B442:H442"/>
    <mergeCell ref="B443:H443"/>
    <mergeCell ref="E444:F444"/>
    <mergeCell ref="B445:B447"/>
    <mergeCell ref="C445:C447"/>
    <mergeCell ref="D445:D447"/>
    <mergeCell ref="B428:B430"/>
    <mergeCell ref="C428:C430"/>
    <mergeCell ref="D428:D430"/>
    <mergeCell ref="E261:F261"/>
    <mergeCell ref="B262:B264"/>
    <mergeCell ref="C262:C264"/>
    <mergeCell ref="D262:D264"/>
    <mergeCell ref="D423:G423"/>
    <mergeCell ref="H424:J424"/>
    <mergeCell ref="B425:H425"/>
    <mergeCell ref="B426:H426"/>
    <mergeCell ref="E427:F427"/>
    <mergeCell ref="D273:G273"/>
    <mergeCell ref="H274:J274"/>
    <mergeCell ref="B275:H275"/>
    <mergeCell ref="B276:H276"/>
    <mergeCell ref="E277:F277"/>
    <mergeCell ref="B278:B280"/>
    <mergeCell ref="C278:C280"/>
    <mergeCell ref="D278:D280"/>
    <mergeCell ref="D289:G289"/>
    <mergeCell ref="H290:J290"/>
    <mergeCell ref="B291:H291"/>
    <mergeCell ref="B292:H292"/>
    <mergeCell ref="E293:F293"/>
    <mergeCell ref="B294:B296"/>
    <mergeCell ref="C294:C296"/>
    <mergeCell ref="B260:H260"/>
    <mergeCell ref="H241:J241"/>
    <mergeCell ref="B242:H242"/>
    <mergeCell ref="B243:H243"/>
    <mergeCell ref="E244:F244"/>
    <mergeCell ref="B245:B247"/>
    <mergeCell ref="C245:C247"/>
    <mergeCell ref="D245:D247"/>
    <mergeCell ref="D257:G257"/>
    <mergeCell ref="H258:J258"/>
    <mergeCell ref="B259:H259"/>
    <mergeCell ref="D294:D296"/>
    <mergeCell ref="D224:G224"/>
    <mergeCell ref="H225:J225"/>
    <mergeCell ref="B226:H226"/>
    <mergeCell ref="B227:H227"/>
    <mergeCell ref="E228:F228"/>
    <mergeCell ref="B229:B231"/>
    <mergeCell ref="C229:C231"/>
    <mergeCell ref="D229:D231"/>
    <mergeCell ref="B214:B216"/>
    <mergeCell ref="C214:C216"/>
    <mergeCell ref="D214:D216"/>
    <mergeCell ref="D240:G240"/>
    <mergeCell ref="B42:H42"/>
    <mergeCell ref="B43:H43"/>
    <mergeCell ref="E44:F44"/>
    <mergeCell ref="D40:G40"/>
    <mergeCell ref="H41:J41"/>
    <mergeCell ref="H176:J176"/>
    <mergeCell ref="B177:H177"/>
    <mergeCell ref="B178:H178"/>
    <mergeCell ref="E179:F179"/>
    <mergeCell ref="D92:G92"/>
    <mergeCell ref="H93:J93"/>
    <mergeCell ref="B81:B83"/>
    <mergeCell ref="C81:C83"/>
    <mergeCell ref="D81:D83"/>
    <mergeCell ref="B78:H78"/>
    <mergeCell ref="B79:H79"/>
    <mergeCell ref="E80:F80"/>
    <mergeCell ref="B45:B47"/>
    <mergeCell ref="C45:C47"/>
    <mergeCell ref="D45:D47"/>
    <mergeCell ref="B63:B65"/>
    <mergeCell ref="C63:C65"/>
    <mergeCell ref="D63:D65"/>
    <mergeCell ref="D4:G4"/>
    <mergeCell ref="H5:J5"/>
    <mergeCell ref="B6:H6"/>
    <mergeCell ref="B7:H7"/>
    <mergeCell ref="B9:B11"/>
    <mergeCell ref="E8:F8"/>
    <mergeCell ref="C9:C11"/>
    <mergeCell ref="D9:D11"/>
    <mergeCell ref="B27:B29"/>
    <mergeCell ref="C27:C29"/>
    <mergeCell ref="D27:D29"/>
    <mergeCell ref="D22:G22"/>
    <mergeCell ref="H23:J23"/>
    <mergeCell ref="B24:H24"/>
    <mergeCell ref="B25:H25"/>
    <mergeCell ref="E26:F26"/>
    <mergeCell ref="D76:G76"/>
    <mergeCell ref="H77:J77"/>
    <mergeCell ref="D58:G58"/>
    <mergeCell ref="H59:J59"/>
    <mergeCell ref="B60:H60"/>
    <mergeCell ref="B61:H61"/>
    <mergeCell ref="E62:F62"/>
    <mergeCell ref="B94:H94"/>
    <mergeCell ref="B95:H95"/>
    <mergeCell ref="E96:F96"/>
    <mergeCell ref="B97:B99"/>
    <mergeCell ref="C97:C99"/>
    <mergeCell ref="D97:D99"/>
    <mergeCell ref="D110:G110"/>
    <mergeCell ref="H111:J111"/>
    <mergeCell ref="B112:H112"/>
    <mergeCell ref="B113:H113"/>
    <mergeCell ref="E114:F114"/>
    <mergeCell ref="B115:B117"/>
    <mergeCell ref="C115:C117"/>
    <mergeCell ref="D115:D117"/>
    <mergeCell ref="D128:G128"/>
    <mergeCell ref="H129:J129"/>
    <mergeCell ref="B130:H130"/>
    <mergeCell ref="B131:H131"/>
    <mergeCell ref="B211:H211"/>
    <mergeCell ref="B212:H212"/>
    <mergeCell ref="H160:J160"/>
    <mergeCell ref="B180:B182"/>
    <mergeCell ref="C180:C182"/>
    <mergeCell ref="D180:D182"/>
    <mergeCell ref="D209:G209"/>
    <mergeCell ref="H210:J210"/>
    <mergeCell ref="B197:B199"/>
    <mergeCell ref="C197:C199"/>
    <mergeCell ref="D197:D199"/>
    <mergeCell ref="D192:G192"/>
    <mergeCell ref="H193:J193"/>
    <mergeCell ref="B194:H194"/>
    <mergeCell ref="B195:H195"/>
    <mergeCell ref="E196:F196"/>
    <mergeCell ref="E213:F213"/>
    <mergeCell ref="E132:F132"/>
    <mergeCell ref="B133:B135"/>
    <mergeCell ref="C133:C135"/>
    <mergeCell ref="D133:D135"/>
    <mergeCell ref="B164:B166"/>
    <mergeCell ref="C164:C166"/>
    <mergeCell ref="D164:D166"/>
    <mergeCell ref="D159:G159"/>
    <mergeCell ref="B161:H161"/>
    <mergeCell ref="B162:H162"/>
    <mergeCell ref="E163:F163"/>
    <mergeCell ref="D143:G143"/>
    <mergeCell ref="H144:J144"/>
    <mergeCell ref="B145:H145"/>
    <mergeCell ref="B146:H146"/>
    <mergeCell ref="E147:F147"/>
    <mergeCell ref="B148:B150"/>
    <mergeCell ref="C148:C150"/>
    <mergeCell ref="D148:D150"/>
    <mergeCell ref="D175:G175"/>
    <mergeCell ref="D306:G306"/>
    <mergeCell ref="H307:J307"/>
    <mergeCell ref="B308:H308"/>
    <mergeCell ref="B309:H309"/>
    <mergeCell ref="E310:F310"/>
    <mergeCell ref="B311:B313"/>
    <mergeCell ref="C311:C313"/>
    <mergeCell ref="D311:D313"/>
    <mergeCell ref="D324:G324"/>
    <mergeCell ref="H325:J325"/>
    <mergeCell ref="B326:H326"/>
    <mergeCell ref="B327:H327"/>
    <mergeCell ref="E328:F328"/>
    <mergeCell ref="B329:B331"/>
    <mergeCell ref="C329:C331"/>
    <mergeCell ref="D329:D331"/>
    <mergeCell ref="D342:G342"/>
    <mergeCell ref="H343:J343"/>
    <mergeCell ref="B344:H344"/>
    <mergeCell ref="B345:H345"/>
    <mergeCell ref="E346:F346"/>
    <mergeCell ref="B347:B349"/>
    <mergeCell ref="C347:C349"/>
    <mergeCell ref="D347:D349"/>
    <mergeCell ref="D358:G358"/>
    <mergeCell ref="H359:J359"/>
    <mergeCell ref="B360:H360"/>
    <mergeCell ref="B361:H361"/>
    <mergeCell ref="E362:F362"/>
    <mergeCell ref="B363:B365"/>
    <mergeCell ref="C363:C365"/>
    <mergeCell ref="D363:D365"/>
    <mergeCell ref="D375:G375"/>
    <mergeCell ref="H376:J376"/>
    <mergeCell ref="B377:H377"/>
    <mergeCell ref="B378:H378"/>
    <mergeCell ref="E379:F379"/>
    <mergeCell ref="B380:B382"/>
    <mergeCell ref="C380:C382"/>
    <mergeCell ref="D380:D382"/>
    <mergeCell ref="H408:J408"/>
    <mergeCell ref="B409:H409"/>
    <mergeCell ref="B410:H410"/>
    <mergeCell ref="E411:F411"/>
    <mergeCell ref="B412:B414"/>
    <mergeCell ref="C412:C414"/>
    <mergeCell ref="D412:D414"/>
    <mergeCell ref="D392:G392"/>
    <mergeCell ref="H393:J393"/>
    <mergeCell ref="B394:H394"/>
    <mergeCell ref="B395:H395"/>
    <mergeCell ref="E396:F396"/>
    <mergeCell ref="B397:B399"/>
    <mergeCell ref="C397:C399"/>
    <mergeCell ref="D397:D399"/>
    <mergeCell ref="D407:G407"/>
  </mergeCells>
  <pageMargins left="0.39370078740157483" right="0.39370078740157483" top="0.39370078740157483" bottom="0.39370078740157483" header="0.31496062992125984" footer="0.31496062992125984"/>
  <pageSetup paperSize="9" scale="38" fitToHeight="5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B21" sqref="B2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281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90"/>
      <c r="N4" s="101"/>
      <c r="O4" s="92" t="s">
        <v>85</v>
      </c>
      <c r="P4" s="102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90"/>
      <c r="N5" s="101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90"/>
      <c r="N6" s="101"/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90"/>
      <c r="N7" s="101"/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90"/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0"/>
      <c r="N10" s="81"/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0"/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0"/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0"/>
      <c r="N14" s="100"/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0"/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0"/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0"/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0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0</v>
      </c>
      <c r="O19" s="68"/>
      <c r="P19" s="46" t="s">
        <v>285</v>
      </c>
      <c r="Q19" s="64"/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0</v>
      </c>
      <c r="O20" s="76" t="s">
        <v>62</v>
      </c>
      <c r="P20" s="74"/>
      <c r="Q20" s="64"/>
    </row>
    <row r="21" spans="1:20" ht="25.5" customHeight="1" x14ac:dyDescent="0.25">
      <c r="A21" s="16" t="s">
        <v>46</v>
      </c>
      <c r="B21" s="65">
        <v>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151" t="s">
        <v>47</v>
      </c>
      <c r="N21" s="64">
        <f>M17+M12+M7</f>
        <v>0</v>
      </c>
      <c r="O21" s="77" t="s">
        <v>66</v>
      </c>
      <c r="P21" s="74"/>
      <c r="Q21" s="64"/>
    </row>
    <row r="22" spans="1:20" ht="27" customHeight="1" x14ac:dyDescent="0.25">
      <c r="A22" s="16" t="s">
        <v>48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240" t="s">
        <v>207</v>
      </c>
      <c r="N22" s="64"/>
      <c r="O22" s="79" t="s">
        <v>63</v>
      </c>
      <c r="P22" s="74"/>
      <c r="Q22" s="64"/>
    </row>
    <row r="23" spans="1:20" ht="27" customHeight="1" x14ac:dyDescent="0.25">
      <c r="A23" s="154" t="s">
        <v>50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151" t="s">
        <v>61</v>
      </c>
      <c r="N23" s="84"/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156" t="s">
        <v>206</v>
      </c>
      <c r="N24" s="64"/>
      <c r="P24" s="238" t="s">
        <v>203</v>
      </c>
      <c r="Q24" s="43"/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N24+Sheet3!O25</f>
        <v>40806.47</v>
      </c>
      <c r="P25" s="151" t="s">
        <v>205</v>
      </c>
      <c r="Q25" s="86"/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/>
      <c r="P26" s="239" t="s">
        <v>204</v>
      </c>
      <c r="Q26" s="68"/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/>
      <c r="M27" s="55"/>
      <c r="N27" s="87" t="e">
        <f>N22/L27</f>
        <v>#DIV/0!</v>
      </c>
      <c r="O27" s="80" t="s">
        <v>71</v>
      </c>
      <c r="P27" s="68"/>
      <c r="Q27" s="64" t="s">
        <v>286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9" workbookViewId="0">
      <selection activeCell="K23" sqref="K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282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36</v>
      </c>
      <c r="F4" s="22">
        <v>32</v>
      </c>
      <c r="G4" s="22">
        <v>18</v>
      </c>
      <c r="H4" s="22">
        <v>30</v>
      </c>
      <c r="I4" s="22">
        <v>30</v>
      </c>
      <c r="J4" s="22">
        <v>19</v>
      </c>
      <c r="K4" s="22">
        <v>150</v>
      </c>
      <c r="L4" s="22">
        <v>50</v>
      </c>
      <c r="M4" s="90">
        <f t="shared" ref="M4:M7" si="0">K4+L4</f>
        <v>200</v>
      </c>
      <c r="N4" s="101" t="s">
        <v>146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293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7</v>
      </c>
      <c r="F6" s="22">
        <v>7</v>
      </c>
      <c r="G6" s="22">
        <v>6</v>
      </c>
      <c r="H6" s="22">
        <v>6</v>
      </c>
      <c r="I6" s="22">
        <v>7</v>
      </c>
      <c r="J6" s="22">
        <v>6</v>
      </c>
      <c r="K6" s="22">
        <v>40</v>
      </c>
      <c r="L6" s="22">
        <v>5</v>
      </c>
      <c r="M6" s="90">
        <f t="shared" si="0"/>
        <v>45</v>
      </c>
      <c r="N6" s="101" t="s">
        <v>214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>
        <v>2</v>
      </c>
      <c r="G7" s="22"/>
      <c r="H7" s="22"/>
      <c r="I7" s="22"/>
      <c r="J7" s="22"/>
      <c r="K7" s="22">
        <v>4</v>
      </c>
      <c r="L7" s="22">
        <v>0</v>
      </c>
      <c r="M7" s="90">
        <f t="shared" si="0"/>
        <v>4</v>
      </c>
      <c r="N7" s="101" t="s">
        <v>55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32</v>
      </c>
      <c r="E9" s="22">
        <v>38</v>
      </c>
      <c r="F9" s="22">
        <v>40</v>
      </c>
      <c r="G9" s="22">
        <v>10</v>
      </c>
      <c r="H9" s="22">
        <v>25</v>
      </c>
      <c r="I9" s="22">
        <v>38</v>
      </c>
      <c r="J9" s="22">
        <v>39</v>
      </c>
      <c r="K9" s="22">
        <v>162</v>
      </c>
      <c r="L9" s="22">
        <v>51</v>
      </c>
      <c r="M9" s="90">
        <f t="shared" ref="M9:M12" si="1">K9+L9</f>
        <v>213</v>
      </c>
      <c r="N9" s="81" t="s">
        <v>146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2</v>
      </c>
      <c r="I10" s="22">
        <v>2</v>
      </c>
      <c r="J10" s="22"/>
      <c r="K10" s="22">
        <v>4</v>
      </c>
      <c r="L10" s="22">
        <v>0</v>
      </c>
      <c r="M10" s="90">
        <f t="shared" si="1"/>
        <v>4</v>
      </c>
      <c r="N10" s="81" t="s">
        <v>55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12</v>
      </c>
      <c r="F11" s="22">
        <v>13</v>
      </c>
      <c r="G11" s="22"/>
      <c r="H11" s="22">
        <v>2</v>
      </c>
      <c r="I11" s="22">
        <v>10</v>
      </c>
      <c r="J11" s="22">
        <v>6</v>
      </c>
      <c r="K11" s="22">
        <v>36</v>
      </c>
      <c r="L11" s="22">
        <v>10</v>
      </c>
      <c r="M11" s="90">
        <f t="shared" si="1"/>
        <v>46</v>
      </c>
      <c r="N11" s="81" t="s">
        <v>214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45</v>
      </c>
      <c r="G14" s="22">
        <v>22</v>
      </c>
      <c r="H14" s="22">
        <v>20</v>
      </c>
      <c r="I14" s="22">
        <v>24</v>
      </c>
      <c r="J14" s="22">
        <v>16</v>
      </c>
      <c r="K14" s="22">
        <v>152</v>
      </c>
      <c r="L14" s="22">
        <v>40</v>
      </c>
      <c r="M14" s="90">
        <f t="shared" ref="M14" si="2">K14+L14</f>
        <v>192</v>
      </c>
      <c r="N14" s="100" t="s">
        <v>146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>
        <v>2</v>
      </c>
      <c r="E15" s="22">
        <v>3</v>
      </c>
      <c r="F15" s="22">
        <v>5</v>
      </c>
      <c r="G15" s="22"/>
      <c r="H15" s="22">
        <v>3</v>
      </c>
      <c r="I15" s="22">
        <v>2</v>
      </c>
      <c r="J15" s="22"/>
      <c r="K15" s="22">
        <v>15</v>
      </c>
      <c r="L15" s="22">
        <v>0</v>
      </c>
      <c r="M15" s="90">
        <f t="shared" ref="M15" si="3">K15+L15</f>
        <v>15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5</v>
      </c>
      <c r="E16" s="22">
        <v>8</v>
      </c>
      <c r="F16" s="22">
        <v>10</v>
      </c>
      <c r="G16" s="22">
        <v>7</v>
      </c>
      <c r="H16" s="22">
        <v>12</v>
      </c>
      <c r="I16" s="22">
        <v>5</v>
      </c>
      <c r="J16" s="22">
        <v>2</v>
      </c>
      <c r="K16" s="22">
        <v>27</v>
      </c>
      <c r="L16" s="22">
        <v>22</v>
      </c>
      <c r="M16" s="90">
        <f t="shared" ref="M16:M17" si="4">K16+L16</f>
        <v>49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/>
      <c r="G17" s="22"/>
      <c r="H17" s="22">
        <v>5</v>
      </c>
      <c r="I17" s="22">
        <v>8</v>
      </c>
      <c r="J17" s="22">
        <v>5</v>
      </c>
      <c r="K17" s="22">
        <v>22</v>
      </c>
      <c r="L17" s="22">
        <v>0</v>
      </c>
      <c r="M17" s="90">
        <f t="shared" si="4"/>
        <v>22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605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19</v>
      </c>
      <c r="O19" s="68">
        <v>984.11</v>
      </c>
      <c r="P19" s="46" t="s">
        <v>200</v>
      </c>
      <c r="Q19" s="64" t="s">
        <v>287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140</v>
      </c>
      <c r="O20" s="76" t="s">
        <v>62</v>
      </c>
      <c r="P20" s="74" t="s">
        <v>201</v>
      </c>
      <c r="Q20" s="64" t="s">
        <v>289</v>
      </c>
    </row>
    <row r="21" spans="1:20" ht="25.5" customHeight="1" x14ac:dyDescent="0.25">
      <c r="A21" s="16" t="s">
        <v>46</v>
      </c>
      <c r="B21" s="65">
        <v>206.26041666666666</v>
      </c>
      <c r="C21" s="65">
        <v>206.54166666666666</v>
      </c>
      <c r="D21" s="65">
        <f t="shared" ref="D21:D23" si="5">C21-B21</f>
        <v>0.28125</v>
      </c>
      <c r="E21" s="65">
        <v>206.59375</v>
      </c>
      <c r="F21" s="65">
        <v>206.875</v>
      </c>
      <c r="G21" s="65">
        <f t="shared" ref="G21" si="6">F21-E21</f>
        <v>0.28125</v>
      </c>
      <c r="H21" s="65">
        <v>206.91666666666666</v>
      </c>
      <c r="I21" s="65">
        <v>207.125</v>
      </c>
      <c r="J21" s="70">
        <f t="shared" ref="J21" si="7">I21-H21-K21</f>
        <v>0.20833333333334281</v>
      </c>
      <c r="K21" s="65"/>
      <c r="L21" s="72">
        <f>D21+G21+J21</f>
        <v>0.77083333333334281</v>
      </c>
      <c r="M21" s="151" t="s">
        <v>47</v>
      </c>
      <c r="N21" s="64">
        <f>M17+M12+M7</f>
        <v>26</v>
      </c>
      <c r="O21" s="77" t="s">
        <v>66</v>
      </c>
      <c r="P21" s="74" t="s">
        <v>288</v>
      </c>
      <c r="Q21" s="64" t="s">
        <v>290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 t="shared" si="5"/>
        <v>0.27083333333331439</v>
      </c>
      <c r="E22" s="65">
        <v>206.57638888888889</v>
      </c>
      <c r="F22" s="65">
        <v>206.875</v>
      </c>
      <c r="G22" s="65">
        <f t="shared" ref="G22" si="8">F22-E22</f>
        <v>0.29861111111111427</v>
      </c>
      <c r="H22" s="65">
        <v>206.875</v>
      </c>
      <c r="I22" s="65">
        <v>207.20833333333334</v>
      </c>
      <c r="J22" s="70">
        <f t="shared" ref="J22" si="9">I22-H22-K22</f>
        <v>0.33333333333334281</v>
      </c>
      <c r="K22" s="74"/>
      <c r="L22" s="72">
        <f>D22+G22+J22</f>
        <v>0.90277777777777146</v>
      </c>
      <c r="M22" s="240" t="s">
        <v>207</v>
      </c>
      <c r="N22" s="64">
        <v>38247.11</v>
      </c>
      <c r="O22" s="79" t="s">
        <v>63</v>
      </c>
      <c r="P22" s="74" t="s">
        <v>228</v>
      </c>
      <c r="Q22" s="64" t="s">
        <v>291</v>
      </c>
    </row>
    <row r="23" spans="1:20" ht="27" customHeight="1" x14ac:dyDescent="0.25">
      <c r="A23" s="154" t="s">
        <v>50</v>
      </c>
      <c r="B23" s="65">
        <v>206.3125</v>
      </c>
      <c r="C23" s="65">
        <v>206.54166666666666</v>
      </c>
      <c r="D23" s="65">
        <f t="shared" si="5"/>
        <v>0.22916666666665719</v>
      </c>
      <c r="E23" s="65">
        <v>206.58333333333334</v>
      </c>
      <c r="F23" s="65">
        <v>206.875</v>
      </c>
      <c r="G23" s="65">
        <f t="shared" ref="G23" si="10"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2"/>
      <c r="L23" s="153">
        <f>D23+G23+J23</f>
        <v>0.8125</v>
      </c>
      <c r="M23" s="151" t="s">
        <v>61</v>
      </c>
      <c r="N23" s="84">
        <v>8</v>
      </c>
      <c r="O23" s="85" t="s">
        <v>64</v>
      </c>
      <c r="P23" s="74" t="s">
        <v>0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0.78124999999997158</v>
      </c>
      <c r="E24" s="67"/>
      <c r="F24" s="67"/>
      <c r="G24" s="65">
        <f>SUM(G21:G23)</f>
        <v>0.87152777777777146</v>
      </c>
      <c r="H24" s="67"/>
      <c r="I24" s="67"/>
      <c r="J24" s="70">
        <f>SUM(J21:J23)</f>
        <v>0.83333333333337123</v>
      </c>
      <c r="K24" s="74"/>
      <c r="L24" s="82">
        <f>SUM(L21:L23)</f>
        <v>2.4861111111111143</v>
      </c>
      <c r="M24" s="156" t="s">
        <v>206</v>
      </c>
      <c r="N24" s="64">
        <v>30149.18</v>
      </c>
      <c r="P24" s="238" t="s">
        <v>203</v>
      </c>
      <c r="Q24" s="43">
        <v>44327.68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N24+Sheet4!O25</f>
        <v>70955.649999999994</v>
      </c>
      <c r="P25" s="151" t="s">
        <v>205</v>
      </c>
      <c r="Q25" s="86">
        <v>49205.599999999999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39" t="s">
        <v>204</v>
      </c>
      <c r="Q26" s="68">
        <f>Q24+Sheet1!Q26</f>
        <v>93619.489999999991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59.4</v>
      </c>
      <c r="M27" s="55"/>
      <c r="N27" s="87">
        <f>N22/L27</f>
        <v>643.89074074074074</v>
      </c>
      <c r="O27" s="80" t="s">
        <v>71</v>
      </c>
      <c r="P27" s="68"/>
      <c r="Q27" s="64" t="s">
        <v>292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9" workbookViewId="0">
      <selection activeCell="I23" sqref="I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298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34</v>
      </c>
      <c r="G4" s="22">
        <v>20</v>
      </c>
      <c r="H4" s="22">
        <v>25</v>
      </c>
      <c r="I4" s="22">
        <v>28</v>
      </c>
      <c r="J4" s="22">
        <v>15</v>
      </c>
      <c r="K4" s="22">
        <v>187</v>
      </c>
      <c r="L4" s="22">
        <v>0</v>
      </c>
      <c r="M4" s="90">
        <f t="shared" ref="M4:M5" si="0">K4+L4</f>
        <v>187</v>
      </c>
      <c r="N4" s="101" t="s">
        <v>55</v>
      </c>
      <c r="O4" s="92" t="s">
        <v>85</v>
      </c>
      <c r="P4" s="237" t="s">
        <v>86</v>
      </c>
      <c r="Q4" s="33" t="s">
        <v>13</v>
      </c>
    </row>
    <row r="5" spans="1:21" ht="32.2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214</v>
      </c>
      <c r="O5" s="65">
        <v>9.40625</v>
      </c>
      <c r="P5" s="65">
        <v>9.5729166666666661</v>
      </c>
      <c r="Q5" s="242" t="s">
        <v>305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5</v>
      </c>
      <c r="G6" s="22">
        <v>5</v>
      </c>
      <c r="H6" s="22">
        <v>4</v>
      </c>
      <c r="I6" s="22"/>
      <c r="J6" s="22"/>
      <c r="K6" s="22">
        <v>25</v>
      </c>
      <c r="L6" s="22">
        <v>4</v>
      </c>
      <c r="M6" s="90">
        <f t="shared" ref="M6" si="1">K6+L6</f>
        <v>29</v>
      </c>
      <c r="N6" s="101" t="s">
        <v>55</v>
      </c>
      <c r="O6" s="93"/>
      <c r="P6" s="64"/>
      <c r="Q6" s="321" t="s">
        <v>306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>
        <v>2</v>
      </c>
      <c r="K7" s="22">
        <v>2</v>
      </c>
      <c r="L7" s="22">
        <v>0</v>
      </c>
      <c r="M7" s="90">
        <f t="shared" ref="M7" si="2">K7+L7</f>
        <v>2</v>
      </c>
      <c r="N7" s="101" t="s">
        <v>55</v>
      </c>
      <c r="O7" s="94"/>
      <c r="P7" s="64"/>
      <c r="Q7" s="322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276" t="s">
        <v>307</v>
      </c>
    </row>
    <row r="9" spans="1:21" ht="12" customHeight="1" x14ac:dyDescent="0.25">
      <c r="A9" s="33"/>
      <c r="B9" s="34" t="s">
        <v>14</v>
      </c>
      <c r="C9" s="22"/>
      <c r="D9" s="22">
        <v>29</v>
      </c>
      <c r="E9" s="22">
        <v>37</v>
      </c>
      <c r="F9" s="22">
        <v>29</v>
      </c>
      <c r="G9" s="22">
        <v>29</v>
      </c>
      <c r="H9" s="22">
        <v>26</v>
      </c>
      <c r="I9" s="22">
        <v>26</v>
      </c>
      <c r="J9" s="22">
        <v>26</v>
      </c>
      <c r="K9" s="22">
        <v>141</v>
      </c>
      <c r="L9" s="22">
        <v>61</v>
      </c>
      <c r="M9" s="90">
        <f t="shared" ref="M9:M12" si="3">K9+L9</f>
        <v>202</v>
      </c>
      <c r="N9" s="81" t="s">
        <v>146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5</v>
      </c>
      <c r="F10" s="22">
        <v>2</v>
      </c>
      <c r="G10" s="22">
        <v>2</v>
      </c>
      <c r="H10" s="22">
        <v>2</v>
      </c>
      <c r="I10" s="22">
        <v>1</v>
      </c>
      <c r="J10" s="22" t="s">
        <v>13</v>
      </c>
      <c r="K10" s="22">
        <v>64</v>
      </c>
      <c r="L10" s="22">
        <v>0</v>
      </c>
      <c r="M10" s="90">
        <f t="shared" si="3"/>
        <v>64</v>
      </c>
      <c r="N10" s="81" t="s">
        <v>219</v>
      </c>
      <c r="O10" s="311" t="s">
        <v>117</v>
      </c>
      <c r="P10" s="312"/>
      <c r="Q10" s="43" t="s">
        <v>70</v>
      </c>
      <c r="U10" s="1" t="s">
        <v>13</v>
      </c>
    </row>
    <row r="11" spans="1:21" ht="25.5" customHeight="1" x14ac:dyDescent="0.25">
      <c r="A11" s="35" t="s">
        <v>28</v>
      </c>
      <c r="B11" s="34" t="s">
        <v>18</v>
      </c>
      <c r="C11" s="22"/>
      <c r="D11" s="22"/>
      <c r="E11" s="22">
        <v>7</v>
      </c>
      <c r="F11" s="22">
        <v>2</v>
      </c>
      <c r="G11" s="22">
        <v>3</v>
      </c>
      <c r="H11" s="22">
        <v>2</v>
      </c>
      <c r="I11" s="22">
        <v>5</v>
      </c>
      <c r="J11" s="22">
        <v>5</v>
      </c>
      <c r="K11" s="22">
        <v>22</v>
      </c>
      <c r="L11" s="22">
        <v>10</v>
      </c>
      <c r="M11" s="90">
        <f t="shared" si="3"/>
        <v>32</v>
      </c>
      <c r="N11" s="81" t="s">
        <v>55</v>
      </c>
      <c r="O11" s="65">
        <v>9.8125</v>
      </c>
      <c r="P11" s="65">
        <v>9.8958333333333339</v>
      </c>
      <c r="Q11" s="275" t="s">
        <v>308</v>
      </c>
    </row>
    <row r="12" spans="1:21" ht="13.5" customHeight="1" x14ac:dyDescent="0.25">
      <c r="A12" s="36"/>
      <c r="B12" s="34" t="s">
        <v>19</v>
      </c>
      <c r="C12" s="22"/>
      <c r="D12" s="22">
        <v>5</v>
      </c>
      <c r="E12" s="22">
        <v>7</v>
      </c>
      <c r="F12" s="22">
        <v>8</v>
      </c>
      <c r="G12" s="22">
        <v>4</v>
      </c>
      <c r="H12" s="22">
        <v>1</v>
      </c>
      <c r="I12" s="22"/>
      <c r="J12" s="22"/>
      <c r="K12" s="22">
        <v>14</v>
      </c>
      <c r="L12" s="22">
        <v>10</v>
      </c>
      <c r="M12" s="90">
        <f t="shared" si="3"/>
        <v>24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22</v>
      </c>
      <c r="E14" s="22">
        <v>28</v>
      </c>
      <c r="F14" s="22">
        <v>30</v>
      </c>
      <c r="G14" s="22">
        <v>18</v>
      </c>
      <c r="H14" s="22">
        <v>20</v>
      </c>
      <c r="I14" s="22">
        <v>18</v>
      </c>
      <c r="J14" s="22">
        <v>17</v>
      </c>
      <c r="K14" s="22">
        <v>115</v>
      </c>
      <c r="L14" s="22">
        <v>38</v>
      </c>
      <c r="M14" s="90">
        <f t="shared" ref="M14:M17" si="4">K14+L14</f>
        <v>153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>
        <v>5</v>
      </c>
      <c r="E15" s="22">
        <v>3</v>
      </c>
      <c r="F15" s="22">
        <v>4</v>
      </c>
      <c r="G15" s="22">
        <v>5</v>
      </c>
      <c r="H15" s="22">
        <v>2</v>
      </c>
      <c r="I15" s="22">
        <v>1</v>
      </c>
      <c r="J15" s="22"/>
      <c r="K15" s="22">
        <v>20</v>
      </c>
      <c r="L15" s="22">
        <v>0</v>
      </c>
      <c r="M15" s="90">
        <f t="shared" si="4"/>
        <v>20</v>
      </c>
      <c r="N15" s="100" t="s">
        <v>146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>
        <v>5</v>
      </c>
      <c r="E16" s="22">
        <v>7</v>
      </c>
      <c r="F16" s="22">
        <v>8</v>
      </c>
      <c r="G16" s="22">
        <v>10</v>
      </c>
      <c r="H16" s="22">
        <v>15</v>
      </c>
      <c r="I16" s="22">
        <v>7</v>
      </c>
      <c r="J16" s="22">
        <v>1</v>
      </c>
      <c r="K16" s="22">
        <v>20</v>
      </c>
      <c r="L16" s="22">
        <v>25</v>
      </c>
      <c r="M16" s="90">
        <f t="shared" si="4"/>
        <v>45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2</v>
      </c>
      <c r="G17" s="22">
        <v>3</v>
      </c>
      <c r="H17" s="22">
        <v>1</v>
      </c>
      <c r="I17" s="22"/>
      <c r="J17" s="22"/>
      <c r="K17" s="22">
        <v>6</v>
      </c>
      <c r="L17" s="22">
        <v>0</v>
      </c>
      <c r="M17" s="90">
        <f t="shared" si="4"/>
        <v>6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542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84</v>
      </c>
      <c r="O19" s="68">
        <v>2153.84</v>
      </c>
      <c r="P19" s="46" t="s">
        <v>220</v>
      </c>
      <c r="Q19" s="64" t="s">
        <v>299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106</v>
      </c>
      <c r="O20" s="76" t="s">
        <v>62</v>
      </c>
      <c r="P20" s="74" t="s">
        <v>250</v>
      </c>
      <c r="Q20" s="64" t="s">
        <v>300</v>
      </c>
    </row>
    <row r="21" spans="1:20" ht="25.5" customHeight="1" x14ac:dyDescent="0.25">
      <c r="A21" s="16" t="s">
        <v>46</v>
      </c>
      <c r="B21" s="65">
        <v>206.27083333333334</v>
      </c>
      <c r="C21" s="65">
        <v>206.40625</v>
      </c>
      <c r="D21" s="65">
        <f t="shared" ref="D21:D23" si="5">C21-B21</f>
        <v>0.13541666666665719</v>
      </c>
      <c r="E21" s="65">
        <v>206.61111111111111</v>
      </c>
      <c r="F21" s="65">
        <v>206.875</v>
      </c>
      <c r="G21" s="65">
        <f>F21-E21</f>
        <v>0.26388888888888573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0.68402777777777146</v>
      </c>
      <c r="M21" s="151" t="s">
        <v>47</v>
      </c>
      <c r="N21" s="64">
        <f>M17+M12+M7</f>
        <v>32</v>
      </c>
      <c r="O21" s="77" t="s">
        <v>66</v>
      </c>
      <c r="P21" s="74" t="s">
        <v>301</v>
      </c>
      <c r="Q21" s="64" t="s">
        <v>302</v>
      </c>
    </row>
    <row r="22" spans="1:20" ht="27" customHeight="1" x14ac:dyDescent="0.25">
      <c r="A22" s="16" t="s">
        <v>48</v>
      </c>
      <c r="B22" s="65">
        <v>206.25347222222223</v>
      </c>
      <c r="C22" s="65">
        <v>206.54166666666666</v>
      </c>
      <c r="D22" s="65">
        <f t="shared" si="5"/>
        <v>0.28819444444442865</v>
      </c>
      <c r="E22" s="65">
        <v>206.60763888888889</v>
      </c>
      <c r="F22" s="65">
        <v>206.8125</v>
      </c>
      <c r="G22" s="65">
        <f>F22-E22</f>
        <v>0.20486111111111427</v>
      </c>
      <c r="H22" s="65">
        <v>206.92708333333334</v>
      </c>
      <c r="I22" s="65">
        <v>207.20833333333334</v>
      </c>
      <c r="J22" s="70">
        <f>I22-H22-K22</f>
        <v>0.28125</v>
      </c>
      <c r="K22" s="74"/>
      <c r="L22" s="72">
        <f>D22+G22+J22</f>
        <v>0.77430555555554292</v>
      </c>
      <c r="M22" s="240" t="s">
        <v>207</v>
      </c>
      <c r="N22" s="64">
        <v>34753.839999999997</v>
      </c>
      <c r="O22" s="79" t="s">
        <v>63</v>
      </c>
      <c r="P22" s="74" t="s">
        <v>303</v>
      </c>
      <c r="Q22" s="64" t="s">
        <v>304</v>
      </c>
    </row>
    <row r="23" spans="1:20" ht="27" customHeight="1" x14ac:dyDescent="0.25">
      <c r="A23" s="154" t="s">
        <v>50</v>
      </c>
      <c r="B23" s="65">
        <v>206.29166666666666</v>
      </c>
      <c r="C23" s="65">
        <v>206.52083333333334</v>
      </c>
      <c r="D23" s="65">
        <f t="shared" si="5"/>
        <v>0.22916666666668561</v>
      </c>
      <c r="E23" s="65">
        <v>206.59375</v>
      </c>
      <c r="F23" s="65">
        <v>206.875</v>
      </c>
      <c r="G23" s="65">
        <f>F23-E23</f>
        <v>0.28125</v>
      </c>
      <c r="H23" s="65">
        <v>206.9375</v>
      </c>
      <c r="I23" s="65">
        <v>207.20833333333334</v>
      </c>
      <c r="J23" s="70">
        <f>I23-H23-K23</f>
        <v>0.27083333333334281</v>
      </c>
      <c r="K23" s="152"/>
      <c r="L23" s="153">
        <f>D23+G23+J23</f>
        <v>0.78125000000002842</v>
      </c>
      <c r="M23" s="151" t="s">
        <v>61</v>
      </c>
      <c r="N23" s="84">
        <v>9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0.65277777777777146</v>
      </c>
      <c r="E24" s="67"/>
      <c r="F24" s="67"/>
      <c r="G24" s="65">
        <f>SUM(G21:G23)</f>
        <v>0.75</v>
      </c>
      <c r="H24" s="67"/>
      <c r="I24" s="67"/>
      <c r="J24" s="70">
        <f>SUM(J21:J23)</f>
        <v>0.83680555555557135</v>
      </c>
      <c r="K24" s="74"/>
      <c r="L24" s="82">
        <f>SUM(L21:L23)</f>
        <v>2.2395833333333428</v>
      </c>
      <c r="M24" s="156" t="s">
        <v>206</v>
      </c>
      <c r="N24" s="64">
        <v>33401.81</v>
      </c>
      <c r="P24" s="238" t="s">
        <v>203</v>
      </c>
      <c r="Q24" s="43">
        <v>45038.45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N24+Sheet5!O25</f>
        <v>104357.45999999999</v>
      </c>
      <c r="P25" s="151" t="s">
        <v>205</v>
      </c>
      <c r="Q25" s="86">
        <v>48982.12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45000</v>
      </c>
      <c r="P26" s="239" t="s">
        <v>204</v>
      </c>
      <c r="Q26" s="68">
        <f>Q24+Sheet5!Q26</f>
        <v>138657.94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53.45</v>
      </c>
      <c r="M27" s="55"/>
      <c r="N27" s="87">
        <f>N22/L27</f>
        <v>650.21216089803545</v>
      </c>
      <c r="O27" s="80" t="s">
        <v>71</v>
      </c>
      <c r="P27" s="68"/>
      <c r="Q27" s="64" t="s">
        <v>309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1" workbookViewId="0">
      <selection activeCell="J24" sqref="J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30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19</v>
      </c>
      <c r="E4" s="22">
        <v>20</v>
      </c>
      <c r="F4" s="22">
        <v>20</v>
      </c>
      <c r="G4" s="22">
        <v>11</v>
      </c>
      <c r="H4" s="22">
        <v>15</v>
      </c>
      <c r="I4" s="22">
        <v>17</v>
      </c>
      <c r="J4" s="22">
        <v>16</v>
      </c>
      <c r="K4" s="22">
        <v>105</v>
      </c>
      <c r="L4" s="22">
        <v>13</v>
      </c>
      <c r="M4" s="90">
        <v>118</v>
      </c>
      <c r="N4" s="101" t="s">
        <v>55</v>
      </c>
      <c r="O4" s="92" t="s">
        <v>85</v>
      </c>
      <c r="P4" s="237" t="s">
        <v>86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ref="M5:M6" si="0">K5+L5</f>
        <v>0</v>
      </c>
      <c r="N5" s="101" t="s">
        <v>55</v>
      </c>
      <c r="O5" s="65">
        <v>206.39583333333334</v>
      </c>
      <c r="P5" s="65">
        <v>14.583333333333334</v>
      </c>
      <c r="Q5" s="33" t="s">
        <v>326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12</v>
      </c>
      <c r="F6" s="22">
        <v>13</v>
      </c>
      <c r="G6" s="22"/>
      <c r="H6" s="22">
        <v>5</v>
      </c>
      <c r="I6" s="22"/>
      <c r="J6" s="22"/>
      <c r="K6" s="22">
        <v>35</v>
      </c>
      <c r="L6" s="22">
        <v>5</v>
      </c>
      <c r="M6" s="90">
        <f t="shared" si="0"/>
        <v>40</v>
      </c>
      <c r="N6" s="101" t="s">
        <v>55</v>
      </c>
      <c r="O6" s="93"/>
      <c r="P6" s="64"/>
      <c r="Q6" s="319" t="s">
        <v>13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>
        <v>0</v>
      </c>
      <c r="F7" s="22">
        <v>0</v>
      </c>
      <c r="G7" s="22">
        <v>2</v>
      </c>
      <c r="H7" s="22">
        <v>3</v>
      </c>
      <c r="I7" s="22">
        <v>4</v>
      </c>
      <c r="J7" s="22"/>
      <c r="K7" s="22">
        <v>11</v>
      </c>
      <c r="L7" s="22">
        <v>0</v>
      </c>
      <c r="M7" s="90">
        <f t="shared" ref="M7" si="1">K7+L7</f>
        <v>11</v>
      </c>
      <c r="N7" s="101" t="s">
        <v>55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23</v>
      </c>
      <c r="E9" s="22">
        <v>27</v>
      </c>
      <c r="F9" s="22">
        <v>33</v>
      </c>
      <c r="G9" s="22">
        <v>35</v>
      </c>
      <c r="H9" s="22">
        <v>45</v>
      </c>
      <c r="I9" s="22">
        <v>37</v>
      </c>
      <c r="J9" s="22">
        <v>18</v>
      </c>
      <c r="K9" s="22">
        <v>128</v>
      </c>
      <c r="L9" s="22">
        <v>90</v>
      </c>
      <c r="M9" s="90">
        <f t="shared" ref="M9:M10" si="2">K9+L9</f>
        <v>218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7</v>
      </c>
      <c r="F10" s="22">
        <v>2</v>
      </c>
      <c r="G10" s="22">
        <v>4</v>
      </c>
      <c r="H10" s="22">
        <v>2</v>
      </c>
      <c r="I10" s="22">
        <v>2</v>
      </c>
      <c r="J10" s="22">
        <v>1</v>
      </c>
      <c r="K10" s="22">
        <v>21</v>
      </c>
      <c r="L10" s="22">
        <v>0</v>
      </c>
      <c r="M10" s="90">
        <f t="shared" si="2"/>
        <v>21</v>
      </c>
      <c r="N10" s="81" t="s">
        <v>324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</v>
      </c>
      <c r="E11" s="22">
        <v>1</v>
      </c>
      <c r="F11" s="22"/>
      <c r="G11" s="22"/>
      <c r="H11" s="22"/>
      <c r="I11" s="22"/>
      <c r="J11" s="22"/>
      <c r="K11" s="22">
        <v>2</v>
      </c>
      <c r="L11" s="22">
        <v>0</v>
      </c>
      <c r="M11" s="90">
        <f t="shared" ref="M11:M12" si="3">K11+L11</f>
        <v>2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>
        <v>2</v>
      </c>
      <c r="G12" s="22">
        <v>3</v>
      </c>
      <c r="H12" s="22">
        <v>4</v>
      </c>
      <c r="I12" s="22"/>
      <c r="J12" s="22"/>
      <c r="K12" s="22">
        <v>6</v>
      </c>
      <c r="L12" s="22">
        <v>3</v>
      </c>
      <c r="M12" s="90">
        <f t="shared" si="3"/>
        <v>9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28</v>
      </c>
      <c r="E14" s="22">
        <v>32</v>
      </c>
      <c r="F14" s="22">
        <v>35</v>
      </c>
      <c r="G14" s="22">
        <v>23</v>
      </c>
      <c r="H14" s="22">
        <v>31</v>
      </c>
      <c r="I14" s="22">
        <v>29</v>
      </c>
      <c r="J14" s="22">
        <v>20</v>
      </c>
      <c r="K14" s="22">
        <v>148</v>
      </c>
      <c r="L14" s="22">
        <v>50</v>
      </c>
      <c r="M14" s="90">
        <f t="shared" ref="M14:M17" si="4">K14+L14</f>
        <v>198</v>
      </c>
      <c r="N14" s="100" t="s">
        <v>214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>
        <v>2</v>
      </c>
      <c r="E15" s="22">
        <v>1</v>
      </c>
      <c r="F15" s="22">
        <v>3</v>
      </c>
      <c r="G15" s="22"/>
      <c r="H15" s="22">
        <v>2</v>
      </c>
      <c r="I15" s="22">
        <v>2</v>
      </c>
      <c r="J15" s="22" t="s">
        <v>13</v>
      </c>
      <c r="K15" s="22">
        <v>10</v>
      </c>
      <c r="L15" s="22">
        <v>0</v>
      </c>
      <c r="M15" s="90">
        <f t="shared" si="4"/>
        <v>10</v>
      </c>
      <c r="N15" s="100" t="s">
        <v>55</v>
      </c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0">
        <f t="shared" si="4"/>
        <v>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3</v>
      </c>
      <c r="F17" s="22">
        <v>3</v>
      </c>
      <c r="G17" s="22">
        <v>2</v>
      </c>
      <c r="H17" s="22">
        <v>2</v>
      </c>
      <c r="I17" s="22">
        <v>3</v>
      </c>
      <c r="J17" s="22" t="s">
        <v>13</v>
      </c>
      <c r="K17" s="22">
        <v>10</v>
      </c>
      <c r="L17" s="22">
        <v>5</v>
      </c>
      <c r="M17" s="90">
        <f t="shared" si="4"/>
        <v>15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534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31</v>
      </c>
      <c r="O19" s="68">
        <v>2202.71</v>
      </c>
      <c r="P19" s="46" t="s">
        <v>316</v>
      </c>
      <c r="Q19" s="64" t="s">
        <v>317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42</v>
      </c>
      <c r="O20" s="76" t="s">
        <v>62</v>
      </c>
      <c r="P20" s="74" t="s">
        <v>318</v>
      </c>
      <c r="Q20" s="64" t="s">
        <v>319</v>
      </c>
    </row>
    <row r="21" spans="1:20" ht="25.5" customHeight="1" x14ac:dyDescent="0.25">
      <c r="A21" s="16" t="s">
        <v>46</v>
      </c>
      <c r="B21" s="65">
        <v>206.25</v>
      </c>
      <c r="C21" s="65">
        <v>206.39583333333334</v>
      </c>
      <c r="D21" s="65">
        <f t="shared" ref="D21" si="5">C21-B21</f>
        <v>0.14583333333334281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0.73611111111111427</v>
      </c>
      <c r="M21" s="151" t="s">
        <v>47</v>
      </c>
      <c r="N21" s="64">
        <f>M17+M12+M7</f>
        <v>35</v>
      </c>
      <c r="O21" s="77" t="s">
        <v>66</v>
      </c>
      <c r="P21" s="74" t="s">
        <v>320</v>
      </c>
      <c r="Q21" s="64" t="s">
        <v>321</v>
      </c>
    </row>
    <row r="22" spans="1:20" ht="27" customHeight="1" x14ac:dyDescent="0.25">
      <c r="A22" s="16" t="s">
        <v>48</v>
      </c>
      <c r="B22" s="65">
        <v>206.26388888888889</v>
      </c>
      <c r="C22" s="65">
        <v>206.54166666666666</v>
      </c>
      <c r="D22" s="65">
        <f t="shared" ref="D22" si="6">C22-B22</f>
        <v>0.27777777777777146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0.86805555555557135</v>
      </c>
      <c r="M22" s="240" t="s">
        <v>207</v>
      </c>
      <c r="N22" s="64">
        <v>31102.71</v>
      </c>
      <c r="O22" s="79" t="s">
        <v>63</v>
      </c>
      <c r="P22" s="74" t="s">
        <v>224</v>
      </c>
      <c r="Q22" s="64" t="s">
        <v>322</v>
      </c>
    </row>
    <row r="23" spans="1:20" ht="27" customHeight="1" x14ac:dyDescent="0.25">
      <c r="A23" s="154" t="s">
        <v>50</v>
      </c>
      <c r="B23" s="65">
        <v>206.32638888888889</v>
      </c>
      <c r="C23" s="65">
        <v>206.54166666666666</v>
      </c>
      <c r="D23" s="65">
        <f t="shared" ref="D23" si="7">C23-B23</f>
        <v>0.21527777777777146</v>
      </c>
      <c r="E23" s="65">
        <v>206.57986111111111</v>
      </c>
      <c r="F23" s="65">
        <v>206.875</v>
      </c>
      <c r="G23" s="65">
        <f>F23-E23</f>
        <v>0.29513888888888573</v>
      </c>
      <c r="H23" s="65">
        <v>206.92013888888889</v>
      </c>
      <c r="I23" s="65">
        <v>207.20833333333334</v>
      </c>
      <c r="J23" s="70">
        <f>I23-H23-K23</f>
        <v>0.28819444444445708</v>
      </c>
      <c r="K23" s="152"/>
      <c r="L23" s="153">
        <f>D23+G23+J23</f>
        <v>0.79861111111111427</v>
      </c>
      <c r="M23" s="151" t="s">
        <v>61</v>
      </c>
      <c r="N23" s="84">
        <v>9</v>
      </c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6"/>
      <c r="C24" s="66"/>
      <c r="D24" s="65">
        <f>SUM(D21:D23)</f>
        <v>0.63888888888888573</v>
      </c>
      <c r="E24" s="67"/>
      <c r="F24" s="67"/>
      <c r="G24" s="65">
        <f>SUM(G21:G23)</f>
        <v>0.88541666666665719</v>
      </c>
      <c r="H24" s="67"/>
      <c r="I24" s="67"/>
      <c r="J24" s="70">
        <f>SUM(J21:J23)</f>
        <v>0.87847222222225696</v>
      </c>
      <c r="K24" s="74"/>
      <c r="L24" s="82">
        <f>SUM(L21:L23)</f>
        <v>2.4027777777777999</v>
      </c>
      <c r="M24" s="156" t="s">
        <v>206</v>
      </c>
      <c r="N24" s="64">
        <v>33485.54</v>
      </c>
      <c r="P24" s="238" t="s">
        <v>203</v>
      </c>
      <c r="Q24" s="43">
        <v>43655.76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N24+Sheet6!O25</f>
        <v>137843</v>
      </c>
      <c r="P25" s="151" t="s">
        <v>205</v>
      </c>
      <c r="Q25" s="86">
        <v>43151.76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47000</v>
      </c>
      <c r="P26" s="239" t="s">
        <v>204</v>
      </c>
      <c r="Q26" s="68">
        <f>Q24+Sheet6!Q26</f>
        <v>182313.7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57.4</v>
      </c>
      <c r="M27" s="55"/>
      <c r="N27" s="87">
        <f>N22/L27</f>
        <v>541.85905923344944</v>
      </c>
      <c r="O27" s="80" t="s">
        <v>71</v>
      </c>
      <c r="P27" s="68"/>
      <c r="Q27" s="64" t="s">
        <v>323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L24" sqref="L24"/>
    </sheetView>
  </sheetViews>
  <sheetFormatPr defaultRowHeight="12.75" x14ac:dyDescent="0.25"/>
  <cols>
    <col min="1" max="1" width="7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9" width="9.140625" style="1"/>
    <col min="20" max="20" width="7.5703125" style="1" customWidth="1"/>
    <col min="21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315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.75" customHeight="1" x14ac:dyDescent="0.25">
      <c r="A4" s="20"/>
      <c r="B4" s="21" t="s">
        <v>14</v>
      </c>
      <c r="C4" s="22"/>
      <c r="D4" s="22">
        <v>21</v>
      </c>
      <c r="E4" s="22">
        <v>30</v>
      </c>
      <c r="F4" s="22">
        <v>30</v>
      </c>
      <c r="G4" s="22">
        <v>10</v>
      </c>
      <c r="H4" s="22">
        <v>20</v>
      </c>
      <c r="I4" s="22">
        <v>20</v>
      </c>
      <c r="J4" s="22">
        <v>19</v>
      </c>
      <c r="K4" s="22">
        <v>90</v>
      </c>
      <c r="L4" s="22">
        <v>60</v>
      </c>
      <c r="M4" s="90">
        <f t="shared" ref="M4:M7" si="0">K4+L4</f>
        <v>150</v>
      </c>
      <c r="N4" s="101" t="s">
        <v>146</v>
      </c>
      <c r="O4" s="92" t="s">
        <v>85</v>
      </c>
      <c r="P4" s="237" t="s">
        <v>86</v>
      </c>
      <c r="Q4" s="33" t="s">
        <v>13</v>
      </c>
    </row>
    <row r="5" spans="1:21" ht="27.7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 t="shared" si="0"/>
        <v>0</v>
      </c>
      <c r="N5" s="101" t="s">
        <v>55</v>
      </c>
      <c r="O5" s="65">
        <v>206.54166666666666</v>
      </c>
      <c r="P5" s="65">
        <v>207.20833333333334</v>
      </c>
      <c r="Q5" s="33" t="s">
        <v>334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0">
        <f t="shared" si="0"/>
        <v>0</v>
      </c>
      <c r="N6" s="101" t="s">
        <v>214</v>
      </c>
      <c r="O6" s="93"/>
      <c r="P6" s="64"/>
      <c r="Q6" s="321" t="s">
        <v>339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>
        <v>2</v>
      </c>
      <c r="F7" s="22"/>
      <c r="G7" s="22"/>
      <c r="H7" s="22">
        <v>7</v>
      </c>
      <c r="I7" s="22">
        <v>6</v>
      </c>
      <c r="J7" s="22">
        <v>2</v>
      </c>
      <c r="K7" s="22">
        <v>15</v>
      </c>
      <c r="L7" s="22">
        <v>2</v>
      </c>
      <c r="M7" s="90">
        <f t="shared" si="0"/>
        <v>17</v>
      </c>
      <c r="N7" s="101" t="s">
        <v>55</v>
      </c>
      <c r="O7" s="94"/>
      <c r="P7" s="64"/>
      <c r="Q7" s="322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14</v>
      </c>
      <c r="E9" s="22">
        <v>26</v>
      </c>
      <c r="F9" s="22"/>
      <c r="G9" s="22">
        <v>20</v>
      </c>
      <c r="H9" s="22">
        <v>25</v>
      </c>
      <c r="I9" s="22"/>
      <c r="J9" s="22"/>
      <c r="K9" s="22">
        <v>150</v>
      </c>
      <c r="L9" s="22">
        <v>4</v>
      </c>
      <c r="M9" s="90">
        <f t="shared" ref="M9" si="1">K9+L9</f>
        <v>154</v>
      </c>
      <c r="N9" s="81" t="s">
        <v>293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0">
        <f t="shared" ref="M10" si="2">K10+L10</f>
        <v>0</v>
      </c>
      <c r="N10" s="81" t="s">
        <v>146</v>
      </c>
      <c r="O10" s="311" t="s">
        <v>117</v>
      </c>
      <c r="P10" s="312"/>
      <c r="Q10" s="43" t="s">
        <v>70</v>
      </c>
      <c r="U10" s="1" t="s">
        <v>13</v>
      </c>
    </row>
    <row r="11" spans="1:21" ht="41.25" customHeight="1" x14ac:dyDescent="0.25">
      <c r="A11" s="35" t="s">
        <v>28</v>
      </c>
      <c r="B11" s="34" t="s">
        <v>18</v>
      </c>
      <c r="C11" s="22"/>
      <c r="D11" s="22">
        <v>3</v>
      </c>
      <c r="E11" s="22"/>
      <c r="F11" s="22"/>
      <c r="G11" s="22"/>
      <c r="H11" s="22"/>
      <c r="I11" s="22"/>
      <c r="J11" s="22"/>
      <c r="K11" s="22">
        <v>3</v>
      </c>
      <c r="L11" s="22">
        <v>0</v>
      </c>
      <c r="M11" s="90">
        <f t="shared" ref="M11:M12" si="3">K11+L11</f>
        <v>3</v>
      </c>
      <c r="N11" s="81" t="s">
        <v>55</v>
      </c>
      <c r="O11" s="65">
        <v>206.38888888888889</v>
      </c>
      <c r="P11" s="65">
        <v>206.58333333333334</v>
      </c>
      <c r="Q11" s="242" t="s">
        <v>338</v>
      </c>
    </row>
    <row r="12" spans="1:21" ht="16.5" customHeight="1" x14ac:dyDescent="0.25">
      <c r="A12" s="36"/>
      <c r="B12" s="34" t="s">
        <v>19</v>
      </c>
      <c r="C12" s="22"/>
      <c r="D12" s="22"/>
      <c r="E12" s="22">
        <v>2</v>
      </c>
      <c r="F12" s="22">
        <v>1</v>
      </c>
      <c r="G12" s="22"/>
      <c r="H12" s="22">
        <v>2</v>
      </c>
      <c r="I12" s="22"/>
      <c r="J12" s="22"/>
      <c r="K12" s="22">
        <v>5</v>
      </c>
      <c r="L12" s="22">
        <v>0</v>
      </c>
      <c r="M12" s="90">
        <f t="shared" si="3"/>
        <v>5</v>
      </c>
      <c r="N12" s="81"/>
      <c r="O12" s="65" t="s">
        <v>13</v>
      </c>
      <c r="P12" s="65" t="s">
        <v>13</v>
      </c>
      <c r="Q12" s="242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O13" s="65" t="s">
        <v>13</v>
      </c>
      <c r="P13" s="65" t="s">
        <v>13</v>
      </c>
      <c r="Q13" s="242" t="s">
        <v>13</v>
      </c>
      <c r="U13" s="1">
        <f>167660.74-197127.07</f>
        <v>-29466.330000000016</v>
      </c>
    </row>
    <row r="14" spans="1:21" ht="15" x14ac:dyDescent="0.25">
      <c r="A14" s="33"/>
      <c r="B14" s="21" t="s">
        <v>14</v>
      </c>
      <c r="C14" s="22"/>
      <c r="D14" s="22">
        <v>18</v>
      </c>
      <c r="E14" s="22">
        <v>12</v>
      </c>
      <c r="F14" s="22">
        <v>14</v>
      </c>
      <c r="G14" s="22">
        <v>17</v>
      </c>
      <c r="H14" s="22">
        <v>14</v>
      </c>
      <c r="I14" s="22">
        <v>18</v>
      </c>
      <c r="J14" s="22">
        <v>12</v>
      </c>
      <c r="K14" s="22">
        <v>105</v>
      </c>
      <c r="L14" s="22">
        <v>0</v>
      </c>
      <c r="M14" s="90">
        <f t="shared" ref="M14:M17" si="4">K14+L14</f>
        <v>105</v>
      </c>
      <c r="N14" s="100" t="s">
        <v>55</v>
      </c>
      <c r="O14" s="98"/>
      <c r="P14" s="81"/>
      <c r="Q14" s="37"/>
      <c r="U14" s="1" t="s">
        <v>13</v>
      </c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/>
      <c r="F15" s="22"/>
      <c r="G15" s="22">
        <v>5</v>
      </c>
      <c r="H15" s="22">
        <v>8</v>
      </c>
      <c r="I15" s="22">
        <v>7</v>
      </c>
      <c r="J15" s="22">
        <v>5</v>
      </c>
      <c r="K15" s="22">
        <v>25</v>
      </c>
      <c r="L15" s="22">
        <v>0</v>
      </c>
      <c r="M15" s="90">
        <f t="shared" si="4"/>
        <v>25</v>
      </c>
      <c r="N15" s="100"/>
      <c r="O15" s="99"/>
      <c r="P15" s="81"/>
      <c r="Q15" s="37"/>
      <c r="U15" s="1" t="s">
        <v>13</v>
      </c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0">
        <f t="shared" si="4"/>
        <v>0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8</v>
      </c>
      <c r="E17" s="22">
        <v>10</v>
      </c>
      <c r="F17" s="22">
        <v>12</v>
      </c>
      <c r="G17" s="22">
        <v>7</v>
      </c>
      <c r="H17" s="22">
        <v>5</v>
      </c>
      <c r="I17" s="22">
        <v>2</v>
      </c>
      <c r="J17" s="22">
        <v>2</v>
      </c>
      <c r="K17" s="22">
        <v>46</v>
      </c>
      <c r="L17" s="22">
        <v>0</v>
      </c>
      <c r="M17" s="90">
        <f t="shared" si="4"/>
        <v>46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409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25</v>
      </c>
      <c r="O19" s="68">
        <v>1363.28</v>
      </c>
      <c r="P19" s="46" t="s">
        <v>200</v>
      </c>
      <c r="Q19" s="64" t="s">
        <v>328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3</v>
      </c>
      <c r="O20" s="76" t="s">
        <v>62</v>
      </c>
      <c r="P20" s="74" t="s">
        <v>329</v>
      </c>
      <c r="Q20" s="64" t="s">
        <v>330</v>
      </c>
    </row>
    <row r="21" spans="1:20" ht="25.5" customHeight="1" x14ac:dyDescent="0.25">
      <c r="A21" s="16" t="s">
        <v>46</v>
      </c>
      <c r="B21" s="65">
        <v>206.25</v>
      </c>
      <c r="C21" s="65">
        <v>206.38888888888889</v>
      </c>
      <c r="D21" s="65">
        <f t="shared" ref="D21:D23" si="5">C21-B21</f>
        <v>0.13888888888888573</v>
      </c>
      <c r="E21" s="65">
        <v>206.59027777777777</v>
      </c>
      <c r="F21" s="65">
        <v>206.875</v>
      </c>
      <c r="G21" s="65">
        <f>F21-E21</f>
        <v>0.28472222222222854</v>
      </c>
      <c r="H21" s="65">
        <v>206.91319444444446</v>
      </c>
      <c r="I21" s="65">
        <v>207.20833333333334</v>
      </c>
      <c r="J21" s="70">
        <f>I21-H21-K21</f>
        <v>0.29513888888888573</v>
      </c>
      <c r="K21" s="65"/>
      <c r="L21" s="72">
        <f>D21+G21+J21</f>
        <v>0.71875</v>
      </c>
      <c r="M21" s="151" t="s">
        <v>47</v>
      </c>
      <c r="N21" s="64">
        <f>M17+M12+M7</f>
        <v>68</v>
      </c>
      <c r="O21" s="77" t="s">
        <v>66</v>
      </c>
      <c r="P21" s="74" t="s">
        <v>331</v>
      </c>
      <c r="Q21" s="64" t="s">
        <v>212</v>
      </c>
    </row>
    <row r="22" spans="1:20" ht="27" customHeight="1" x14ac:dyDescent="0.25">
      <c r="A22" s="16" t="s">
        <v>48</v>
      </c>
      <c r="B22" s="65">
        <v>206.25694444444446</v>
      </c>
      <c r="C22" s="65">
        <v>206.54166666666666</v>
      </c>
      <c r="D22" s="65">
        <f t="shared" si="5"/>
        <v>0.28472222222220012</v>
      </c>
      <c r="E22" s="65">
        <v>206.58333333333334</v>
      </c>
      <c r="F22" s="65">
        <v>206.875</v>
      </c>
      <c r="G22" s="65">
        <f t="shared" ref="G22:G23" si="6">F22-E22</f>
        <v>0.29166666666665719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0.86805555555554292</v>
      </c>
      <c r="M22" s="240" t="s">
        <v>207</v>
      </c>
      <c r="N22" s="64">
        <v>22563.279999999999</v>
      </c>
      <c r="O22" s="79" t="s">
        <v>63</v>
      </c>
      <c r="P22" s="74" t="s">
        <v>332</v>
      </c>
      <c r="Q22" s="64" t="s">
        <v>333</v>
      </c>
    </row>
    <row r="23" spans="1:20" ht="27" customHeight="1" x14ac:dyDescent="0.25">
      <c r="A23" s="154" t="s">
        <v>50</v>
      </c>
      <c r="B23" s="65">
        <v>206.25</v>
      </c>
      <c r="C23" s="65">
        <v>206.54166666666666</v>
      </c>
      <c r="D23" s="65">
        <f t="shared" si="5"/>
        <v>0.29166666666665719</v>
      </c>
      <c r="E23" s="65">
        <v>206</v>
      </c>
      <c r="F23" s="65">
        <v>206</v>
      </c>
      <c r="G23" s="65">
        <f t="shared" si="6"/>
        <v>0</v>
      </c>
      <c r="H23" s="65">
        <v>0</v>
      </c>
      <c r="I23" s="65">
        <v>0</v>
      </c>
      <c r="J23" s="70">
        <f>I23-H23-K23</f>
        <v>0</v>
      </c>
      <c r="K23" s="152"/>
      <c r="L23" s="153">
        <f>D23+G23+J23</f>
        <v>0.29166666666665719</v>
      </c>
      <c r="M23" s="151" t="s">
        <v>61</v>
      </c>
      <c r="N23" s="84">
        <v>8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73</v>
      </c>
      <c r="B24" s="66"/>
      <c r="C24" s="66"/>
      <c r="D24" s="65">
        <f>SUM(D21:D23)</f>
        <v>0.71527777777774304</v>
      </c>
      <c r="E24" s="67"/>
      <c r="F24" s="67"/>
      <c r="G24" s="65">
        <f>SUM(G21:G23)</f>
        <v>0.57638888888888573</v>
      </c>
      <c r="H24" s="67"/>
      <c r="I24" s="67"/>
      <c r="J24" s="70">
        <f>SUM(J21:J23)</f>
        <v>0.58680555555557135</v>
      </c>
      <c r="K24" s="74"/>
      <c r="L24" s="82">
        <f>SUM(L21:L23)</f>
        <v>1.8784722222222001</v>
      </c>
      <c r="M24" s="156" t="s">
        <v>206</v>
      </c>
      <c r="N24" s="64">
        <v>29790.74</v>
      </c>
      <c r="P24" s="238" t="s">
        <v>203</v>
      </c>
      <c r="Q24" s="43">
        <v>43587.7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N24+Sheet7!O25</f>
        <v>167633.74</v>
      </c>
      <c r="P25" s="151" t="s">
        <v>205</v>
      </c>
      <c r="Q25" s="86">
        <v>48442.18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f>Q24+Sheet7!Q26</f>
        <v>225901.40000000002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45.05</v>
      </c>
      <c r="M27" s="55"/>
      <c r="N27" s="87">
        <f>N22/L27</f>
        <v>500.84972253052166</v>
      </c>
      <c r="O27" s="80" t="s">
        <v>71</v>
      </c>
      <c r="P27" s="68"/>
      <c r="Q27" s="64" t="s">
        <v>229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9" width="9.140625" style="1"/>
    <col min="20" max="20" width="11.5703125" style="1" customWidth="1"/>
    <col min="21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340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83</v>
      </c>
      <c r="N3" s="19" t="s">
        <v>12</v>
      </c>
      <c r="O3" s="311" t="s">
        <v>69</v>
      </c>
      <c r="P3" s="312"/>
      <c r="Q3" s="43" t="s">
        <v>70</v>
      </c>
    </row>
    <row r="4" spans="1:21" ht="15" customHeight="1" x14ac:dyDescent="0.25">
      <c r="A4" s="20"/>
      <c r="B4" s="21" t="s">
        <v>14</v>
      </c>
      <c r="C4" s="22"/>
      <c r="D4" s="22">
        <v>18</v>
      </c>
      <c r="E4" s="22">
        <v>20</v>
      </c>
      <c r="F4" s="22">
        <v>14</v>
      </c>
      <c r="G4" s="22">
        <v>14</v>
      </c>
      <c r="H4" s="22">
        <v>20</v>
      </c>
      <c r="I4" s="22">
        <v>22</v>
      </c>
      <c r="J4" s="22">
        <v>12</v>
      </c>
      <c r="K4" s="22">
        <v>120</v>
      </c>
      <c r="L4" s="22">
        <v>0</v>
      </c>
      <c r="M4" s="90">
        <f t="shared" ref="M4:M7" si="0">K4+L4</f>
        <v>120</v>
      </c>
      <c r="N4" s="101" t="s">
        <v>219</v>
      </c>
      <c r="O4" s="92" t="s">
        <v>85</v>
      </c>
      <c r="P4" s="237" t="s">
        <v>86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>
        <v>2</v>
      </c>
      <c r="F5" s="22"/>
      <c r="G5" s="22">
        <v>2</v>
      </c>
      <c r="H5" s="22"/>
      <c r="I5" s="22"/>
      <c r="J5" s="22"/>
      <c r="K5" s="22">
        <v>4</v>
      </c>
      <c r="L5" s="22">
        <v>0</v>
      </c>
      <c r="M5" s="90">
        <f t="shared" si="0"/>
        <v>4</v>
      </c>
      <c r="N5" s="101" t="s">
        <v>146</v>
      </c>
      <c r="O5" s="65">
        <v>206.20833333333334</v>
      </c>
      <c r="P5" s="65">
        <v>207.85416666666666</v>
      </c>
      <c r="Q5" s="33" t="s">
        <v>334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0">
        <f t="shared" si="0"/>
        <v>0</v>
      </c>
      <c r="N6" s="101" t="s">
        <v>55</v>
      </c>
      <c r="O6" s="93"/>
      <c r="P6" s="64"/>
      <c r="Q6" s="319"/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0">
        <f t="shared" si="0"/>
        <v>0</v>
      </c>
      <c r="N7" s="101" t="s">
        <v>214</v>
      </c>
      <c r="O7" s="94"/>
      <c r="P7" s="64"/>
      <c r="Q7" s="320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83</v>
      </c>
      <c r="N8" s="32" t="s">
        <v>12</v>
      </c>
      <c r="O8" s="95"/>
      <c r="P8" s="81"/>
      <c r="Q8" s="241"/>
    </row>
    <row r="9" spans="1:21" ht="13.5" customHeight="1" x14ac:dyDescent="0.25">
      <c r="A9" s="33"/>
      <c r="B9" s="34" t="s">
        <v>14</v>
      </c>
      <c r="C9" s="22">
        <v>8</v>
      </c>
      <c r="D9" s="22">
        <v>32</v>
      </c>
      <c r="E9" s="22">
        <v>30</v>
      </c>
      <c r="F9" s="22">
        <v>28</v>
      </c>
      <c r="G9" s="22">
        <v>30</v>
      </c>
      <c r="H9" s="22">
        <v>42</v>
      </c>
      <c r="I9" s="22">
        <v>30</v>
      </c>
      <c r="J9" s="22">
        <v>10</v>
      </c>
      <c r="K9" s="22">
        <v>210</v>
      </c>
      <c r="L9" s="22">
        <v>0</v>
      </c>
      <c r="M9" s="90">
        <f t="shared" ref="M9" si="1">K9+L9</f>
        <v>210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15</v>
      </c>
      <c r="L10" s="22">
        <v>0</v>
      </c>
      <c r="M10" s="90">
        <f t="shared" ref="M10" si="2">K10+L10</f>
        <v>15</v>
      </c>
      <c r="N10" s="81" t="s">
        <v>146</v>
      </c>
      <c r="O10" s="311" t="s">
        <v>117</v>
      </c>
      <c r="P10" s="312"/>
      <c r="Q10" s="43" t="s">
        <v>70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>
        <v>8</v>
      </c>
      <c r="D11" s="22"/>
      <c r="E11" s="22"/>
      <c r="F11" s="22"/>
      <c r="G11" s="22"/>
      <c r="H11" s="22">
        <v>4</v>
      </c>
      <c r="I11" s="22">
        <v>3</v>
      </c>
      <c r="J11" s="22"/>
      <c r="K11" s="22">
        <v>15</v>
      </c>
      <c r="L11" s="22">
        <v>0</v>
      </c>
      <c r="M11" s="90">
        <f t="shared" ref="M11:M12" si="3">K11+L11</f>
        <v>15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</v>
      </c>
      <c r="E12" s="22">
        <v>1</v>
      </c>
      <c r="F12" s="22">
        <v>2</v>
      </c>
      <c r="G12" s="22"/>
      <c r="H12" s="22">
        <v>5</v>
      </c>
      <c r="I12" s="22">
        <v>3</v>
      </c>
      <c r="J12" s="22">
        <v>3</v>
      </c>
      <c r="K12" s="22">
        <v>15</v>
      </c>
      <c r="L12" s="22">
        <v>0</v>
      </c>
      <c r="M12" s="90">
        <f t="shared" si="3"/>
        <v>15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83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25</v>
      </c>
      <c r="E14" s="22">
        <v>30</v>
      </c>
      <c r="F14" s="22">
        <v>35</v>
      </c>
      <c r="G14" s="22">
        <v>15</v>
      </c>
      <c r="H14" s="22">
        <v>20</v>
      </c>
      <c r="I14" s="22">
        <v>26</v>
      </c>
      <c r="J14" s="22">
        <v>24</v>
      </c>
      <c r="K14" s="22">
        <v>163</v>
      </c>
      <c r="L14" s="22">
        <v>12</v>
      </c>
      <c r="M14" s="90">
        <f t="shared" ref="M14:M17" si="4">K14+L14</f>
        <v>175</v>
      </c>
      <c r="N14" s="100" t="s">
        <v>55</v>
      </c>
      <c r="O14" s="98"/>
      <c r="P14" s="81"/>
      <c r="Q14" s="37"/>
    </row>
    <row r="15" spans="1:21" ht="18" customHeight="1" x14ac:dyDescent="0.25">
      <c r="A15" s="103" t="s">
        <v>36</v>
      </c>
      <c r="B15" s="21" t="s">
        <v>16</v>
      </c>
      <c r="C15" s="22"/>
      <c r="D15" s="22"/>
      <c r="E15" s="22">
        <v>3</v>
      </c>
      <c r="F15" s="22">
        <v>2</v>
      </c>
      <c r="G15" s="22"/>
      <c r="H15" s="22">
        <v>2</v>
      </c>
      <c r="I15" s="22">
        <v>2</v>
      </c>
      <c r="J15" s="22">
        <v>1</v>
      </c>
      <c r="K15" s="22">
        <v>10</v>
      </c>
      <c r="L15" s="22">
        <v>0</v>
      </c>
      <c r="M15" s="90">
        <f t="shared" si="4"/>
        <v>10</v>
      </c>
      <c r="N15" s="100"/>
      <c r="O15" s="99"/>
      <c r="P15" s="81"/>
      <c r="Q15" s="37"/>
    </row>
    <row r="16" spans="1:21" ht="15.75" customHeight="1" x14ac:dyDescent="0.25">
      <c r="A16" s="104" t="s">
        <v>17</v>
      </c>
      <c r="B16" s="21" t="s">
        <v>18</v>
      </c>
      <c r="C16" s="22"/>
      <c r="D16" s="22"/>
      <c r="E16" s="22"/>
      <c r="F16" s="22"/>
      <c r="G16" s="22">
        <v>3</v>
      </c>
      <c r="H16" s="22">
        <v>2</v>
      </c>
      <c r="I16" s="22"/>
      <c r="J16" s="22"/>
      <c r="K16" s="22">
        <v>9</v>
      </c>
      <c r="L16" s="22">
        <v>0</v>
      </c>
      <c r="M16" s="90">
        <f t="shared" si="4"/>
        <v>9</v>
      </c>
      <c r="N16" s="100"/>
      <c r="O16" s="100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3</v>
      </c>
      <c r="F17" s="22">
        <v>2</v>
      </c>
      <c r="G17" s="22">
        <v>2</v>
      </c>
      <c r="H17" s="22"/>
      <c r="I17" s="22"/>
      <c r="J17" s="22"/>
      <c r="K17" s="22">
        <v>3</v>
      </c>
      <c r="L17" s="22">
        <v>6</v>
      </c>
      <c r="M17" s="90">
        <f t="shared" si="4"/>
        <v>9</v>
      </c>
      <c r="N17" s="100"/>
      <c r="O17" s="174" t="s">
        <v>145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1" t="s">
        <v>38</v>
      </c>
      <c r="N18" s="64">
        <f>M4+M9+M14</f>
        <v>505</v>
      </c>
      <c r="O18" s="313" t="s">
        <v>68</v>
      </c>
      <c r="P18" s="314"/>
      <c r="Q18" s="64" t="s">
        <v>13</v>
      </c>
    </row>
    <row r="19" spans="1:20" ht="24.75" customHeight="1" x14ac:dyDescent="0.25">
      <c r="A19" s="16" t="s">
        <v>39</v>
      </c>
      <c r="B19" s="315" t="s">
        <v>40</v>
      </c>
      <c r="C19" s="312"/>
      <c r="D19" s="316"/>
      <c r="E19" s="315" t="s">
        <v>57</v>
      </c>
      <c r="F19" s="312"/>
      <c r="G19" s="316"/>
      <c r="H19" s="315" t="s">
        <v>56</v>
      </c>
      <c r="I19" s="312"/>
      <c r="J19" s="316"/>
      <c r="K19" s="45" t="s">
        <v>13</v>
      </c>
      <c r="L19" s="45"/>
      <c r="M19" s="151" t="s">
        <v>41</v>
      </c>
      <c r="N19" s="64">
        <f>M5+M10+M15</f>
        <v>29</v>
      </c>
      <c r="O19" s="68">
        <v>561.22</v>
      </c>
      <c r="P19" s="46" t="s">
        <v>220</v>
      </c>
      <c r="Q19" s="64" t="s">
        <v>341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1" t="s">
        <v>72</v>
      </c>
      <c r="N20" s="64">
        <f>M6+M11+M16</f>
        <v>24</v>
      </c>
      <c r="O20" s="76" t="s">
        <v>62</v>
      </c>
      <c r="P20" s="74" t="s">
        <v>342</v>
      </c>
      <c r="Q20" s="64" t="s">
        <v>343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5">C21-B21</f>
        <v>0.29166666666665719</v>
      </c>
      <c r="E21" s="65">
        <v>206.5625</v>
      </c>
      <c r="F21" s="65">
        <v>206.875</v>
      </c>
      <c r="G21" s="65">
        <f t="shared" ref="G21" si="6">F21-E21</f>
        <v>0.3125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0.90277777777777146</v>
      </c>
      <c r="M21" s="151" t="s">
        <v>47</v>
      </c>
      <c r="N21" s="64">
        <f>M17+M12+M7</f>
        <v>24</v>
      </c>
      <c r="O21" s="77" t="s">
        <v>66</v>
      </c>
      <c r="P21" s="74" t="s">
        <v>288</v>
      </c>
      <c r="Q21" s="64" t="s">
        <v>344</v>
      </c>
    </row>
    <row r="22" spans="1:20" ht="27" customHeight="1" x14ac:dyDescent="0.25">
      <c r="A22" s="16" t="s">
        <v>48</v>
      </c>
      <c r="B22" s="65">
        <v>206.25347222222223</v>
      </c>
      <c r="C22" s="65">
        <v>206.54166666666666</v>
      </c>
      <c r="D22" s="65">
        <f t="shared" si="5"/>
        <v>0.28819444444442865</v>
      </c>
      <c r="E22" s="65">
        <v>206.58333333333334</v>
      </c>
      <c r="F22" s="65">
        <v>206.875</v>
      </c>
      <c r="G22" s="65">
        <f t="shared" ref="G22" si="7">F22-E22</f>
        <v>0.29166666666665719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0.91319444444442865</v>
      </c>
      <c r="M22" s="240" t="s">
        <v>207</v>
      </c>
      <c r="N22" s="64">
        <v>28261.22</v>
      </c>
      <c r="O22" s="79" t="s">
        <v>63</v>
      </c>
      <c r="P22" s="74" t="s">
        <v>345</v>
      </c>
      <c r="Q22" s="64" t="s">
        <v>346</v>
      </c>
    </row>
    <row r="23" spans="1:20" ht="27" customHeight="1" x14ac:dyDescent="0.25">
      <c r="A23" s="154" t="s">
        <v>50</v>
      </c>
      <c r="B23" s="65">
        <v>0</v>
      </c>
      <c r="C23" s="65">
        <v>0</v>
      </c>
      <c r="D23" s="65">
        <f t="shared" si="5"/>
        <v>0</v>
      </c>
      <c r="E23" s="65">
        <v>206.85416666666666</v>
      </c>
      <c r="F23" s="65">
        <v>206.875</v>
      </c>
      <c r="G23" s="65">
        <f t="shared" ref="G23" si="8">F23-E23</f>
        <v>2.0833333333342807E-2</v>
      </c>
      <c r="H23" s="65">
        <v>206.95833333333334</v>
      </c>
      <c r="I23" s="65">
        <v>207.20833333333334</v>
      </c>
      <c r="J23" s="70">
        <f>I23-H23-K23</f>
        <v>0.25</v>
      </c>
      <c r="K23" s="152"/>
      <c r="L23" s="153">
        <f>D23+G23+J23</f>
        <v>0.27083333333334281</v>
      </c>
      <c r="M23" s="151" t="s">
        <v>61</v>
      </c>
      <c r="N23" s="84">
        <v>8</v>
      </c>
      <c r="O23" s="85" t="s">
        <v>64</v>
      </c>
      <c r="P23" s="75"/>
      <c r="Q23" s="64"/>
    </row>
    <row r="24" spans="1:20" ht="30" customHeight="1" x14ac:dyDescent="0.25">
      <c r="A24" s="16" t="s">
        <v>73</v>
      </c>
      <c r="B24" s="66"/>
      <c r="C24" s="66"/>
      <c r="D24" s="65">
        <f>SUM(D21:D23)</f>
        <v>0.57986111111108585</v>
      </c>
      <c r="E24" s="67"/>
      <c r="F24" s="67"/>
      <c r="G24" s="65">
        <f>SUM(G21:G23)</f>
        <v>0.625</v>
      </c>
      <c r="H24" s="67"/>
      <c r="I24" s="67"/>
      <c r="J24" s="70">
        <f>SUM(J21:J23)</f>
        <v>0.88194444444445708</v>
      </c>
      <c r="K24" s="74"/>
      <c r="L24" s="82">
        <f>SUM(L21:L23)</f>
        <v>2.0868055555555429</v>
      </c>
      <c r="M24" s="156" t="s">
        <v>206</v>
      </c>
      <c r="N24" s="64">
        <v>29493.33</v>
      </c>
      <c r="P24" s="238" t="s">
        <v>203</v>
      </c>
      <c r="Q24" s="43">
        <v>40336.949999999997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39" t="s">
        <v>76</v>
      </c>
      <c r="O25" s="68">
        <f>N24+Sheet8!O25</f>
        <v>197127.07</v>
      </c>
      <c r="P25" s="151" t="s">
        <v>205</v>
      </c>
      <c r="Q25" s="86">
        <v>44416.3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39" t="s">
        <v>204</v>
      </c>
      <c r="Q26" s="68">
        <f>Q24+Sheet8!Q26</f>
        <v>266238.35000000003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50.05</v>
      </c>
      <c r="M27" s="55"/>
      <c r="N27" s="87">
        <f>N22/L27</f>
        <v>564.65974025974026</v>
      </c>
      <c r="O27" s="80" t="s">
        <v>71</v>
      </c>
      <c r="P27" s="68"/>
      <c r="Q27" s="64" t="s">
        <v>213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230</v>
      </c>
      <c r="D30" s="60"/>
      <c r="E30" s="60"/>
      <c r="F30" s="6"/>
      <c r="G30" s="1"/>
      <c r="H30" s="1"/>
      <c r="I30" s="1"/>
      <c r="P30" s="61" t="s">
        <v>231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48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 30</vt:lpstr>
      <vt:lpstr>Sheet 31</vt:lpstr>
      <vt:lpstr>report 2019</vt:lpstr>
      <vt:lpstr>stream I </vt:lpstr>
      <vt:lpstr> stream II  </vt:lpstr>
      <vt:lpstr>stream III </vt:lpstr>
      <vt:lpstr>Sheet34</vt:lpstr>
      <vt:lpstr>Sheet35</vt:lpstr>
      <vt:lpstr>Sheet30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2020-09-22T05:40:07Z</dcterms:modified>
</cp:coreProperties>
</file>